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540" yWindow="-165" windowWidth="10455" windowHeight="10905" tabRatio="661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4" sheetId="72" r:id="rId17"/>
    <sheet name="F15" sheetId="91" r:id="rId18"/>
  </sheets>
  <externalReferences>
    <externalReference r:id="rId19"/>
    <externalReference r:id="rId20"/>
    <externalReference r:id="rId21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Order1" hidden="1">255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9"/>
  <c r="E15"/>
  <c r="F17" i="101"/>
  <c r="G17"/>
  <c r="H17"/>
  <c r="G22"/>
  <c r="G28" s="1"/>
  <c r="H22"/>
  <c r="H28" s="1"/>
  <c r="F28"/>
  <c r="F34"/>
  <c r="G34"/>
  <c r="H34"/>
  <c r="F40"/>
  <c r="G40"/>
  <c r="H40"/>
  <c r="F46"/>
  <c r="G46"/>
  <c r="H46"/>
  <c r="F52"/>
  <c r="G52"/>
  <c r="H52"/>
  <c r="D58"/>
  <c r="F58"/>
  <c r="G58"/>
  <c r="H58"/>
  <c r="D74" i="71" l="1"/>
  <c r="E74"/>
  <c r="F74"/>
  <c r="G74"/>
  <c r="H74"/>
  <c r="I74"/>
  <c r="J74"/>
  <c r="K74"/>
  <c r="L74"/>
  <c r="M74"/>
  <c r="N74"/>
  <c r="D62"/>
  <c r="E62"/>
  <c r="F62"/>
  <c r="G62"/>
  <c r="H62"/>
  <c r="I62"/>
  <c r="J62"/>
  <c r="K62"/>
  <c r="L62"/>
  <c r="M62"/>
  <c r="N62"/>
  <c r="D50"/>
  <c r="E50"/>
  <c r="F50"/>
  <c r="G50"/>
  <c r="H50"/>
  <c r="I50"/>
  <c r="J50"/>
  <c r="K50"/>
  <c r="L50"/>
  <c r="M50"/>
  <c r="N50"/>
  <c r="D38"/>
  <c r="E38"/>
  <c r="F38"/>
  <c r="G38"/>
  <c r="H38"/>
  <c r="I38"/>
  <c r="J38"/>
  <c r="K38"/>
  <c r="L38"/>
  <c r="M38"/>
  <c r="N38"/>
  <c r="D14"/>
  <c r="E14"/>
  <c r="F14"/>
  <c r="G14"/>
  <c r="H14"/>
  <c r="I14"/>
  <c r="J14"/>
  <c r="K14"/>
  <c r="L14"/>
  <c r="M14"/>
  <c r="N14"/>
  <c r="C14"/>
  <c r="G11" i="105"/>
  <c r="G12" s="1"/>
  <c r="I14" i="58" l="1"/>
  <c r="F14"/>
  <c r="N22" i="71" l="1"/>
  <c r="M22"/>
  <c r="L22"/>
  <c r="K22"/>
  <c r="J22"/>
  <c r="I22"/>
  <c r="H22"/>
  <c r="G22"/>
  <c r="F22"/>
  <c r="E22"/>
  <c r="D22"/>
  <c r="C22"/>
  <c r="N20"/>
  <c r="N26" s="1"/>
  <c r="M20"/>
  <c r="M26" s="1"/>
  <c r="L20"/>
  <c r="L26" s="1"/>
  <c r="K20"/>
  <c r="K26" s="1"/>
  <c r="J20"/>
  <c r="J26" s="1"/>
  <c r="I20"/>
  <c r="I26" s="1"/>
  <c r="H20"/>
  <c r="H26" s="1"/>
  <c r="G20"/>
  <c r="G26" s="1"/>
  <c r="F20"/>
  <c r="F26" s="1"/>
  <c r="E20"/>
  <c r="E26" s="1"/>
  <c r="D20"/>
  <c r="D26" s="1"/>
  <c r="C20"/>
  <c r="C26" s="1"/>
  <c r="O24"/>
  <c r="N86"/>
  <c r="M86"/>
  <c r="L86"/>
  <c r="K86"/>
  <c r="J86"/>
  <c r="I86"/>
  <c r="H86"/>
  <c r="G86"/>
  <c r="F86"/>
  <c r="E86"/>
  <c r="D86"/>
  <c r="C86"/>
  <c r="O84"/>
  <c r="O82"/>
  <c r="O80"/>
  <c r="C74"/>
  <c r="O72"/>
  <c r="O70"/>
  <c r="O68"/>
  <c r="C62"/>
  <c r="O60"/>
  <c r="O58"/>
  <c r="O56"/>
  <c r="C50"/>
  <c r="O48"/>
  <c r="O46"/>
  <c r="O44"/>
  <c r="C38"/>
  <c r="O36"/>
  <c r="O34"/>
  <c r="O32"/>
  <c r="O12"/>
  <c r="O10"/>
  <c r="O8"/>
  <c r="O86" l="1"/>
  <c r="O50"/>
  <c r="O14"/>
  <c r="O62"/>
  <c r="O74"/>
  <c r="O38"/>
  <c r="O22"/>
  <c r="O20"/>
  <c r="O26" l="1"/>
  <c r="H14" i="66" l="1"/>
  <c r="E14"/>
  <c r="L38" i="102" l="1"/>
  <c r="H38"/>
  <c r="G38"/>
  <c r="J12"/>
  <c r="E14" i="103" l="1"/>
  <c r="L21" i="102" l="1"/>
  <c r="K21"/>
  <c r="J21"/>
  <c r="H21"/>
  <c r="G21"/>
  <c r="F21"/>
  <c r="N12"/>
  <c r="M12"/>
  <c r="J29" s="1"/>
  <c r="M29" s="1"/>
  <c r="I12"/>
  <c r="F29" s="1"/>
  <c r="N11"/>
  <c r="I11"/>
  <c r="F28" s="1"/>
  <c r="N10"/>
  <c r="I10"/>
  <c r="N9"/>
  <c r="I9"/>
  <c r="N16"/>
  <c r="I16"/>
  <c r="N15"/>
  <c r="M15"/>
  <c r="J32" s="1"/>
  <c r="M32" s="1"/>
  <c r="I15"/>
  <c r="F32" s="1"/>
  <c r="N14"/>
  <c r="I14"/>
  <c r="F31" s="1"/>
  <c r="N13"/>
  <c r="I13"/>
  <c r="F30" s="1"/>
  <c r="E34" i="67"/>
  <c r="F34"/>
  <c r="G34"/>
  <c r="H34"/>
  <c r="D34"/>
  <c r="I30" i="102" l="1"/>
  <c r="I31"/>
  <c r="N32"/>
  <c r="I32"/>
  <c r="O32" s="1"/>
  <c r="M16"/>
  <c r="J33" s="1"/>
  <c r="M33" s="1"/>
  <c r="F33"/>
  <c r="M9"/>
  <c r="J26" s="1"/>
  <c r="F26"/>
  <c r="M10"/>
  <c r="J27" s="1"/>
  <c r="F27"/>
  <c r="I28"/>
  <c r="I29"/>
  <c r="O29" s="1"/>
  <c r="N29"/>
  <c r="D10" i="105"/>
  <c r="D10" i="103"/>
  <c r="E10" i="105"/>
  <c r="F10" s="1"/>
  <c r="E10" i="103"/>
  <c r="F10" s="1"/>
  <c r="D11"/>
  <c r="E11"/>
  <c r="F11" s="1"/>
  <c r="M14" i="102"/>
  <c r="O12"/>
  <c r="M11"/>
  <c r="O15"/>
  <c r="M13"/>
  <c r="Q15" i="91"/>
  <c r="Q14"/>
  <c r="O9" i="102" l="1"/>
  <c r="O16"/>
  <c r="O10"/>
  <c r="O13"/>
  <c r="J30"/>
  <c r="O11"/>
  <c r="J28"/>
  <c r="O14"/>
  <c r="J31"/>
  <c r="M27"/>
  <c r="I27"/>
  <c r="N27"/>
  <c r="N26"/>
  <c r="I26"/>
  <c r="I33"/>
  <c r="O33" s="1"/>
  <c r="N33"/>
  <c r="P25" i="91"/>
  <c r="O25"/>
  <c r="N25"/>
  <c r="M25"/>
  <c r="L25"/>
  <c r="K25"/>
  <c r="J25"/>
  <c r="I25"/>
  <c r="H25"/>
  <c r="G25"/>
  <c r="F25"/>
  <c r="E25"/>
  <c r="Q21"/>
  <c r="Q25" s="1"/>
  <c r="Q30" s="1"/>
  <c r="Q19"/>
  <c r="O27" i="102" l="1"/>
  <c r="M26"/>
  <c r="O26" s="1"/>
  <c r="K38"/>
  <c r="M31"/>
  <c r="O31" s="1"/>
  <c r="N31"/>
  <c r="M28"/>
  <c r="O28" s="1"/>
  <c r="N28"/>
  <c r="M30"/>
  <c r="O30" s="1"/>
  <c r="N30"/>
  <c r="D38" i="68" l="1"/>
  <c r="D40" s="1"/>
  <c r="D18" i="69"/>
  <c r="D21" s="1"/>
  <c r="D15" i="109"/>
  <c r="G15" i="103"/>
  <c r="D15"/>
  <c r="D17" s="1"/>
  <c r="H12"/>
  <c r="G12"/>
  <c r="D12"/>
  <c r="N17" i="102"/>
  <c r="M17"/>
  <c r="J34" s="1"/>
  <c r="I17"/>
  <c r="D22" i="106"/>
  <c r="N18" i="72"/>
  <c r="J18"/>
  <c r="G18"/>
  <c r="C18"/>
  <c r="E30" i="91"/>
  <c r="E16"/>
  <c r="F34" i="102" l="1"/>
  <c r="D16" i="103"/>
  <c r="D18" s="1"/>
  <c r="D20" s="1"/>
  <c r="O17" i="102"/>
  <c r="G13" i="104" l="1"/>
  <c r="D13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M11"/>
  <c r="L11"/>
  <c r="K11"/>
  <c r="J11"/>
  <c r="I11"/>
  <c r="H11"/>
  <c r="J15" i="109"/>
  <c r="J21" s="1"/>
  <c r="I15"/>
  <c r="I21" s="1"/>
  <c r="H15"/>
  <c r="H21" s="1"/>
  <c r="G15"/>
  <c r="G21" s="1"/>
  <c r="F15"/>
  <c r="L46" i="103"/>
  <c r="L47" s="1"/>
  <c r="L49" s="1"/>
  <c r="L51" s="1"/>
  <c r="K46"/>
  <c r="K47" s="1"/>
  <c r="K49" s="1"/>
  <c r="K51" s="1"/>
  <c r="J46"/>
  <c r="J47" s="1"/>
  <c r="J49" s="1"/>
  <c r="J51" s="1"/>
  <c r="I46"/>
  <c r="I47" s="1"/>
  <c r="I49" s="1"/>
  <c r="I51" s="1"/>
  <c r="F46"/>
  <c r="F47" s="1"/>
  <c r="F49" s="1"/>
  <c r="F51" s="1"/>
  <c r="E46"/>
  <c r="E47" s="1"/>
  <c r="E49" s="1"/>
  <c r="E51" s="1"/>
  <c r="L36"/>
  <c r="L37" s="1"/>
  <c r="L39" s="1"/>
  <c r="K36"/>
  <c r="K37" s="1"/>
  <c r="K39" s="1"/>
  <c r="J36"/>
  <c r="J37" s="1"/>
  <c r="J39" s="1"/>
  <c r="I36"/>
  <c r="I37" s="1"/>
  <c r="I39" s="1"/>
  <c r="F36"/>
  <c r="F37" s="1"/>
  <c r="F39" s="1"/>
  <c r="E36"/>
  <c r="E37" s="1"/>
  <c r="E39" s="1"/>
  <c r="G17"/>
  <c r="I12"/>
  <c r="F12"/>
  <c r="E12"/>
  <c r="D18" i="105"/>
  <c r="M18"/>
  <c r="L18"/>
  <c r="K18"/>
  <c r="J18"/>
  <c r="I18"/>
  <c r="H18"/>
  <c r="G18"/>
  <c r="F18"/>
  <c r="E18"/>
  <c r="G14"/>
  <c r="L83" i="102"/>
  <c r="H83"/>
  <c r="G83"/>
  <c r="L74"/>
  <c r="H74"/>
  <c r="G74"/>
  <c r="L65"/>
  <c r="H65"/>
  <c r="G65"/>
  <c r="L56"/>
  <c r="H56"/>
  <c r="G56"/>
  <c r="L47"/>
  <c r="H47"/>
  <c r="G47"/>
  <c r="N20"/>
  <c r="I20"/>
  <c r="M20" s="1"/>
  <c r="J37" s="1"/>
  <c r="N19"/>
  <c r="I19"/>
  <c r="N18"/>
  <c r="N21" s="1"/>
  <c r="I18"/>
  <c r="M18" l="1"/>
  <c r="J35" s="1"/>
  <c r="I21"/>
  <c r="F35"/>
  <c r="L14" i="66"/>
  <c r="K13" i="104" s="1"/>
  <c r="I14" i="66"/>
  <c r="H13" i="104" s="1"/>
  <c r="G9" i="109"/>
  <c r="J12" i="93"/>
  <c r="L14" i="103" s="1"/>
  <c r="D9" i="109"/>
  <c r="E12" i="93"/>
  <c r="F14" i="66"/>
  <c r="E13" i="104" s="1"/>
  <c r="F9" i="109"/>
  <c r="I12" i="93"/>
  <c r="K14" i="103" s="1"/>
  <c r="J9" i="109"/>
  <c r="M12" i="93"/>
  <c r="O14" i="103" s="1"/>
  <c r="D20" i="105"/>
  <c r="E9" i="109"/>
  <c r="H12" i="93"/>
  <c r="I9" i="109"/>
  <c r="L12" i="93"/>
  <c r="N14" i="103" s="1"/>
  <c r="M12" i="66"/>
  <c r="M14" s="1"/>
  <c r="G14"/>
  <c r="F13" i="104" s="1"/>
  <c r="H9" i="109"/>
  <c r="K12" i="93"/>
  <c r="M14" i="103" s="1"/>
  <c r="F11" i="93"/>
  <c r="J14" i="66"/>
  <c r="I13" i="104" s="1"/>
  <c r="N14" i="66"/>
  <c r="M13" i="104" s="1"/>
  <c r="K14" i="66"/>
  <c r="J13" i="104" s="1"/>
  <c r="I11" i="58"/>
  <c r="J11"/>
  <c r="H14" i="104" s="1"/>
  <c r="F36" i="102"/>
  <c r="M19"/>
  <c r="F37"/>
  <c r="G20" i="69"/>
  <c r="F11" i="58"/>
  <c r="I10" i="93"/>
  <c r="J41" i="103"/>
  <c r="K41"/>
  <c r="L41"/>
  <c r="F41"/>
  <c r="E41"/>
  <c r="I41"/>
  <c r="F13" i="58"/>
  <c r="G16" i="103"/>
  <c r="G18" s="1"/>
  <c r="E20" i="105"/>
  <c r="F20"/>
  <c r="G20"/>
  <c r="N34" i="102"/>
  <c r="I34"/>
  <c r="I36"/>
  <c r="F45" s="1"/>
  <c r="I45" s="1"/>
  <c r="F54" s="1"/>
  <c r="I54" s="1"/>
  <c r="F63" s="1"/>
  <c r="O20"/>
  <c r="O18" l="1"/>
  <c r="F12" i="93"/>
  <c r="F11" i="105" s="1"/>
  <c r="F12" s="1"/>
  <c r="F14" s="1"/>
  <c r="F21" s="1"/>
  <c r="F22" s="1"/>
  <c r="H15" i="58" s="1"/>
  <c r="E11" i="105"/>
  <c r="E12" s="1"/>
  <c r="E14" s="1"/>
  <c r="D11"/>
  <c r="D12" s="1"/>
  <c r="D14" s="1"/>
  <c r="D21" s="1"/>
  <c r="H11"/>
  <c r="H12" s="1"/>
  <c r="J14" i="103"/>
  <c r="J11" i="105"/>
  <c r="J12" s="1"/>
  <c r="K11"/>
  <c r="K12" s="1"/>
  <c r="L11"/>
  <c r="L12" s="1"/>
  <c r="I11"/>
  <c r="I12" s="1"/>
  <c r="M11"/>
  <c r="M12" s="1"/>
  <c r="I13" i="93"/>
  <c r="J10" s="1"/>
  <c r="J13" s="1"/>
  <c r="K10" s="1"/>
  <c r="K13" s="1"/>
  <c r="D14" i="104"/>
  <c r="F17" i="58"/>
  <c r="F23" s="1"/>
  <c r="O19" i="102"/>
  <c r="O21" s="1"/>
  <c r="J36"/>
  <c r="N36" s="1"/>
  <c r="G14" i="104"/>
  <c r="E18" i="109"/>
  <c r="E17"/>
  <c r="F17"/>
  <c r="F18"/>
  <c r="D18"/>
  <c r="D17"/>
  <c r="N35" i="102"/>
  <c r="F38"/>
  <c r="J10" i="103" s="1"/>
  <c r="H11" i="58"/>
  <c r="F14" i="104" s="1"/>
  <c r="M21" i="102"/>
  <c r="I35"/>
  <c r="M11" i="58"/>
  <c r="L13" i="104"/>
  <c r="N11" i="58"/>
  <c r="F19" i="103"/>
  <c r="G19" s="1"/>
  <c r="F14"/>
  <c r="G11" i="58"/>
  <c r="E14" i="104" s="1"/>
  <c r="E13" i="93"/>
  <c r="H10" s="1"/>
  <c r="I63" i="102"/>
  <c r="F72" s="1"/>
  <c r="N63"/>
  <c r="K45"/>
  <c r="M45" s="1"/>
  <c r="O45" s="1"/>
  <c r="G21" i="69"/>
  <c r="L11" i="58"/>
  <c r="N54" i="102"/>
  <c r="N37"/>
  <c r="N38" s="1"/>
  <c r="I37"/>
  <c r="N45"/>
  <c r="K11" i="58"/>
  <c r="M34" i="102"/>
  <c r="F43"/>
  <c r="O11" i="58"/>
  <c r="G21" i="105"/>
  <c r="K54" i="102"/>
  <c r="M54" s="1"/>
  <c r="O54" s="1"/>
  <c r="H20" i="69" l="1"/>
  <c r="H21" s="1"/>
  <c r="K63" i="102"/>
  <c r="M63" s="1"/>
  <c r="O63" s="1"/>
  <c r="M36"/>
  <c r="O36" s="1"/>
  <c r="J38"/>
  <c r="J11" i="103" s="1"/>
  <c r="J12" s="1"/>
  <c r="D21" i="109"/>
  <c r="F13" i="93"/>
  <c r="G20" i="103"/>
  <c r="I13" i="58" s="1"/>
  <c r="I17" s="1"/>
  <c r="I23" s="1"/>
  <c r="I38" i="102"/>
  <c r="F47" s="1"/>
  <c r="K10" i="103"/>
  <c r="F21" i="109"/>
  <c r="E21" i="105"/>
  <c r="E22" s="1"/>
  <c r="G15" i="58" s="1"/>
  <c r="H10" i="105"/>
  <c r="O34" i="102"/>
  <c r="F44"/>
  <c r="N44" s="1"/>
  <c r="M35"/>
  <c r="O35" s="1"/>
  <c r="L10" i="93"/>
  <c r="L13" s="1"/>
  <c r="H12" i="58"/>
  <c r="N72" i="102"/>
  <c r="I72"/>
  <c r="F81" s="1"/>
  <c r="I44"/>
  <c r="F53" s="1"/>
  <c r="I43"/>
  <c r="N43"/>
  <c r="F46"/>
  <c r="M37"/>
  <c r="O37" s="1"/>
  <c r="F15" i="103" l="1"/>
  <c r="F16" s="1"/>
  <c r="F18" s="1"/>
  <c r="F20" s="1"/>
  <c r="F22" s="1"/>
  <c r="H13" i="58" s="1"/>
  <c r="G12"/>
  <c r="E15" i="103" s="1"/>
  <c r="L10"/>
  <c r="M10" s="1"/>
  <c r="N10" s="1"/>
  <c r="O10" s="1"/>
  <c r="I14" i="104"/>
  <c r="I47" i="102"/>
  <c r="F56" s="1"/>
  <c r="H20" i="103"/>
  <c r="H22" s="1"/>
  <c r="H20" i="105"/>
  <c r="H14"/>
  <c r="I10" s="1"/>
  <c r="M38" i="102"/>
  <c r="J47" s="1"/>
  <c r="O38"/>
  <c r="M10" i="93"/>
  <c r="M13" s="1"/>
  <c r="J12" i="58"/>
  <c r="J15" i="103" s="1"/>
  <c r="K11" s="1"/>
  <c r="E38" i="102"/>
  <c r="K44"/>
  <c r="M44" s="1"/>
  <c r="O44" s="1"/>
  <c r="F52"/>
  <c r="K43"/>
  <c r="N53"/>
  <c r="I53"/>
  <c r="F62" s="1"/>
  <c r="N46"/>
  <c r="N47" s="1"/>
  <c r="I46"/>
  <c r="K72"/>
  <c r="M72" s="1"/>
  <c r="O72" s="1"/>
  <c r="I81"/>
  <c r="N81"/>
  <c r="F17" i="103" l="1"/>
  <c r="E17"/>
  <c r="E16"/>
  <c r="E18" s="1"/>
  <c r="E20" s="1"/>
  <c r="E22" s="1"/>
  <c r="G13" i="58" s="1"/>
  <c r="K12" i="103"/>
  <c r="H21" i="105"/>
  <c r="H22" s="1"/>
  <c r="J15" i="58" s="1"/>
  <c r="I20" i="103"/>
  <c r="I22" s="1"/>
  <c r="J14" i="104"/>
  <c r="I56" i="102"/>
  <c r="F65" s="1"/>
  <c r="I20" i="105"/>
  <c r="I14"/>
  <c r="J10" s="1"/>
  <c r="I20" i="69"/>
  <c r="I21" s="1"/>
  <c r="J16" i="103"/>
  <c r="J18" s="1"/>
  <c r="J20" s="1"/>
  <c r="J22" s="1"/>
  <c r="J13" i="58" s="1"/>
  <c r="J17" i="103"/>
  <c r="K53" i="102"/>
  <c r="M53" s="1"/>
  <c r="O53" s="1"/>
  <c r="M43"/>
  <c r="N62"/>
  <c r="I62"/>
  <c r="N52"/>
  <c r="I52"/>
  <c r="K52" s="1"/>
  <c r="F55"/>
  <c r="K81"/>
  <c r="M81" s="1"/>
  <c r="O81" s="1"/>
  <c r="M46"/>
  <c r="O46" s="1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I21" i="105" l="1"/>
  <c r="I22" s="1"/>
  <c r="K15" i="58" s="1"/>
  <c r="K14" i="104"/>
  <c r="I65" i="102"/>
  <c r="F74" s="1"/>
  <c r="J20" i="105"/>
  <c r="J14"/>
  <c r="K10" s="1"/>
  <c r="J20" i="69"/>
  <c r="J21" s="1"/>
  <c r="D17" i="104"/>
  <c r="O43" i="102"/>
  <c r="O47" s="1"/>
  <c r="M52"/>
  <c r="O52" s="1"/>
  <c r="K62"/>
  <c r="M62" s="1"/>
  <c r="O62" s="1"/>
  <c r="F71"/>
  <c r="M47"/>
  <c r="J56" s="1"/>
  <c r="N55"/>
  <c r="N56" s="1"/>
  <c r="I55"/>
  <c r="F64" s="1"/>
  <c r="F61"/>
  <c r="J21" i="105" l="1"/>
  <c r="J22" s="1"/>
  <c r="L15" i="58" s="1"/>
  <c r="L14" i="104"/>
  <c r="I74" i="102"/>
  <c r="F83" s="1"/>
  <c r="K20" i="105"/>
  <c r="K14"/>
  <c r="L10" s="1"/>
  <c r="E47" i="102"/>
  <c r="K12" i="58"/>
  <c r="K15" i="103" s="1"/>
  <c r="L11" s="1"/>
  <c r="M55" i="102"/>
  <c r="O55" s="1"/>
  <c r="O56" s="1"/>
  <c r="M56"/>
  <c r="J65" s="1"/>
  <c r="I61"/>
  <c r="N61"/>
  <c r="N64"/>
  <c r="I64"/>
  <c r="F73" s="1"/>
  <c r="I71"/>
  <c r="F80" s="1"/>
  <c r="N71"/>
  <c r="K71" l="1"/>
  <c r="M71" s="1"/>
  <c r="O71" s="1"/>
  <c r="K21" i="105"/>
  <c r="K22" s="1"/>
  <c r="M15" i="58" s="1"/>
  <c r="M14" i="104"/>
  <c r="I83" i="102"/>
  <c r="L20" i="105"/>
  <c r="L14"/>
  <c r="K16" i="103"/>
  <c r="K18" s="1"/>
  <c r="K20" s="1"/>
  <c r="K22" s="1"/>
  <c r="K13" i="58" s="1"/>
  <c r="K17" i="103"/>
  <c r="L12" s="1"/>
  <c r="N65" i="102"/>
  <c r="K20" i="69"/>
  <c r="K21" s="1"/>
  <c r="L12" i="58"/>
  <c r="L15" i="103" s="1"/>
  <c r="M11" s="1"/>
  <c r="E56" i="102"/>
  <c r="I73"/>
  <c r="N73"/>
  <c r="F70"/>
  <c r="N80"/>
  <c r="I80"/>
  <c r="K80" s="1"/>
  <c r="M80" s="1"/>
  <c r="O80" s="1"/>
  <c r="M64"/>
  <c r="O64" s="1"/>
  <c r="K61"/>
  <c r="B20" i="58"/>
  <c r="B21" s="1"/>
  <c r="L21" i="105" l="1"/>
  <c r="L22" s="1"/>
  <c r="N15" i="58" s="1"/>
  <c r="M10" i="105"/>
  <c r="L16" i="103"/>
  <c r="L18" s="1"/>
  <c r="L20" s="1"/>
  <c r="L22" s="1"/>
  <c r="L13" i="58" s="1"/>
  <c r="L17" i="103"/>
  <c r="M12" s="1"/>
  <c r="M61" i="102"/>
  <c r="M65"/>
  <c r="J74" s="1"/>
  <c r="F82"/>
  <c r="N70"/>
  <c r="N74" s="1"/>
  <c r="I70"/>
  <c r="K70" s="1"/>
  <c r="M73"/>
  <c r="O73" s="1"/>
  <c r="M20" i="105" l="1"/>
  <c r="M14"/>
  <c r="L20" i="69"/>
  <c r="L21" s="1"/>
  <c r="E65" i="102"/>
  <c r="M12" i="58"/>
  <c r="M15" i="103" s="1"/>
  <c r="N11" s="1"/>
  <c r="K74" i="102"/>
  <c r="M74" s="1"/>
  <c r="J83" s="1"/>
  <c r="M70"/>
  <c r="F79"/>
  <c r="N82"/>
  <c r="I82"/>
  <c r="M82" s="1"/>
  <c r="O61"/>
  <c r="O65" s="1"/>
  <c r="M21" i="105" l="1"/>
  <c r="M22" s="1"/>
  <c r="O15" i="58" s="1"/>
  <c r="M17" i="103"/>
  <c r="N12" s="1"/>
  <c r="M16"/>
  <c r="M18" s="1"/>
  <c r="M20" s="1"/>
  <c r="M22" s="1"/>
  <c r="M13" i="58" s="1"/>
  <c r="N12"/>
  <c r="N15" i="103" s="1"/>
  <c r="O11" s="1"/>
  <c r="E74" i="102"/>
  <c r="O82"/>
  <c r="N79"/>
  <c r="N83" s="1"/>
  <c r="I79"/>
  <c r="O70"/>
  <c r="O74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N16" l="1"/>
  <c r="N18" s="1"/>
  <c r="N20" s="1"/>
  <c r="N22" s="1"/>
  <c r="N13" i="58" s="1"/>
  <c r="N17" i="103"/>
  <c r="O12" s="1"/>
  <c r="M20" i="69"/>
  <c r="M21" s="1"/>
  <c r="K79" i="102"/>
  <c r="B21" i="105"/>
  <c r="B22" s="1"/>
  <c r="B12" i="58"/>
  <c r="B13" s="1"/>
  <c r="B14" s="1"/>
  <c r="B15" s="1"/>
  <c r="B16" s="1"/>
  <c r="B17" s="1"/>
  <c r="M79" i="102" l="1"/>
  <c r="K83"/>
  <c r="M83" s="1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E83" i="102" l="1"/>
  <c r="O12" i="58"/>
  <c r="O15" i="103" s="1"/>
  <c r="O79" i="102"/>
  <c r="O83" s="1"/>
  <c r="B9" i="57"/>
  <c r="B10" s="1"/>
  <c r="B11" s="1"/>
  <c r="B12" s="1"/>
  <c r="O16" i="103" l="1"/>
  <c r="O18" s="1"/>
  <c r="O20" s="1"/>
  <c r="O22" s="1"/>
  <c r="O13" i="58" s="1"/>
  <c r="O17" i="103"/>
  <c r="B13" i="57"/>
  <c r="B14" s="1"/>
  <c r="B15" s="1"/>
  <c r="B12" i="66"/>
  <c r="B13" s="1"/>
  <c r="B14" s="1"/>
  <c r="B28" i="67"/>
  <c r="B29" s="1"/>
  <c r="B30" s="1"/>
  <c r="B31" s="1"/>
  <c r="B16" i="57" l="1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22" i="58"/>
  <c r="I22"/>
  <c r="G15" i="104" l="1"/>
  <c r="G18" s="1"/>
  <c r="D15"/>
  <c r="D18" s="1"/>
  <c r="G14" i="58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<sst xmlns="http://schemas.openxmlformats.org/spreadsheetml/2006/main" count="1164" uniqueCount="416">
  <si>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</si>
  <si>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</si>
  <si>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</si>
  <si>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</si>
  <si>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</si>
  <si>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</si>
  <si>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</si>
  <si>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</si>
  <si>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</si>
  <si>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</si>
  <si>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</si>
  <si>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</si>
  <si>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</si>
  <si>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</si>
  <si>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</si>
  <si>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</si>
  <si>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</si>
  <si>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</si>
  <si>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</si>
  <si>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</si>
  <si>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</si>
  <si>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</si>
  <si>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</si>
  <si>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</si>
  <si>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</si>
  <si>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</si>
  <si>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</si>
  <si>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</si>
  <si>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</si>
  <si>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</si>
  <si>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</si>
  <si>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</si>
  <si>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</si>
  <si>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</si>
  <si>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</si>
  <si>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</si>
  <si>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</si>
  <si>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</si>
  <si>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</si>
  <si>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</si>
  <si>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</si>
  <si>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</si>
  <si>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</si>
  <si>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</si>
  <si>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</si>
  <si>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</si>
  <si>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</si>
  <si>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</si>
  <si>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</si>
  <si>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</si>
  <si>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</si>
  <si>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</si>
  <si>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</si>
  <si>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</si>
  <si>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</si>
  <si>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</si>
  <si>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</si>
  <si>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</si>
  <si>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</si>
  <si>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</si>
  <si>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</si>
  <si>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</si>
  <si>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</si>
  <si>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</si>
  <si>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</si>
  <si>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</si>
  <si>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</si>
  <si>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</si>
  <si>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</si>
  <si>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</si>
  <si>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</si>
  <si>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</si>
  <si>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</si>
  <si>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</si>
  <si>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</si>
  <si>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</si>
  <si>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</si>
  <si>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</si>
  <si>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</si>
  <si>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</si>
  <si>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</si>
  <si>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</si>
  <si>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</si>
  <si>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</si>
  <si>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</si>
  <si>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</si>
  <si>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</si>
  <si>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</si>
  <si>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</si>
  <si>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</si>
  <si>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</si>
  <si>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</si>
  <si>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</si>
  <si>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</si>
  <si>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</si>
  <si>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</si>
  <si>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</si>
  <si>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</si>
  <si>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</si>
  <si>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</si>
  <si>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</si>
  <si>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</si>
  <si>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</si>
  <si>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</si>
  <si>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</si>
  <si>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</si>
  <si>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</si>
  <si>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</si>
  <si>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</si>
  <si>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</si>
  <si>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</si>
  <si>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</si>
  <si>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</si>
  <si>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</si>
  <si>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</si>
  <si>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</si>
  <si>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</si>
  <si>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</si>
  <si>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</si>
  <si>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</si>
  <si>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</si>
  <si>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</si>
  <si>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</si>
  <si>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</si>
  <si>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</si>
  <si>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</si>
  <si>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</si>
  <si>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</si>
  <si>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</si>
  <si>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</si>
  <si>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</si>
  <si>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</si>
  <si>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</si>
  <si>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</si>
  <si>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</si>
  <si>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</si>
  <si>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</si>
  <si>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</si>
  <si>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</si>
  <si>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</si>
  <si>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</si>
  <si>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</si>
  <si>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</si>
  <si>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</si>
  <si>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</si>
  <si>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</si>
  <si>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</si>
  <si>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</si>
  <si>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</si>
  <si>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</si>
  <si>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</si>
  <si>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</si>
  <si>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</si>
  <si>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</si>
  <si>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</si>
  <si>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</si>
  <si>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</si>
  <si>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</si>
  <si>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</si>
  <si>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</si>
  <si>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</si>
  <si>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</si>
  <si>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</si>
  <si>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</si>
  <si>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</si>
  <si>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</si>
  <si>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</si>
  <si>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</si>
  <si>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</si>
  <si>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</si>
  <si>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</si>
  <si>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</si>
  <si>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</si>
  <si>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</si>
  <si>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</si>
  <si>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</si>
  <si>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</si>
  <si>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</si>
  <si>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</si>
  <si>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</si>
  <si>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</si>
  <si>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</si>
  <si>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</si>
  <si>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</si>
  <si>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</si>
  <si>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</si>
  <si>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</si>
  <si>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</si>
  <si>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</si>
  <si>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</si>
  <si>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</si>
  <si>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</si>
  <si>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</si>
  <si>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</si>
  <si>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</si>
  <si>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</si>
  <si>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</si>
  <si>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</si>
  <si>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</si>
  <si>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</si>
  <si>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</si>
  <si>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</si>
  <si>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</si>
  <si>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</si>
  <si>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</si>
  <si>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</si>
  <si>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</si>
  <si>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</si>
  <si>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</si>
  <si>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</si>
  <si>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</si>
  <si>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</si>
  <si>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</si>
  <si>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</si>
  <si>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</si>
  <si>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</si>
  <si>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</si>
  <si>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</si>
  <si>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</si>
  <si>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</si>
  <si>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</si>
  <si>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</si>
  <si>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</si>
  <si>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</si>
  <si>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</si>
  <si>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</si>
  <si>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</si>
  <si>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</si>
  <si>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</si>
  <si>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</si>
  <si>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</si>
  <si>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</si>
  <si>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</si>
  <si>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</si>
  <si>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</si>
  <si>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</si>
  <si>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</si>
  <si>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</si>
  <si>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</si>
  <si>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</si>
  <si>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</si>
  <si>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</si>
  <si>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</si>
  <si>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</si>
  <si>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</si>
  <si>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</si>
  <si>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</si>
  <si>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</si>
  <si>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</si>
  <si>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</si>
  <si>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</si>
  <si>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</si>
  <si>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</si>
  <si>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</si>
  <si>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</si>
  <si>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</si>
  <si>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</si>
  <si>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</si>
  <si>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</si>
  <si>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</si>
  <si>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</si>
  <si>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</si>
  <si>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</si>
  <si>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</si>
  <si>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</si>
  <si>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</si>
  <si>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</si>
  <si>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</si>
  <si>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</si>
  <si>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</si>
  <si>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</si>
  <si>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</si>
  <si>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</si>
  <si>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</si>
  <si>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</si>
  <si>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</si>
  <si>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</si>
  <si>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</si>
  <si>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</si>
  <si>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</si>
  <si>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</si>
  <si>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</si>
  <si>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</si>
  <si>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</si>
  <si>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</si>
  <si>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</si>
  <si>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</si>
  <si>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</si>
  <si>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</si>
  <si>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</si>
  <si>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</si>
  <si>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</si>
  <si>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</si>
  <si>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</si>
  <si>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</si>
  <si>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</si>
  <si>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</si>
  <si>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</si>
  <si>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</si>
  <si>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</si>
  <si>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</si>
  <si>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</si>
  <si>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</si>
  <si>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</si>
  <si>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</si>
  <si>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</si>
  <si>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</si>
  <si>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</si>
  <si>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</si>
  <si>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</si>
  <si>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</si>
  <si>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</si>
  <si>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</si>
  <si>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</si>
  <si>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</si>
  <si>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</si>
  <si>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</si>
  <si>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</si>
  <si>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</si>
  <si>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</si>
  <si>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</si>
  <si>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</si>
  <si>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</si>
  <si>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</si>
  <si>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</si>
  <si>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</si>
  <si>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</si>
  <si>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</si>
  <si>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</si>
  <si>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</si>
  <si>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</si>
  <si>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</si>
  <si>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</si>
  <si>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</si>
  <si>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</si>
  <si>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</si>
  <si>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</si>
  <si>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</si>
  <si>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</si>
  <si>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</si>
  <si>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</si>
  <si>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</si>
  <si>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</si>
  <si>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</si>
  <si>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</si>
  <si>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</si>
  <si>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</si>
  <si>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</si>
  <si>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</si>
  <si>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</si>
  <si>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</si>
  <si>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</si>
  <si>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</si>
  <si>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</si>
  <si>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</si>
  <si>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</si>
  <si>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</si>
  <si>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</si>
  <si>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</si>
  <si>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</si>
  <si>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</si>
  <si>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</si>
  <si>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</si>
  <si>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</si>
  <si>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</si>
  <si>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</si>
  <si>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</si>
  <si>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</si>
  <si>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</si>
  <si>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</si>
  <si>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2022-2023</t>
  </si>
  <si>
    <t>2023-2024</t>
  </si>
  <si>
    <t>2024-2025</t>
  </si>
  <si>
    <t>2025-2026</t>
  </si>
  <si>
    <t>2026-2027</t>
  </si>
  <si>
    <t>2027-2028</t>
  </si>
  <si>
    <t>2028-2029</t>
  </si>
  <si>
    <t>Karnataka ESCOMs (50%)</t>
  </si>
  <si>
    <t>TSSPDCL (35.275%)</t>
  </si>
  <si>
    <t>TSNPDCL (14.725%)</t>
  </si>
  <si>
    <t>Priyadarshinini Jurala HES</t>
  </si>
  <si>
    <t>Priyadarshini Jurala HES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</si>
  <si>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</si>
  <si>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</si>
  <si>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</si>
  <si>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</si>
  <si>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</si>
  <si>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</si>
  <si>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</si>
  <si>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FY 2019-20</t>
  </si>
  <si>
    <t>FY 2020-21</t>
  </si>
  <si>
    <t>FY 2021-22</t>
  </si>
  <si>
    <t>Land &amp; Land Rights</t>
  </si>
  <si>
    <t>Lines and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</si>
  <si>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</si>
  <si>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</si>
  <si>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</si>
  <si>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</si>
  <si>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</si>
  <si>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</si>
  <si>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PLANT &amp;MACHINERY</t>
  </si>
  <si>
    <t>OFFICE EQUIPMENT</t>
  </si>
  <si>
    <t>CWIP BUILDINGS</t>
  </si>
  <si>
    <t>RESIDENTIAL QUARTERS</t>
  </si>
  <si>
    <t>BUILDINGS</t>
  </si>
  <si>
    <t>CWIP HYDRAULIC WORKS</t>
  </si>
  <si>
    <t>CWIP PROVISIONS</t>
  </si>
  <si>
    <t>IT Initiatives</t>
  </si>
  <si>
    <t>TGGENCO</t>
  </si>
  <si>
    <t>&lt;TGGENCO&gt;</t>
  </si>
  <si>
    <t>Form 2.3: Repair &amp; Maintenance Expenses</t>
  </si>
  <si>
    <t>Form 3:  Summary of Capital Expenditure and Capitalisation</t>
  </si>
  <si>
    <t>Loan 1-PFC</t>
  </si>
  <si>
    <t>Form 1: Summary Sheet</t>
  </si>
  <si>
    <t>Form 2.1:  Employee Expenses</t>
  </si>
  <si>
    <t>Form 2.2:  Administration &amp; General Expenses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</si>
</sst>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5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4" applyFont="1" applyBorder="1" applyAlignment="1">
      <alignment horizontal="left" vertical="center"/>
    </xf>
    <xf numFmtId="0" fontId="15" fillId="5" borderId="4" xfId="14" applyFont="1" applyFill="1" applyBorder="1" applyAlignment="1">
      <alignment horizontal="left" vertical="center"/>
    </xf>
    <xf numFmtId="0" fontId="15" fillId="0" borderId="4" xfId="14" applyFont="1" applyBorder="1" applyAlignment="1">
      <alignment vertical="top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15" fillId="0" borderId="4" xfId="10" applyFont="1" applyBorder="1" applyAlignment="1">
      <alignment horizontal="right"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15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15" fillId="4" borderId="16" xfId="68" applyFont="1" applyFill="1" applyBorder="1" applyAlignment="1">
      <alignment horizontal="left" vertical="center"/>
    </xf>
    <xf numFmtId="0" fontId="20" fillId="4" borderId="16" xfId="68" applyFont="1" applyFill="1" applyBorder="1" applyAlignment="1">
      <alignment horizontal="center" vertical="center"/>
    </xf>
    <xf numFmtId="10" fontId="15" fillId="4" borderId="16" xfId="68" applyNumberFormat="1" applyFont="1" applyFill="1" applyBorder="1" applyAlignment="1">
      <alignment horizontal="center" vertical="center"/>
    </xf>
    <xf numFmtId="2" fontId="15" fillId="4" borderId="16" xfId="68" applyNumberFormat="1" applyFont="1" applyFill="1" applyBorder="1" applyAlignment="1">
      <alignment horizontal="center" vertical="center"/>
    </xf>
    <xf numFmtId="2" fontId="15" fillId="0" borderId="16" xfId="68" applyNumberFormat="1" applyFont="1" applyBorder="1" applyAlignment="1">
      <alignment horizontal="center" vertical="center"/>
    </xf>
    <xf numFmtId="0" fontId="15" fillId="4" borderId="5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5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15" fillId="0" borderId="4" xfId="14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0" fontId="20" fillId="0" borderId="9" xfId="14" applyFont="1" applyBorder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16" xfId="68" applyNumberFormat="1" applyFont="1" applyFill="1" applyBorder="1" applyAlignment="1">
      <alignment horizontal="center" vertical="center"/>
    </xf>
    <xf numFmtId="2" fontId="15" fillId="4" borderId="22" xfId="68" applyNumberFormat="1" applyFont="1" applyFill="1" applyBorder="1" applyAlignment="1">
      <alignment horizontal="center" vertical="center"/>
    </xf>
    <xf numFmtId="2" fontId="20" fillId="6" borderId="7" xfId="19" applyNumberFormat="1" applyFont="1" applyFill="1" applyBorder="1" applyAlignment="1">
      <alignment horizontal="center" vertical="center"/>
    </xf>
    <xf numFmtId="2" fontId="15" fillId="4" borderId="18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7" xfId="68" applyNumberFormat="1" applyFont="1" applyFill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6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10" fontId="20" fillId="6" borderId="13" xfId="68" applyNumberFormat="1" applyFont="1" applyFill="1" applyBorder="1" applyAlignment="1">
      <alignment horizontal="center" vertical="center"/>
    </xf>
    <xf numFmtId="2" fontId="20" fillId="6" borderId="13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0" xfId="19" applyNumberFormat="1" applyFont="1" applyFill="1" applyBorder="1" applyAlignment="1">
      <alignment horizontal="center" vertical="center"/>
    </xf>
    <xf numFmtId="10" fontId="15" fillId="0" borderId="9" xfId="39" applyNumberFormat="1" applyFont="1" applyBorder="1" applyAlignment="1">
      <alignment vertical="center"/>
    </xf>
    <xf numFmtId="10" fontId="15" fillId="0" borderId="9" xfId="14" applyNumberFormat="1" applyFont="1" applyBorder="1">
      <alignment vertical="center"/>
    </xf>
    <xf numFmtId="10" fontId="20" fillId="6" borderId="9" xfId="14" applyNumberFormat="1" applyFont="1" applyFill="1" applyBorder="1">
      <alignment vertical="center"/>
    </xf>
    <xf numFmtId="2" fontId="15" fillId="0" borderId="9" xfId="14" applyNumberFormat="1" applyFont="1" applyBorder="1">
      <alignment vertical="center"/>
    </xf>
    <xf numFmtId="10" fontId="15" fillId="0" borderId="4" xfId="10" applyNumberFormat="1" applyFont="1" applyBorder="1" applyAlignment="1">
      <alignment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0" applyNumberFormat="1" applyFont="1" applyFill="1" applyBorder="1" applyAlignment="1">
      <alignment horizontal="center" vertical="center" wrapText="1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left" vertical="center"/>
    </xf>
    <xf numFmtId="2" fontId="15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left" vertical="center" wrapText="1"/>
    </xf>
    <xf numFmtId="2" fontId="20" fillId="0" borderId="4" xfId="14" applyNumberFormat="1" applyFont="1" applyBorder="1" applyAlignment="1">
      <alignment horizontal="center" vertical="center"/>
    </xf>
    <xf numFmtId="2" fontId="20" fillId="5" borderId="4" xfId="14" applyNumberFormat="1" applyFont="1" applyFill="1" applyBorder="1" applyAlignment="1">
      <alignment horizontal="center" vertical="center"/>
    </xf>
    <xf numFmtId="0" fontId="15" fillId="0" borderId="4" xfId="14" applyFont="1" applyBorder="1" applyAlignment="1">
      <alignment horizontal="right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0" fontId="15" fillId="0" borderId="4" xfId="10" applyFont="1" applyBorder="1" applyAlignment="1">
      <alignment horizontal="right" vertical="center" wrapText="1"/>
    </xf>
    <xf numFmtId="2" fontId="15" fillId="0" borderId="4" xfId="10" applyNumberFormat="1" applyFont="1" applyBorder="1" applyAlignment="1">
      <alignment horizontal="right" vertical="center" wrapText="1"/>
    </xf>
    <xf numFmtId="0" fontId="15" fillId="0" borderId="9" xfId="14" applyFont="1" applyBorder="1" applyAlignment="1">
      <alignment horizontal="right" vertical="center"/>
    </xf>
    <xf numFmtId="2" fontId="20" fillId="6" borderId="9" xfId="14" applyNumberFormat="1" applyFont="1" applyFill="1" applyBorder="1" applyAlignment="1">
      <alignment horizontal="right" vertical="center"/>
    </xf>
    <xf numFmtId="2" fontId="15" fillId="6" borderId="9" xfId="14" applyNumberFormat="1" applyFont="1" applyFill="1" applyBorder="1">
      <alignment vertical="center"/>
    </xf>
    <xf numFmtId="0" fontId="15" fillId="0" borderId="0" xfId="10" applyFont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vertical="center"/>
    </xf>
    <xf numFmtId="164" fontId="27" fillId="0" borderId="4" xfId="71" applyNumberFormat="1" applyFont="1" applyBorder="1" applyAlignment="1">
      <alignment horizontal="center" vertical="center"/>
    </xf>
    <xf numFmtId="2" fontId="28" fillId="0" borderId="4" xfId="10" applyNumberFormat="1" applyFont="1" applyBorder="1" applyAlignment="1">
      <alignment horizontal="right" vertical="center"/>
    </xf>
    <xf numFmtId="0" fontId="27" fillId="0" borderId="8" xfId="10" applyFont="1" applyBorder="1" applyAlignment="1">
      <alignment horizontal="center" vertical="center" wrapText="1"/>
    </xf>
    <xf numFmtId="0" fontId="27" fillId="0" borderId="4" xfId="10" applyFont="1" applyBorder="1" applyAlignment="1">
      <alignment vertical="center" wrapText="1"/>
    </xf>
    <xf numFmtId="0" fontId="27" fillId="0" borderId="4" xfId="10" applyFont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vertical="center"/>
    </xf>
    <xf numFmtId="2" fontId="15" fillId="0" borderId="0" xfId="10" applyNumberFormat="1" applyFont="1" applyAlignment="1">
      <alignment vertical="center"/>
    </xf>
    <xf numFmtId="2" fontId="20" fillId="0" borderId="0" xfId="10" applyNumberFormat="1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2" fontId="20" fillId="0" borderId="0" xfId="10" applyNumberFormat="1" applyFont="1" applyAlignment="1">
      <alignment horizontal="center" vertical="center"/>
    </xf>
    <xf numFmtId="2" fontId="20" fillId="0" borderId="4" xfId="10" applyNumberFormat="1" applyFont="1" applyBorder="1" applyAlignment="1">
      <alignment horizontal="right" vertical="center"/>
    </xf>
    <xf numFmtId="0" fontId="24" fillId="0" borderId="4" xfId="10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2" fontId="15" fillId="0" borderId="4" xfId="10" applyNumberFormat="1" applyFont="1" applyBorder="1" applyAlignment="1">
      <alignment vertical="top" wrapText="1"/>
    </xf>
    <xf numFmtId="0" fontId="1" fillId="0" borderId="4" xfId="72" applyBorder="1"/>
    <xf numFmtId="43" fontId="15" fillId="0" borderId="4" xfId="73" applyFont="1" applyBorder="1" applyAlignment="1">
      <alignment vertical="center"/>
    </xf>
    <xf numFmtId="43" fontId="0" fillId="0" borderId="4" xfId="74" applyFont="1" applyBorder="1"/>
    <xf numFmtId="0" fontId="1" fillId="0" borderId="0" xfId="72"/>
    <xf numFmtId="43" fontId="15" fillId="0" borderId="4" xfId="71" applyFont="1" applyBorder="1" applyAlignment="1">
      <alignment horizontal="right" vertical="center"/>
    </xf>
    <xf numFmtId="43" fontId="15" fillId="0" borderId="4" xfId="10" applyNumberFormat="1" applyFont="1" applyBorder="1" applyAlignment="1">
      <alignment vertical="center"/>
    </xf>
    <xf numFmtId="43" fontId="20" fillId="0" borderId="4" xfId="10" applyNumberFormat="1" applyFont="1" applyBorder="1" applyAlignment="1">
      <alignment vertical="center"/>
    </xf>
    <xf numFmtId="0" fontId="29" fillId="0" borderId="4" xfId="14" applyFont="1" applyBorder="1" applyAlignment="1">
      <alignment horizontal="center" vertical="center" wrapText="1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43" fontId="15" fillId="0" borderId="7" xfId="71" applyFont="1" applyBorder="1"/>
    <xf numFmtId="43" fontId="15" fillId="0" borderId="4" xfId="71" applyFont="1" applyBorder="1"/>
    <xf numFmtId="2" fontId="15" fillId="0" borderId="0" xfId="14" applyNumberFormat="1" applyFont="1">
      <alignment vertical="center"/>
    </xf>
    <xf numFmtId="0" fontId="20" fillId="0" borderId="3" xfId="14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12" fillId="0" borderId="0" xfId="14" applyFont="1">
      <alignment vertical="center"/>
    </xf>
    <xf numFmtId="170" fontId="15" fillId="0" borderId="0" xfId="14" applyNumberFormat="1" applyFont="1">
      <alignment vertical="center"/>
    </xf>
    <xf numFmtId="169" fontId="20" fillId="0" borderId="4" xfId="14" applyNumberFormat="1" applyFont="1" applyBorder="1" applyAlignment="1">
      <alignment horizontal="center" vertical="center"/>
    </xf>
    <xf numFmtId="2" fontId="15" fillId="0" borderId="9" xfId="14" applyNumberFormat="1" applyFont="1" applyFill="1" applyBorder="1">
      <alignment vertical="center"/>
    </xf>
    <xf numFmtId="2" fontId="20" fillId="0" borderId="9" xfId="14" applyNumberFormat="1" applyFont="1" applyFill="1" applyBorder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20" fillId="0" borderId="8" xfId="14" applyFont="1" applyBorder="1" applyAlignment="1">
      <alignment horizontal="center" vertical="center"/>
    </xf>
    <xf numFmtId="0" fontId="20" fillId="0" borderId="10" xfId="14" applyFont="1" applyBorder="1" applyAlignment="1">
      <alignment horizontal="center" vertical="center"/>
    </xf>
    <xf numFmtId="0" fontId="20" fillId="0" borderId="7" xfId="14" applyFont="1" applyBorder="1" applyAlignment="1">
      <alignment horizontal="center" vertical="center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 wrapText="1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4" borderId="17" xfId="68" applyFont="1" applyFill="1" applyBorder="1" applyAlignment="1">
      <alignment horizontal="center" vertical="center"/>
    </xf>
    <xf numFmtId="0" fontId="20" fillId="4" borderId="18" xfId="68" applyFont="1" applyFill="1" applyBorder="1" applyAlignment="1">
      <alignment horizontal="center" vertical="center"/>
    </xf>
    <xf numFmtId="0" fontId="20" fillId="4" borderId="19" xfId="68" applyFont="1" applyFill="1" applyBorder="1" applyAlignment="1">
      <alignment horizontal="center" vertical="center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2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3" xfId="68" quotePrefix="1" applyFont="1" applyFill="1" applyBorder="1" applyAlignment="1">
      <alignment horizontal="center" vertical="center" wrapText="1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20" fillId="0" borderId="6" xfId="10" applyFont="1" applyBorder="1" applyAlignment="1">
      <alignment horizontal="center" vertical="center"/>
    </xf>
    <xf numFmtId="0" fontId="20" fillId="0" borderId="3" xfId="10" applyFont="1" applyBorder="1" applyAlignment="1">
      <alignment horizontal="center" vertical="center"/>
    </xf>
    <xf numFmtId="0" fontId="20" fillId="0" borderId="9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</cellXfs>
  <cellStyles count="75">
    <cellStyle name="Body" xfId="1"/>
    <cellStyle name="Comma" xfId="71" builtinId="3"/>
    <cellStyle name="Comma  - Style1" xfId="2"/>
    <cellStyle name="Comma 10" xfId="73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omma 9" xfId="74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3" xfId="72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H8" sqref="H8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23" t="s">
        <v>408</v>
      </c>
      <c r="C2" s="223"/>
      <c r="D2" s="224"/>
      <c r="E2" s="224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23" t="s">
        <v>380</v>
      </c>
      <c r="C3" s="223"/>
      <c r="D3" s="224"/>
      <c r="E3" s="224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25" t="s">
        <v>328</v>
      </c>
      <c r="C4" s="225"/>
      <c r="D4" s="226"/>
      <c r="E4" s="226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9" t="s">
        <v>330</v>
      </c>
    </row>
    <row r="6" spans="2:15" ht="15.75">
      <c r="N6" s="7"/>
    </row>
    <row r="7" spans="2:15" ht="15.75">
      <c r="B7" s="17" t="s">
        <v>186</v>
      </c>
      <c r="C7" s="17" t="s">
        <v>329</v>
      </c>
      <c r="D7" s="18" t="s">
        <v>7</v>
      </c>
      <c r="E7" s="18" t="s">
        <v>331</v>
      </c>
    </row>
    <row r="8" spans="2:15">
      <c r="B8" s="8">
        <v>1</v>
      </c>
      <c r="C8" s="8" t="s">
        <v>6</v>
      </c>
      <c r="D8" s="9" t="s">
        <v>333</v>
      </c>
      <c r="E8" s="10"/>
    </row>
    <row r="9" spans="2:15">
      <c r="B9" s="8">
        <f>B8+1</f>
        <v>2</v>
      </c>
      <c r="C9" s="8" t="s">
        <v>275</v>
      </c>
      <c r="D9" s="9" t="s">
        <v>335</v>
      </c>
      <c r="E9" s="10"/>
    </row>
    <row r="10" spans="2:15">
      <c r="B10" s="8">
        <f>B9+1</f>
        <v>3</v>
      </c>
      <c r="C10" s="8" t="s">
        <v>24</v>
      </c>
      <c r="D10" s="9" t="s">
        <v>336</v>
      </c>
      <c r="E10" s="10"/>
    </row>
    <row r="11" spans="2:15">
      <c r="B11" s="8">
        <f>B10+1</f>
        <v>4</v>
      </c>
      <c r="C11" s="8" t="s">
        <v>25</v>
      </c>
      <c r="D11" s="9" t="s">
        <v>337</v>
      </c>
      <c r="E11" s="10"/>
    </row>
    <row r="12" spans="2:15">
      <c r="B12" s="8">
        <f>B11+1</f>
        <v>5</v>
      </c>
      <c r="C12" s="8" t="s">
        <v>276</v>
      </c>
      <c r="D12" s="9" t="s">
        <v>338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339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340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293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341</v>
      </c>
      <c r="E22" s="10"/>
    </row>
    <row r="23" spans="2:5">
      <c r="B23" s="8">
        <f t="shared" si="0"/>
        <v>16</v>
      </c>
      <c r="C23" s="8" t="s">
        <v>35</v>
      </c>
      <c r="D23" s="9" t="s">
        <v>342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343</v>
      </c>
      <c r="E25" s="10"/>
    </row>
    <row r="26" spans="2:5">
      <c r="B26" s="8">
        <f t="shared" si="0"/>
        <v>19</v>
      </c>
      <c r="C26" s="8" t="s">
        <v>332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344</v>
      </c>
      <c r="E27" s="10"/>
    </row>
    <row r="28" spans="2:5">
      <c r="B28" s="8">
        <f t="shared" si="0"/>
        <v>21</v>
      </c>
      <c r="C28" s="8" t="s">
        <v>214</v>
      </c>
      <c r="D28" s="11" t="s">
        <v>345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351</v>
      </c>
      <c r="D30" s="9" t="s">
        <v>359</v>
      </c>
      <c r="E30" s="10"/>
    </row>
    <row r="31" spans="2:5">
      <c r="B31" s="8">
        <f>B30+1</f>
        <v>23</v>
      </c>
      <c r="C31" s="8" t="s">
        <v>352</v>
      </c>
      <c r="D31" s="9" t="s">
        <v>360</v>
      </c>
      <c r="E31" s="10"/>
    </row>
    <row r="32" spans="2:5">
      <c r="B32" s="8">
        <f>B31+1</f>
        <v>24</v>
      </c>
      <c r="C32" s="8" t="s">
        <v>349</v>
      </c>
      <c r="D32" s="9" t="s">
        <v>178</v>
      </c>
      <c r="E32" s="10"/>
    </row>
    <row r="33" spans="2:5">
      <c r="B33" s="8">
        <f t="shared" si="0"/>
        <v>25</v>
      </c>
      <c r="C33" s="8" t="s">
        <v>350</v>
      </c>
      <c r="D33" s="9" t="s">
        <v>179</v>
      </c>
      <c r="E33" s="10"/>
    </row>
    <row r="34" spans="2:5">
      <c r="B34" s="8">
        <f t="shared" si="0"/>
        <v>26</v>
      </c>
      <c r="C34" s="8" t="s">
        <v>353</v>
      </c>
      <c r="D34" s="9" t="s">
        <v>180</v>
      </c>
      <c r="E34" s="10"/>
    </row>
    <row r="35" spans="2:5">
      <c r="B35" s="8">
        <f t="shared" si="0"/>
        <v>27</v>
      </c>
      <c r="C35" s="8" t="s">
        <v>354</v>
      </c>
      <c r="D35" s="9" t="s">
        <v>181</v>
      </c>
      <c r="E35" s="10"/>
    </row>
    <row r="36" spans="2:5">
      <c r="B36" s="8">
        <f t="shared" si="0"/>
        <v>28</v>
      </c>
      <c r="C36" s="8" t="s">
        <v>355</v>
      </c>
      <c r="D36" s="9" t="s">
        <v>200</v>
      </c>
      <c r="E36" s="10"/>
    </row>
    <row r="37" spans="2:5">
      <c r="B37" s="8">
        <f t="shared" si="0"/>
        <v>29</v>
      </c>
      <c r="C37" s="8" t="s">
        <v>356</v>
      </c>
      <c r="D37" s="9" t="s">
        <v>182</v>
      </c>
      <c r="E37" s="10"/>
    </row>
    <row r="38" spans="2:5">
      <c r="B38" s="8">
        <f t="shared" si="0"/>
        <v>30</v>
      </c>
      <c r="C38" s="8" t="s">
        <v>357</v>
      </c>
      <c r="D38" s="9" t="s">
        <v>346</v>
      </c>
      <c r="E38" s="10"/>
    </row>
    <row r="39" spans="2:5">
      <c r="B39" s="8">
        <f t="shared" si="0"/>
        <v>31</v>
      </c>
      <c r="C39" s="8" t="s">
        <v>358</v>
      </c>
      <c r="D39" s="9" t="s">
        <v>347</v>
      </c>
      <c r="E39" s="10"/>
    </row>
    <row r="41" spans="2:5" ht="15.75">
      <c r="B41" s="16" t="s">
        <v>348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83"/>
  <sheetViews>
    <sheetView showGridLines="0" zoomScale="90" zoomScaleNormal="90" zoomScaleSheetLayoutView="90" workbookViewId="0">
      <selection activeCell="B4" sqref="B4:P4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6" ht="15">
      <c r="B1" s="30"/>
    </row>
    <row r="2" spans="2:16" ht="15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2:16" ht="15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6" ht="15">
      <c r="B4" s="241" t="s">
        <v>278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16" ht="15.75" thickBot="1">
      <c r="K5" s="41"/>
      <c r="O5" s="39" t="s">
        <v>4</v>
      </c>
    </row>
    <row r="6" spans="2:16" ht="15">
      <c r="B6" s="249" t="s">
        <v>382</v>
      </c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1"/>
    </row>
    <row r="7" spans="2:16" ht="14.25" customHeight="1">
      <c r="B7" s="252" t="s">
        <v>2</v>
      </c>
      <c r="C7" s="254" t="s">
        <v>274</v>
      </c>
      <c r="D7" s="256" t="s">
        <v>261</v>
      </c>
      <c r="E7" s="256" t="s">
        <v>262</v>
      </c>
      <c r="F7" s="256" t="s">
        <v>263</v>
      </c>
      <c r="G7" s="256"/>
      <c r="H7" s="256"/>
      <c r="I7" s="256"/>
      <c r="J7" s="256" t="s">
        <v>264</v>
      </c>
      <c r="K7" s="256"/>
      <c r="L7" s="256"/>
      <c r="M7" s="256"/>
      <c r="N7" s="256" t="s">
        <v>265</v>
      </c>
      <c r="O7" s="258"/>
    </row>
    <row r="8" spans="2:16" ht="60.75" thickBot="1">
      <c r="B8" s="253"/>
      <c r="C8" s="255"/>
      <c r="D8" s="257"/>
      <c r="E8" s="257"/>
      <c r="F8" s="71" t="s">
        <v>266</v>
      </c>
      <c r="G8" s="71" t="s">
        <v>126</v>
      </c>
      <c r="H8" s="71" t="s">
        <v>267</v>
      </c>
      <c r="I8" s="71" t="s">
        <v>268</v>
      </c>
      <c r="J8" s="71" t="s">
        <v>269</v>
      </c>
      <c r="K8" s="71" t="s">
        <v>126</v>
      </c>
      <c r="L8" s="71" t="s">
        <v>270</v>
      </c>
      <c r="M8" s="71" t="s">
        <v>271</v>
      </c>
      <c r="N8" s="71" t="s">
        <v>266</v>
      </c>
      <c r="O8" s="72" t="s">
        <v>268</v>
      </c>
    </row>
    <row r="9" spans="2:16" ht="15">
      <c r="B9" s="70">
        <v>1</v>
      </c>
      <c r="C9" s="73" t="s">
        <v>392</v>
      </c>
      <c r="D9" s="74">
        <v>1000</v>
      </c>
      <c r="E9" s="75">
        <v>0</v>
      </c>
      <c r="F9" s="76">
        <v>0.35483999999999999</v>
      </c>
      <c r="G9" s="77">
        <v>0</v>
      </c>
      <c r="H9" s="76">
        <v>0</v>
      </c>
      <c r="I9" s="140">
        <f>F9+G9-H9</f>
        <v>0.35483999999999999</v>
      </c>
      <c r="J9" s="141">
        <v>0</v>
      </c>
      <c r="K9" s="142">
        <v>0</v>
      </c>
      <c r="L9" s="143"/>
      <c r="M9" s="144">
        <f>J9+K9-L9</f>
        <v>0</v>
      </c>
      <c r="N9" s="145">
        <f>F9-J9</f>
        <v>0.35483999999999999</v>
      </c>
      <c r="O9" s="145">
        <f>I9-M9</f>
        <v>0.35483999999999999</v>
      </c>
    </row>
    <row r="10" spans="2:16" ht="15">
      <c r="B10" s="78">
        <v>2</v>
      </c>
      <c r="C10" s="79" t="s">
        <v>116</v>
      </c>
      <c r="D10" s="80">
        <v>1100</v>
      </c>
      <c r="E10" s="81">
        <v>3.3399999999999999E-2</v>
      </c>
      <c r="F10" s="82">
        <v>224.748099075</v>
      </c>
      <c r="G10" s="83">
        <v>0.52285552000000002</v>
      </c>
      <c r="H10" s="82">
        <v>0</v>
      </c>
      <c r="I10" s="146">
        <f>F10+G10-H10</f>
        <v>225.27095459500001</v>
      </c>
      <c r="J10" s="147">
        <v>85.523862562000005</v>
      </c>
      <c r="K10" s="148">
        <v>5.9546824700000007</v>
      </c>
      <c r="L10" s="149"/>
      <c r="M10" s="150">
        <f t="shared" ref="M10:M12" si="0">J10+K10-L10</f>
        <v>91.478545032</v>
      </c>
      <c r="N10" s="146">
        <f t="shared" ref="N10:N12" si="1">F10-J10</f>
        <v>139.22423651299999</v>
      </c>
      <c r="O10" s="146">
        <f t="shared" ref="O10:O12" si="2">I10-M10</f>
        <v>133.79240956300001</v>
      </c>
    </row>
    <row r="11" spans="2:16" ht="15">
      <c r="B11" s="78">
        <v>3</v>
      </c>
      <c r="C11" s="85" t="s">
        <v>393</v>
      </c>
      <c r="D11" s="80">
        <v>1200</v>
      </c>
      <c r="E11" s="81">
        <v>5.28E-2</v>
      </c>
      <c r="F11" s="82">
        <v>0.33214012000000004</v>
      </c>
      <c r="G11" s="83">
        <v>0</v>
      </c>
      <c r="H11" s="82">
        <v>0</v>
      </c>
      <c r="I11" s="146">
        <f t="shared" ref="I11:I12" si="3">F11+G11-H11</f>
        <v>0.33214012000000004</v>
      </c>
      <c r="J11" s="147">
        <v>3.4151141999999995E-2</v>
      </c>
      <c r="K11" s="148">
        <v>1.6598346E-2</v>
      </c>
      <c r="L11" s="149"/>
      <c r="M11" s="150">
        <f t="shared" si="0"/>
        <v>5.0749487999999995E-2</v>
      </c>
      <c r="N11" s="146">
        <f t="shared" si="1"/>
        <v>0.29798897800000002</v>
      </c>
      <c r="O11" s="146">
        <f t="shared" si="2"/>
        <v>0.28139063200000003</v>
      </c>
    </row>
    <row r="12" spans="2:16" ht="15.75" thickBot="1">
      <c r="B12" s="78">
        <v>4</v>
      </c>
      <c r="C12" s="85" t="s">
        <v>115</v>
      </c>
      <c r="D12" s="80">
        <v>1300</v>
      </c>
      <c r="E12" s="86">
        <v>5.28E-2</v>
      </c>
      <c r="F12" s="82">
        <v>434.88650326500004</v>
      </c>
      <c r="G12" s="83">
        <v>0.16022642600000001</v>
      </c>
      <c r="H12" s="84">
        <v>0</v>
      </c>
      <c r="I12" s="146">
        <f t="shared" si="3"/>
        <v>435.04672969100005</v>
      </c>
      <c r="J12" s="147">
        <f>215.85618578131-25.2</f>
        <v>190.65618578131</v>
      </c>
      <c r="K12" s="148">
        <v>12.249654294471172</v>
      </c>
      <c r="L12" s="149"/>
      <c r="M12" s="150">
        <f t="shared" si="0"/>
        <v>202.90584007578119</v>
      </c>
      <c r="N12" s="146">
        <f t="shared" si="1"/>
        <v>244.23031748369004</v>
      </c>
      <c r="O12" s="146">
        <f t="shared" si="2"/>
        <v>232.14088961521887</v>
      </c>
    </row>
    <row r="13" spans="2:16" ht="15">
      <c r="B13" s="70">
        <v>5</v>
      </c>
      <c r="C13" s="73" t="s">
        <v>394</v>
      </c>
      <c r="D13" s="74">
        <v>1400</v>
      </c>
      <c r="E13" s="75">
        <v>5.28E-2</v>
      </c>
      <c r="F13" s="76">
        <v>24.9535266</v>
      </c>
      <c r="G13" s="77">
        <v>0</v>
      </c>
      <c r="H13" s="76">
        <v>0</v>
      </c>
      <c r="I13" s="140">
        <f>F13+G13-H13</f>
        <v>24.9535266</v>
      </c>
      <c r="J13" s="141">
        <v>10.457191167</v>
      </c>
      <c r="K13" s="142">
        <v>1.3175462039999999</v>
      </c>
      <c r="L13" s="143"/>
      <c r="M13" s="144">
        <f>J13+K13-L13</f>
        <v>11.774737370999999</v>
      </c>
      <c r="N13" s="145">
        <f>F13-J13</f>
        <v>14.496335433</v>
      </c>
      <c r="O13" s="145">
        <f>I13-M13</f>
        <v>13.178789229000001</v>
      </c>
    </row>
    <row r="14" spans="2:16" ht="15">
      <c r="B14" s="78">
        <v>6</v>
      </c>
      <c r="C14" s="79" t="s">
        <v>395</v>
      </c>
      <c r="D14" s="80">
        <v>1500</v>
      </c>
      <c r="E14" s="81">
        <v>5.28E-2</v>
      </c>
      <c r="F14" s="82">
        <v>1.1438991999999999</v>
      </c>
      <c r="G14" s="83">
        <v>0</v>
      </c>
      <c r="H14" s="82">
        <v>0</v>
      </c>
      <c r="I14" s="146">
        <f>F14+G14-H14</f>
        <v>1.1438991999999999</v>
      </c>
      <c r="J14" s="147">
        <v>0.55016249699999997</v>
      </c>
      <c r="K14" s="148">
        <v>1.7753585000000002E-2</v>
      </c>
      <c r="L14" s="149"/>
      <c r="M14" s="150">
        <f t="shared" ref="M14:M16" si="4">J14+K14-L14</f>
        <v>0.56791608199999999</v>
      </c>
      <c r="N14" s="146">
        <f t="shared" ref="N14:N16" si="5">F14-J14</f>
        <v>0.59373670299999992</v>
      </c>
      <c r="O14" s="146">
        <f t="shared" ref="O14:O16" si="6">I14-M14</f>
        <v>0.57598311799999991</v>
      </c>
    </row>
    <row r="15" spans="2:16" ht="15">
      <c r="B15" s="78">
        <v>7</v>
      </c>
      <c r="C15" s="85" t="s">
        <v>396</v>
      </c>
      <c r="D15" s="80">
        <v>1600</v>
      </c>
      <c r="E15" s="81">
        <v>3.3399999999999999E-2</v>
      </c>
      <c r="F15" s="82">
        <v>2.437117588</v>
      </c>
      <c r="G15" s="83">
        <v>0</v>
      </c>
      <c r="H15" s="82">
        <v>0</v>
      </c>
      <c r="I15" s="146">
        <f t="shared" ref="I15:I16" si="7">F15+G15-H15</f>
        <v>2.437117588</v>
      </c>
      <c r="J15" s="147">
        <v>0.37259886000000003</v>
      </c>
      <c r="K15" s="148">
        <v>7.6067302000000003E-2</v>
      </c>
      <c r="L15" s="149"/>
      <c r="M15" s="150">
        <f t="shared" si="4"/>
        <v>0.44866616200000004</v>
      </c>
      <c r="N15" s="146">
        <f t="shared" si="5"/>
        <v>2.0645187279999999</v>
      </c>
      <c r="O15" s="146">
        <f t="shared" si="6"/>
        <v>1.9884514259999999</v>
      </c>
      <c r="P15" s="194"/>
    </row>
    <row r="16" spans="2:16" ht="15.75" thickBot="1">
      <c r="B16" s="78">
        <v>8</v>
      </c>
      <c r="C16" s="85" t="s">
        <v>120</v>
      </c>
      <c r="D16" s="80">
        <v>1700</v>
      </c>
      <c r="E16" s="86">
        <v>9.5000000000000001E-2</v>
      </c>
      <c r="F16" s="82">
        <v>0.36465002499999999</v>
      </c>
      <c r="G16" s="83">
        <v>0</v>
      </c>
      <c r="H16" s="84">
        <v>0</v>
      </c>
      <c r="I16" s="146">
        <f t="shared" si="7"/>
        <v>0.36465002499999999</v>
      </c>
      <c r="J16" s="147">
        <v>0.32818502199999999</v>
      </c>
      <c r="K16" s="148">
        <v>0</v>
      </c>
      <c r="L16" s="149"/>
      <c r="M16" s="150">
        <f t="shared" si="4"/>
        <v>0.32818502199999999</v>
      </c>
      <c r="N16" s="146">
        <f t="shared" si="5"/>
        <v>3.6465002999999996E-2</v>
      </c>
      <c r="O16" s="146">
        <f t="shared" si="6"/>
        <v>3.6465002999999996E-2</v>
      </c>
    </row>
    <row r="17" spans="2:15" ht="15">
      <c r="B17" s="70">
        <v>9</v>
      </c>
      <c r="C17" s="73" t="s">
        <v>397</v>
      </c>
      <c r="D17" s="74">
        <v>1800</v>
      </c>
      <c r="E17" s="75">
        <v>6.3299999999999995E-2</v>
      </c>
      <c r="F17" s="76">
        <v>0.54009041400000002</v>
      </c>
      <c r="G17" s="77">
        <v>0</v>
      </c>
      <c r="H17" s="76">
        <v>0</v>
      </c>
      <c r="I17" s="140">
        <f>F17+G17-H17</f>
        <v>0.54009041400000002</v>
      </c>
      <c r="J17" s="141">
        <v>0.39652345</v>
      </c>
      <c r="K17" s="142">
        <v>1.0330605E-2</v>
      </c>
      <c r="L17" s="143"/>
      <c r="M17" s="144">
        <f>J17+K17-L17</f>
        <v>0.40685405499999999</v>
      </c>
      <c r="N17" s="145">
        <f>F17-J17</f>
        <v>0.14356696400000002</v>
      </c>
      <c r="O17" s="145">
        <f>I17-M17</f>
        <v>0.13323635900000003</v>
      </c>
    </row>
    <row r="18" spans="2:15" ht="15">
      <c r="B18" s="78">
        <v>10</v>
      </c>
      <c r="C18" s="79" t="s">
        <v>398</v>
      </c>
      <c r="D18" s="80">
        <v>1900</v>
      </c>
      <c r="E18" s="81">
        <v>0.15</v>
      </c>
      <c r="F18" s="82">
        <v>0.45013348899999994</v>
      </c>
      <c r="G18" s="83">
        <v>3.015986E-3</v>
      </c>
      <c r="H18" s="82">
        <v>0</v>
      </c>
      <c r="I18" s="146">
        <f>F18+G18-H18</f>
        <v>0.45314947499999997</v>
      </c>
      <c r="J18" s="147">
        <v>0.36464298100000003</v>
      </c>
      <c r="K18" s="148">
        <v>1.1799016000000001E-2</v>
      </c>
      <c r="L18" s="149"/>
      <c r="M18" s="150">
        <f t="shared" ref="M18:M20" si="8">J18+K18-L18</f>
        <v>0.37644199700000003</v>
      </c>
      <c r="N18" s="146">
        <f t="shared" ref="N18:N20" si="9">F18-J18</f>
        <v>8.549050799999991E-2</v>
      </c>
      <c r="O18" s="146">
        <f t="shared" ref="O18:O20" si="10">I18-M18</f>
        <v>7.670747799999994E-2</v>
      </c>
    </row>
    <row r="19" spans="2:15" ht="15">
      <c r="B19" s="78">
        <v>11</v>
      </c>
      <c r="C19" s="85" t="s">
        <v>122</v>
      </c>
      <c r="D19" s="80">
        <v>2100</v>
      </c>
      <c r="E19" s="81">
        <v>6.3299999999999995E-2</v>
      </c>
      <c r="F19" s="82">
        <v>0.46900022400000002</v>
      </c>
      <c r="G19" s="83">
        <v>0.10493975</v>
      </c>
      <c r="H19" s="82">
        <v>0</v>
      </c>
      <c r="I19" s="146">
        <f t="shared" ref="I19:I20" si="11">F19+G19-H19</f>
        <v>0.57393997399999996</v>
      </c>
      <c r="J19" s="147">
        <v>0.31696256</v>
      </c>
      <c r="K19" s="148">
        <v>1.3464008999999999E-2</v>
      </c>
      <c r="L19" s="149"/>
      <c r="M19" s="150">
        <f t="shared" si="8"/>
        <v>0.330426569</v>
      </c>
      <c r="N19" s="146">
        <f t="shared" si="9"/>
        <v>0.15203766400000002</v>
      </c>
      <c r="O19" s="146">
        <f t="shared" si="10"/>
        <v>0.24351340499999996</v>
      </c>
    </row>
    <row r="20" spans="2:15" ht="15">
      <c r="B20" s="78">
        <v>12</v>
      </c>
      <c r="C20" s="85" t="s">
        <v>399</v>
      </c>
      <c r="D20" s="80">
        <v>0</v>
      </c>
      <c r="E20" s="86">
        <v>0</v>
      </c>
      <c r="F20" s="82">
        <v>0</v>
      </c>
      <c r="G20" s="83">
        <v>0</v>
      </c>
      <c r="H20" s="84">
        <v>0</v>
      </c>
      <c r="I20" s="146">
        <f t="shared" si="11"/>
        <v>0</v>
      </c>
      <c r="J20" s="147">
        <v>0</v>
      </c>
      <c r="K20" s="148">
        <v>0</v>
      </c>
      <c r="L20" s="149"/>
      <c r="M20" s="150">
        <f t="shared" si="8"/>
        <v>0</v>
      </c>
      <c r="N20" s="146">
        <f t="shared" si="9"/>
        <v>0</v>
      </c>
      <c r="O20" s="146">
        <f t="shared" si="10"/>
        <v>0</v>
      </c>
    </row>
    <row r="21" spans="2:15" ht="15.75" thickBot="1">
      <c r="B21" s="87"/>
      <c r="C21" s="88" t="s">
        <v>127</v>
      </c>
      <c r="D21" s="88"/>
      <c r="E21" s="151"/>
      <c r="F21" s="152">
        <f>SUM(F9:F20)</f>
        <v>690.68</v>
      </c>
      <c r="G21" s="152">
        <f t="shared" ref="G21:O21" si="12">SUM(G9:G20)</f>
        <v>0.79103768200000002</v>
      </c>
      <c r="H21" s="152">
        <f t="shared" si="12"/>
        <v>0</v>
      </c>
      <c r="I21" s="152">
        <f t="shared" si="12"/>
        <v>691.47103768200009</v>
      </c>
      <c r="J21" s="153">
        <f t="shared" si="12"/>
        <v>289.00046602230998</v>
      </c>
      <c r="K21" s="152">
        <f t="shared" si="12"/>
        <v>19.667895831471174</v>
      </c>
      <c r="L21" s="154">
        <f t="shared" si="12"/>
        <v>0</v>
      </c>
      <c r="M21" s="153">
        <f t="shared" si="12"/>
        <v>308.66836185378116</v>
      </c>
      <c r="N21" s="152">
        <f t="shared" si="12"/>
        <v>401.67953397769003</v>
      </c>
      <c r="O21" s="152">
        <f t="shared" si="12"/>
        <v>382.80267582821892</v>
      </c>
    </row>
    <row r="22" spans="2:15" ht="15" thickBot="1"/>
    <row r="23" spans="2:15" ht="15">
      <c r="B23" s="249" t="s">
        <v>383</v>
      </c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</row>
    <row r="24" spans="2:15" ht="14.25" customHeight="1">
      <c r="B24" s="252" t="s">
        <v>2</v>
      </c>
      <c r="C24" s="254" t="s">
        <v>274</v>
      </c>
      <c r="D24" s="256" t="s">
        <v>261</v>
      </c>
      <c r="E24" s="256" t="s">
        <v>262</v>
      </c>
      <c r="F24" s="256" t="s">
        <v>263</v>
      </c>
      <c r="G24" s="256"/>
      <c r="H24" s="256"/>
      <c r="I24" s="256"/>
      <c r="J24" s="256" t="s">
        <v>264</v>
      </c>
      <c r="K24" s="256"/>
      <c r="L24" s="256"/>
      <c r="M24" s="256"/>
      <c r="N24" s="256" t="s">
        <v>265</v>
      </c>
      <c r="O24" s="258"/>
    </row>
    <row r="25" spans="2:15" ht="60.75" thickBot="1">
      <c r="B25" s="253"/>
      <c r="C25" s="255"/>
      <c r="D25" s="257"/>
      <c r="E25" s="257"/>
      <c r="F25" s="71" t="s">
        <v>266</v>
      </c>
      <c r="G25" s="71" t="s">
        <v>126</v>
      </c>
      <c r="H25" s="71" t="s">
        <v>267</v>
      </c>
      <c r="I25" s="71" t="s">
        <v>268</v>
      </c>
      <c r="J25" s="71" t="s">
        <v>269</v>
      </c>
      <c r="K25" s="71" t="s">
        <v>126</v>
      </c>
      <c r="L25" s="71" t="s">
        <v>270</v>
      </c>
      <c r="M25" s="71" t="s">
        <v>271</v>
      </c>
      <c r="N25" s="71" t="s">
        <v>266</v>
      </c>
      <c r="O25" s="72" t="s">
        <v>268</v>
      </c>
    </row>
    <row r="26" spans="2:15" ht="15">
      <c r="B26" s="70">
        <v>1</v>
      </c>
      <c r="C26" s="73" t="s">
        <v>392</v>
      </c>
      <c r="D26" s="74">
        <v>1000</v>
      </c>
      <c r="E26" s="75">
        <v>0</v>
      </c>
      <c r="F26" s="140">
        <f t="shared" ref="F26:F37" si="13">I9</f>
        <v>0.35483999999999999</v>
      </c>
      <c r="G26" s="213">
        <v>0</v>
      </c>
      <c r="H26" s="76"/>
      <c r="I26" s="140">
        <f>F26+G26-H26</f>
        <v>0.35483999999999999</v>
      </c>
      <c r="J26" s="141">
        <f>M9</f>
        <v>0</v>
      </c>
      <c r="K26" s="142">
        <v>0</v>
      </c>
      <c r="L26" s="143">
        <v>0</v>
      </c>
      <c r="M26" s="144">
        <f>J26+K26-L26</f>
        <v>0</v>
      </c>
      <c r="N26" s="145">
        <f>F26-J26</f>
        <v>0.35483999999999999</v>
      </c>
      <c r="O26" s="145">
        <f>I26-M26</f>
        <v>0.35483999999999999</v>
      </c>
    </row>
    <row r="27" spans="2:15" ht="15">
      <c r="B27" s="78">
        <v>2</v>
      </c>
      <c r="C27" s="79" t="s">
        <v>116</v>
      </c>
      <c r="D27" s="80">
        <v>1100</v>
      </c>
      <c r="E27" s="81">
        <v>3.3399999999999999E-2</v>
      </c>
      <c r="F27" s="146">
        <f t="shared" si="13"/>
        <v>225.27095459500001</v>
      </c>
      <c r="G27" s="214">
        <v>0.12</v>
      </c>
      <c r="H27" s="82"/>
      <c r="I27" s="146">
        <f>F27+G27-H27</f>
        <v>225.39095459500001</v>
      </c>
      <c r="J27" s="147">
        <f t="shared" ref="J27:J37" si="14">M10</f>
        <v>91.478545032</v>
      </c>
      <c r="K27" s="148">
        <v>4.72</v>
      </c>
      <c r="L27" s="149">
        <v>0</v>
      </c>
      <c r="M27" s="150">
        <f t="shared" ref="M27:M29" si="15">J27+K27-L27</f>
        <v>96.198545031999998</v>
      </c>
      <c r="N27" s="146">
        <f t="shared" ref="N27:N29" si="16">F27-J27</f>
        <v>133.79240956300001</v>
      </c>
      <c r="O27" s="146">
        <f t="shared" ref="O27:O29" si="17">I27-M27</f>
        <v>129.19240956300001</v>
      </c>
    </row>
    <row r="28" spans="2:15" ht="15">
      <c r="B28" s="78">
        <v>3</v>
      </c>
      <c r="C28" s="85" t="s">
        <v>393</v>
      </c>
      <c r="D28" s="80">
        <v>1200</v>
      </c>
      <c r="E28" s="81">
        <v>5.28E-2</v>
      </c>
      <c r="F28" s="146">
        <f t="shared" si="13"/>
        <v>0.33214012000000004</v>
      </c>
      <c r="G28" s="214">
        <v>0</v>
      </c>
      <c r="H28" s="82"/>
      <c r="I28" s="146">
        <f t="shared" ref="I28:I29" si="18">F28+G28-H28</f>
        <v>0.33214012000000004</v>
      </c>
      <c r="J28" s="147">
        <f t="shared" si="14"/>
        <v>5.0749487999999995E-2</v>
      </c>
      <c r="K28" s="148">
        <v>0.02</v>
      </c>
      <c r="L28" s="149">
        <v>0</v>
      </c>
      <c r="M28" s="150">
        <f t="shared" si="15"/>
        <v>7.0749487999999999E-2</v>
      </c>
      <c r="N28" s="146">
        <f t="shared" si="16"/>
        <v>0.28139063200000003</v>
      </c>
      <c r="O28" s="146">
        <f t="shared" si="17"/>
        <v>0.26139063200000001</v>
      </c>
    </row>
    <row r="29" spans="2:15" ht="15.75" thickBot="1">
      <c r="B29" s="78">
        <v>4</v>
      </c>
      <c r="C29" s="85" t="s">
        <v>115</v>
      </c>
      <c r="D29" s="80">
        <v>1300</v>
      </c>
      <c r="E29" s="86">
        <v>5.28E-2</v>
      </c>
      <c r="F29" s="146">
        <f t="shared" si="13"/>
        <v>435.04672969100005</v>
      </c>
      <c r="G29" s="214">
        <v>1.68</v>
      </c>
      <c r="H29" s="84"/>
      <c r="I29" s="146">
        <f t="shared" si="18"/>
        <v>436.72672969100006</v>
      </c>
      <c r="J29" s="147">
        <f t="shared" si="14"/>
        <v>202.90584007578119</v>
      </c>
      <c r="K29" s="148">
        <v>7.88</v>
      </c>
      <c r="L29" s="149">
        <v>2.0332799999999997E-3</v>
      </c>
      <c r="M29" s="150">
        <f t="shared" si="15"/>
        <v>210.78380679578117</v>
      </c>
      <c r="N29" s="146">
        <f t="shared" si="16"/>
        <v>232.14088961521887</v>
      </c>
      <c r="O29" s="146">
        <f t="shared" si="17"/>
        <v>225.94292289521889</v>
      </c>
    </row>
    <row r="30" spans="2:15" ht="15">
      <c r="B30" s="70">
        <v>5</v>
      </c>
      <c r="C30" s="73" t="s">
        <v>394</v>
      </c>
      <c r="D30" s="74">
        <v>1400</v>
      </c>
      <c r="E30" s="75">
        <v>5.28E-2</v>
      </c>
      <c r="F30" s="140">
        <f t="shared" si="13"/>
        <v>24.9535266</v>
      </c>
      <c r="G30" s="214">
        <v>0</v>
      </c>
      <c r="H30" s="76"/>
      <c r="I30" s="140">
        <f>F30+G30-H30</f>
        <v>24.9535266</v>
      </c>
      <c r="J30" s="141">
        <f t="shared" si="14"/>
        <v>11.774737370999999</v>
      </c>
      <c r="K30" s="142">
        <v>1.32</v>
      </c>
      <c r="L30" s="143">
        <v>0</v>
      </c>
      <c r="M30" s="144">
        <f>J30+K30-L30</f>
        <v>13.094737370999999</v>
      </c>
      <c r="N30" s="145">
        <f>F30-J30</f>
        <v>13.178789229000001</v>
      </c>
      <c r="O30" s="145">
        <f>I30-M30</f>
        <v>11.858789229000001</v>
      </c>
    </row>
    <row r="31" spans="2:15" ht="15">
      <c r="B31" s="78">
        <v>6</v>
      </c>
      <c r="C31" s="79" t="s">
        <v>395</v>
      </c>
      <c r="D31" s="80">
        <v>1500</v>
      </c>
      <c r="E31" s="81">
        <v>5.28E-2</v>
      </c>
      <c r="F31" s="146">
        <f t="shared" si="13"/>
        <v>1.1438991999999999</v>
      </c>
      <c r="G31" s="214">
        <v>0</v>
      </c>
      <c r="H31" s="82"/>
      <c r="I31" s="146">
        <f>F31+G31-H31</f>
        <v>1.1438991999999999</v>
      </c>
      <c r="J31" s="147">
        <f t="shared" si="14"/>
        <v>0.56791608199999999</v>
      </c>
      <c r="K31" s="148">
        <v>0.02</v>
      </c>
      <c r="L31" s="149">
        <v>0</v>
      </c>
      <c r="M31" s="150">
        <f t="shared" ref="M31:M33" si="19">J31+K31-L31</f>
        <v>0.58791608200000001</v>
      </c>
      <c r="N31" s="146">
        <f t="shared" ref="N31:N33" si="20">F31-J31</f>
        <v>0.57598311799999991</v>
      </c>
      <c r="O31" s="146">
        <f t="shared" ref="O31:O33" si="21">I31-M31</f>
        <v>0.55598311799999989</v>
      </c>
    </row>
    <row r="32" spans="2:15" ht="15">
      <c r="B32" s="78">
        <v>7</v>
      </c>
      <c r="C32" s="85" t="s">
        <v>396</v>
      </c>
      <c r="D32" s="80">
        <v>1600</v>
      </c>
      <c r="E32" s="81">
        <v>3.3399999999999999E-2</v>
      </c>
      <c r="F32" s="146">
        <f t="shared" si="13"/>
        <v>2.437117588</v>
      </c>
      <c r="G32" s="214">
        <v>0</v>
      </c>
      <c r="H32" s="82"/>
      <c r="I32" s="146">
        <f t="shared" ref="I32:I33" si="22">F32+G32-H32</f>
        <v>2.437117588</v>
      </c>
      <c r="J32" s="147">
        <f t="shared" si="14"/>
        <v>0.44866616200000004</v>
      </c>
      <c r="K32" s="148">
        <v>0.08</v>
      </c>
      <c r="L32" s="149">
        <v>0</v>
      </c>
      <c r="M32" s="150">
        <f t="shared" si="19"/>
        <v>0.52866616200000005</v>
      </c>
      <c r="N32" s="146">
        <f t="shared" si="20"/>
        <v>1.9884514259999999</v>
      </c>
      <c r="O32" s="146">
        <f t="shared" si="21"/>
        <v>1.9084514260000001</v>
      </c>
    </row>
    <row r="33" spans="2:15" ht="15.75" thickBot="1">
      <c r="B33" s="78">
        <v>8</v>
      </c>
      <c r="C33" s="85" t="s">
        <v>120</v>
      </c>
      <c r="D33" s="80">
        <v>1700</v>
      </c>
      <c r="E33" s="86">
        <v>9.5000000000000001E-2</v>
      </c>
      <c r="F33" s="146">
        <f t="shared" si="13"/>
        <v>0.36465002499999999</v>
      </c>
      <c r="G33" s="214">
        <v>0</v>
      </c>
      <c r="H33" s="84"/>
      <c r="I33" s="146">
        <f t="shared" si="22"/>
        <v>0.36465002499999999</v>
      </c>
      <c r="J33" s="147">
        <f t="shared" si="14"/>
        <v>0.32818502199999999</v>
      </c>
      <c r="K33" s="148">
        <v>0</v>
      </c>
      <c r="L33" s="149">
        <v>0</v>
      </c>
      <c r="M33" s="150">
        <f t="shared" si="19"/>
        <v>0.32818502199999999</v>
      </c>
      <c r="N33" s="146">
        <f t="shared" si="20"/>
        <v>3.6465002999999996E-2</v>
      </c>
      <c r="O33" s="146">
        <f t="shared" si="21"/>
        <v>3.6465002999999996E-2</v>
      </c>
    </row>
    <row r="34" spans="2:15" ht="15">
      <c r="B34" s="70">
        <v>9</v>
      </c>
      <c r="C34" s="73" t="s">
        <v>397</v>
      </c>
      <c r="D34" s="74">
        <v>1800</v>
      </c>
      <c r="E34" s="75">
        <v>6.3299999999999995E-2</v>
      </c>
      <c r="F34" s="140">
        <f t="shared" si="13"/>
        <v>0.54009041400000002</v>
      </c>
      <c r="G34" s="214">
        <v>0</v>
      </c>
      <c r="H34" s="76"/>
      <c r="I34" s="140">
        <f>F34+G34-H34</f>
        <v>0.54009041400000002</v>
      </c>
      <c r="J34" s="141">
        <f t="shared" si="14"/>
        <v>0.40685405499999999</v>
      </c>
      <c r="K34" s="142">
        <v>0.01</v>
      </c>
      <c r="L34" s="143">
        <v>0</v>
      </c>
      <c r="M34" s="144">
        <f>J34+K34-L34</f>
        <v>0.416854055</v>
      </c>
      <c r="N34" s="145">
        <f>F34-J34</f>
        <v>0.13323635900000003</v>
      </c>
      <c r="O34" s="145">
        <f>I34-M34</f>
        <v>0.12323635900000002</v>
      </c>
    </row>
    <row r="35" spans="2:15" ht="15">
      <c r="B35" s="78">
        <v>10</v>
      </c>
      <c r="C35" s="79" t="s">
        <v>398</v>
      </c>
      <c r="D35" s="80">
        <v>1900</v>
      </c>
      <c r="E35" s="81">
        <v>0.15</v>
      </c>
      <c r="F35" s="146">
        <f t="shared" si="13"/>
        <v>0.45314947499999997</v>
      </c>
      <c r="G35" s="214">
        <v>0</v>
      </c>
      <c r="H35" s="82"/>
      <c r="I35" s="146">
        <f>F35+G35-H35</f>
        <v>0.45314947499999997</v>
      </c>
      <c r="J35" s="147">
        <f t="shared" si="14"/>
        <v>0.37644199700000003</v>
      </c>
      <c r="K35" s="148">
        <v>0.01</v>
      </c>
      <c r="L35" s="149">
        <v>0</v>
      </c>
      <c r="M35" s="150">
        <f t="shared" ref="M35:M37" si="23">J35+K35-L35</f>
        <v>0.38644199700000004</v>
      </c>
      <c r="N35" s="146">
        <f t="shared" ref="N35:N37" si="24">F35-J35</f>
        <v>7.670747799999994E-2</v>
      </c>
      <c r="O35" s="146">
        <f t="shared" ref="O35:O37" si="25">I35-M35</f>
        <v>6.6707477999999931E-2</v>
      </c>
    </row>
    <row r="36" spans="2:15" ht="15">
      <c r="B36" s="78">
        <v>11</v>
      </c>
      <c r="C36" s="85" t="s">
        <v>122</v>
      </c>
      <c r="D36" s="80">
        <v>2100</v>
      </c>
      <c r="E36" s="81">
        <v>6.3299999999999995E-2</v>
      </c>
      <c r="F36" s="146">
        <f t="shared" si="13"/>
        <v>0.57393997399999996</v>
      </c>
      <c r="G36" s="214">
        <v>0.02</v>
      </c>
      <c r="H36" s="82"/>
      <c r="I36" s="146">
        <f t="shared" ref="I36:I37" si="26">F36+G36-H36</f>
        <v>0.59393997399999998</v>
      </c>
      <c r="J36" s="147">
        <f t="shared" si="14"/>
        <v>0.330426569</v>
      </c>
      <c r="K36" s="148">
        <v>0.02</v>
      </c>
      <c r="L36" s="149">
        <v>0</v>
      </c>
      <c r="M36" s="150">
        <f t="shared" si="23"/>
        <v>0.35042656900000002</v>
      </c>
      <c r="N36" s="146">
        <f t="shared" si="24"/>
        <v>0.24351340499999996</v>
      </c>
      <c r="O36" s="146">
        <f t="shared" si="25"/>
        <v>0.24351340499999996</v>
      </c>
    </row>
    <row r="37" spans="2:15" ht="15">
      <c r="B37" s="78">
        <v>12</v>
      </c>
      <c r="C37" s="85" t="s">
        <v>399</v>
      </c>
      <c r="D37" s="80">
        <v>0</v>
      </c>
      <c r="E37" s="86">
        <v>0</v>
      </c>
      <c r="F37" s="146">
        <f t="shared" si="13"/>
        <v>0</v>
      </c>
      <c r="G37" s="83"/>
      <c r="H37" s="84"/>
      <c r="I37" s="146">
        <f t="shared" si="26"/>
        <v>0</v>
      </c>
      <c r="J37" s="147">
        <f t="shared" si="14"/>
        <v>0</v>
      </c>
      <c r="K37" s="148"/>
      <c r="L37" s="149"/>
      <c r="M37" s="150">
        <f t="shared" si="23"/>
        <v>0</v>
      </c>
      <c r="N37" s="146">
        <f t="shared" si="24"/>
        <v>0</v>
      </c>
      <c r="O37" s="146">
        <f t="shared" si="25"/>
        <v>0</v>
      </c>
    </row>
    <row r="38" spans="2:15" ht="15.75" thickBot="1">
      <c r="B38" s="87"/>
      <c r="C38" s="88" t="s">
        <v>127</v>
      </c>
      <c r="D38" s="88"/>
      <c r="E38" s="151">
        <f>IFERROR((K38-L38)/AVERAGE(F38,I38),0)</f>
        <v>2.0332686705475306E-2</v>
      </c>
      <c r="F38" s="152">
        <f>SUM(F26:F37)</f>
        <v>691.47103768200009</v>
      </c>
      <c r="G38" s="152">
        <f t="shared" ref="G38:O38" si="27">SUM(G26:G37)</f>
        <v>1.8199999999999998</v>
      </c>
      <c r="H38" s="152">
        <f t="shared" si="27"/>
        <v>0</v>
      </c>
      <c r="I38" s="152">
        <f t="shared" si="27"/>
        <v>693.29103768200002</v>
      </c>
      <c r="J38" s="153">
        <f t="shared" si="27"/>
        <v>308.66836185378116</v>
      </c>
      <c r="K38" s="152">
        <f t="shared" si="27"/>
        <v>14.079999999999998</v>
      </c>
      <c r="L38" s="154">
        <f t="shared" si="27"/>
        <v>2.0332799999999997E-3</v>
      </c>
      <c r="M38" s="153">
        <f t="shared" si="27"/>
        <v>322.74632857378117</v>
      </c>
      <c r="N38" s="152">
        <f t="shared" si="27"/>
        <v>382.80267582821892</v>
      </c>
      <c r="O38" s="152">
        <f t="shared" si="27"/>
        <v>370.54470910821885</v>
      </c>
    </row>
    <row r="39" spans="2:15" ht="15" thickBot="1"/>
    <row r="40" spans="2:15" ht="15">
      <c r="B40" s="249" t="s">
        <v>384</v>
      </c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1"/>
    </row>
    <row r="41" spans="2:15" ht="15">
      <c r="B41" s="252" t="s">
        <v>2</v>
      </c>
      <c r="C41" s="254" t="s">
        <v>274</v>
      </c>
      <c r="D41" s="256" t="s">
        <v>261</v>
      </c>
      <c r="E41" s="256" t="s">
        <v>262</v>
      </c>
      <c r="F41" s="256" t="s">
        <v>263</v>
      </c>
      <c r="G41" s="256"/>
      <c r="H41" s="256"/>
      <c r="I41" s="256"/>
      <c r="J41" s="256" t="s">
        <v>264</v>
      </c>
      <c r="K41" s="256"/>
      <c r="L41" s="256"/>
      <c r="M41" s="256"/>
      <c r="N41" s="256" t="s">
        <v>265</v>
      </c>
      <c r="O41" s="258"/>
    </row>
    <row r="42" spans="2:15" ht="60.75" thickBot="1">
      <c r="B42" s="253"/>
      <c r="C42" s="255"/>
      <c r="D42" s="257"/>
      <c r="E42" s="257"/>
      <c r="F42" s="71" t="s">
        <v>266</v>
      </c>
      <c r="G42" s="71" t="s">
        <v>126</v>
      </c>
      <c r="H42" s="71" t="s">
        <v>267</v>
      </c>
      <c r="I42" s="71" t="s">
        <v>268</v>
      </c>
      <c r="J42" s="71" t="s">
        <v>269</v>
      </c>
      <c r="K42" s="71" t="s">
        <v>126</v>
      </c>
      <c r="L42" s="71" t="s">
        <v>270</v>
      </c>
      <c r="M42" s="71" t="s">
        <v>271</v>
      </c>
      <c r="N42" s="71" t="s">
        <v>266</v>
      </c>
      <c r="O42" s="72" t="s">
        <v>268</v>
      </c>
    </row>
    <row r="43" spans="2:15" ht="15">
      <c r="B43" s="70">
        <v>1</v>
      </c>
      <c r="C43" s="73" t="s">
        <v>212</v>
      </c>
      <c r="D43" s="74"/>
      <c r="E43" s="75"/>
      <c r="F43" s="140">
        <f>I34</f>
        <v>0.54009041400000002</v>
      </c>
      <c r="G43" s="77"/>
      <c r="H43" s="76"/>
      <c r="I43" s="140">
        <f>F43+G43-H43</f>
        <v>0.54009041400000002</v>
      </c>
      <c r="J43" s="141"/>
      <c r="K43" s="142">
        <f>AVERAGE(F43,I43)*E43</f>
        <v>0</v>
      </c>
      <c r="L43" s="143"/>
      <c r="M43" s="144">
        <f>J43+K43-L43</f>
        <v>0</v>
      </c>
      <c r="N43" s="145">
        <f>F43-J43</f>
        <v>0.54009041400000002</v>
      </c>
      <c r="O43" s="145">
        <f>I43-M43</f>
        <v>0.54009041400000002</v>
      </c>
    </row>
    <row r="44" spans="2:15" ht="15">
      <c r="B44" s="78">
        <v>2</v>
      </c>
      <c r="C44" s="79" t="s">
        <v>116</v>
      </c>
      <c r="D44" s="80"/>
      <c r="E44" s="81"/>
      <c r="F44" s="146">
        <f>I35</f>
        <v>0.45314947499999997</v>
      </c>
      <c r="G44" s="83"/>
      <c r="H44" s="82"/>
      <c r="I44" s="146">
        <f>F44+G44-H44</f>
        <v>0.45314947499999997</v>
      </c>
      <c r="J44" s="147"/>
      <c r="K44" s="148">
        <f t="shared" ref="K44:K45" si="28">AVERAGE(F44,I44)*E44</f>
        <v>0</v>
      </c>
      <c r="L44" s="149"/>
      <c r="M44" s="150">
        <f t="shared" ref="M44:M46" si="29">J44+K44-L44</f>
        <v>0</v>
      </c>
      <c r="N44" s="146">
        <f t="shared" ref="N44:N46" si="30">F44-J44</f>
        <v>0.45314947499999997</v>
      </c>
      <c r="O44" s="146">
        <f t="shared" ref="O44:O46" si="31">I44-M44</f>
        <v>0.45314947499999997</v>
      </c>
    </row>
    <row r="45" spans="2:15" ht="15">
      <c r="B45" s="78">
        <v>3</v>
      </c>
      <c r="C45" s="85" t="s">
        <v>273</v>
      </c>
      <c r="D45" s="80"/>
      <c r="E45" s="81"/>
      <c r="F45" s="146">
        <f>I36</f>
        <v>0.59393997399999998</v>
      </c>
      <c r="G45" s="83"/>
      <c r="H45" s="82"/>
      <c r="I45" s="146">
        <f t="shared" ref="I45:I46" si="32">F45+G45-H45</f>
        <v>0.59393997399999998</v>
      </c>
      <c r="J45" s="147"/>
      <c r="K45" s="148">
        <f t="shared" si="28"/>
        <v>0</v>
      </c>
      <c r="L45" s="149"/>
      <c r="M45" s="150">
        <f t="shared" si="29"/>
        <v>0</v>
      </c>
      <c r="N45" s="146">
        <f t="shared" si="30"/>
        <v>0.59393997399999998</v>
      </c>
      <c r="O45" s="146">
        <f t="shared" si="31"/>
        <v>0.59393997399999998</v>
      </c>
    </row>
    <row r="46" spans="2:15" ht="15">
      <c r="B46" s="78"/>
      <c r="C46" s="85" t="s">
        <v>9</v>
      </c>
      <c r="D46" s="80"/>
      <c r="E46" s="86"/>
      <c r="F46" s="146">
        <f>I37</f>
        <v>0</v>
      </c>
      <c r="G46" s="83">
        <v>7.09</v>
      </c>
      <c r="H46" s="84"/>
      <c r="I46" s="146">
        <f t="shared" si="32"/>
        <v>7.09</v>
      </c>
      <c r="J46" s="147"/>
      <c r="K46" s="148">
        <v>13.58</v>
      </c>
      <c r="L46" s="149"/>
      <c r="M46" s="150">
        <f t="shared" si="29"/>
        <v>13.58</v>
      </c>
      <c r="N46" s="146">
        <f t="shared" si="30"/>
        <v>0</v>
      </c>
      <c r="O46" s="146">
        <f t="shared" si="31"/>
        <v>-6.49</v>
      </c>
    </row>
    <row r="47" spans="2:15" ht="15.75" thickBot="1">
      <c r="B47" s="87"/>
      <c r="C47" s="88" t="s">
        <v>127</v>
      </c>
      <c r="D47" s="88"/>
      <c r="E47" s="151">
        <f>IFERROR((K47-L47)/AVERAGE(F47,I47),0)</f>
        <v>1.6009613282402822E-2</v>
      </c>
      <c r="F47" s="152">
        <f>I38</f>
        <v>693.29103768200002</v>
      </c>
      <c r="G47" s="152">
        <f t="shared" ref="G47:O47" si="33">SUM(G43:G46)</f>
        <v>7.09</v>
      </c>
      <c r="H47" s="152">
        <f t="shared" si="33"/>
        <v>0</v>
      </c>
      <c r="I47" s="152">
        <f>F47+G47</f>
        <v>700.38103768200006</v>
      </c>
      <c r="J47" s="153">
        <f>M38</f>
        <v>322.74632857378117</v>
      </c>
      <c r="K47" s="152">
        <v>11.156075484530701</v>
      </c>
      <c r="L47" s="154">
        <f t="shared" si="33"/>
        <v>0</v>
      </c>
      <c r="M47" s="153">
        <f>J47+K47</f>
        <v>333.90240405831184</v>
      </c>
      <c r="N47" s="152">
        <f t="shared" si="33"/>
        <v>1.587179863</v>
      </c>
      <c r="O47" s="152">
        <f t="shared" si="33"/>
        <v>-4.902820137</v>
      </c>
    </row>
    <row r="48" spans="2:15" ht="15" thickBot="1"/>
    <row r="49" spans="2:15" ht="15">
      <c r="B49" s="249" t="s">
        <v>385</v>
      </c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1"/>
    </row>
    <row r="50" spans="2:15" ht="15">
      <c r="B50" s="252" t="s">
        <v>2</v>
      </c>
      <c r="C50" s="254" t="s">
        <v>274</v>
      </c>
      <c r="D50" s="256" t="s">
        <v>261</v>
      </c>
      <c r="E50" s="256" t="s">
        <v>262</v>
      </c>
      <c r="F50" s="256" t="s">
        <v>263</v>
      </c>
      <c r="G50" s="256"/>
      <c r="H50" s="256"/>
      <c r="I50" s="256"/>
      <c r="J50" s="256" t="s">
        <v>264</v>
      </c>
      <c r="K50" s="256"/>
      <c r="L50" s="256"/>
      <c r="M50" s="256"/>
      <c r="N50" s="256" t="s">
        <v>265</v>
      </c>
      <c r="O50" s="258"/>
    </row>
    <row r="51" spans="2:15" ht="60.75" thickBot="1">
      <c r="B51" s="253"/>
      <c r="C51" s="255"/>
      <c r="D51" s="257"/>
      <c r="E51" s="257"/>
      <c r="F51" s="71" t="s">
        <v>266</v>
      </c>
      <c r="G51" s="71" t="s">
        <v>126</v>
      </c>
      <c r="H51" s="71" t="s">
        <v>267</v>
      </c>
      <c r="I51" s="71" t="s">
        <v>268</v>
      </c>
      <c r="J51" s="71" t="s">
        <v>269</v>
      </c>
      <c r="K51" s="71" t="s">
        <v>126</v>
      </c>
      <c r="L51" s="71" t="s">
        <v>270</v>
      </c>
      <c r="M51" s="71" t="s">
        <v>271</v>
      </c>
      <c r="N51" s="71" t="s">
        <v>266</v>
      </c>
      <c r="O51" s="72" t="s">
        <v>268</v>
      </c>
    </row>
    <row r="52" spans="2:15" ht="15">
      <c r="B52" s="70">
        <v>1</v>
      </c>
      <c r="C52" s="73" t="s">
        <v>212</v>
      </c>
      <c r="D52" s="74"/>
      <c r="E52" s="75"/>
      <c r="F52" s="140">
        <f>I43</f>
        <v>0.54009041400000002</v>
      </c>
      <c r="G52" s="77"/>
      <c r="H52" s="76"/>
      <c r="I52" s="140">
        <f>F52+G52-H52</f>
        <v>0.54009041400000002</v>
      </c>
      <c r="J52" s="141"/>
      <c r="K52" s="142">
        <f>AVERAGE(F52,I52)*E52</f>
        <v>0</v>
      </c>
      <c r="L52" s="143"/>
      <c r="M52" s="144">
        <f>J52+K52-L52</f>
        <v>0</v>
      </c>
      <c r="N52" s="145">
        <f>F52-J52</f>
        <v>0.54009041400000002</v>
      </c>
      <c r="O52" s="145">
        <f>I52-M52</f>
        <v>0.54009041400000002</v>
      </c>
    </row>
    <row r="53" spans="2:15" ht="15">
      <c r="B53" s="78">
        <v>2</v>
      </c>
      <c r="C53" s="79" t="s">
        <v>116</v>
      </c>
      <c r="D53" s="80"/>
      <c r="E53" s="81"/>
      <c r="F53" s="146">
        <f>I44</f>
        <v>0.45314947499999997</v>
      </c>
      <c r="G53" s="83"/>
      <c r="H53" s="82"/>
      <c r="I53" s="146">
        <f>F53+G53-H53</f>
        <v>0.45314947499999997</v>
      </c>
      <c r="J53" s="147"/>
      <c r="K53" s="148">
        <f t="shared" ref="K53:K54" si="34">AVERAGE(F53,I53)*E53</f>
        <v>0</v>
      </c>
      <c r="L53" s="149"/>
      <c r="M53" s="150">
        <f t="shared" ref="M53:M55" si="35">J53+K53-L53</f>
        <v>0</v>
      </c>
      <c r="N53" s="146">
        <f t="shared" ref="N53:N55" si="36">F53-J53</f>
        <v>0.45314947499999997</v>
      </c>
      <c r="O53" s="146">
        <f t="shared" ref="O53:O55" si="37">I53-M53</f>
        <v>0.45314947499999997</v>
      </c>
    </row>
    <row r="54" spans="2:15" ht="15">
      <c r="B54" s="78">
        <v>3</v>
      </c>
      <c r="C54" s="85" t="s">
        <v>273</v>
      </c>
      <c r="D54" s="80"/>
      <c r="E54" s="81"/>
      <c r="F54" s="146">
        <f>I45</f>
        <v>0.59393997399999998</v>
      </c>
      <c r="G54" s="83"/>
      <c r="H54" s="82"/>
      <c r="I54" s="146">
        <f t="shared" ref="I54:I55" si="38">F54+G54-H54</f>
        <v>0.59393997399999998</v>
      </c>
      <c r="J54" s="147"/>
      <c r="K54" s="148">
        <f t="shared" si="34"/>
        <v>0</v>
      </c>
      <c r="L54" s="149"/>
      <c r="M54" s="150">
        <f t="shared" si="35"/>
        <v>0</v>
      </c>
      <c r="N54" s="146">
        <f t="shared" si="36"/>
        <v>0.59393997399999998</v>
      </c>
      <c r="O54" s="146">
        <f t="shared" si="37"/>
        <v>0.59393997399999998</v>
      </c>
    </row>
    <row r="55" spans="2:15" ht="15">
      <c r="B55" s="78"/>
      <c r="C55" s="85" t="s">
        <v>9</v>
      </c>
      <c r="D55" s="80"/>
      <c r="E55" s="86"/>
      <c r="F55" s="146">
        <f>I46</f>
        <v>7.09</v>
      </c>
      <c r="G55" s="83"/>
      <c r="H55" s="84"/>
      <c r="I55" s="146">
        <f t="shared" si="38"/>
        <v>7.09</v>
      </c>
      <c r="J55" s="147"/>
      <c r="K55" s="148">
        <v>13.58</v>
      </c>
      <c r="L55" s="149"/>
      <c r="M55" s="150">
        <f t="shared" si="35"/>
        <v>13.58</v>
      </c>
      <c r="N55" s="146">
        <f t="shared" si="36"/>
        <v>7.09</v>
      </c>
      <c r="O55" s="146">
        <f t="shared" si="37"/>
        <v>-6.49</v>
      </c>
    </row>
    <row r="56" spans="2:15" ht="15.75" thickBot="1">
      <c r="B56" s="87"/>
      <c r="C56" s="88" t="s">
        <v>127</v>
      </c>
      <c r="D56" s="88"/>
      <c r="E56" s="151">
        <f>IFERROR((K56-L56)/AVERAGE(F56,I56),0)</f>
        <v>1.6278993787708026E-2</v>
      </c>
      <c r="F56" s="152">
        <f>I47</f>
        <v>700.38103768200006</v>
      </c>
      <c r="G56" s="152">
        <f t="shared" ref="G56:O56" si="39">SUM(G52:G55)</f>
        <v>0</v>
      </c>
      <c r="H56" s="152">
        <f t="shared" si="39"/>
        <v>0</v>
      </c>
      <c r="I56" s="152">
        <f>F56+G56</f>
        <v>700.38103768200006</v>
      </c>
      <c r="J56" s="153">
        <f>M47</f>
        <v>333.90240405831184</v>
      </c>
      <c r="K56" s="152">
        <v>11.40149856145378</v>
      </c>
      <c r="L56" s="154">
        <f t="shared" si="39"/>
        <v>0</v>
      </c>
      <c r="M56" s="153">
        <f>J56+K56</f>
        <v>345.30390261976561</v>
      </c>
      <c r="N56" s="152">
        <f t="shared" si="39"/>
        <v>8.6771798629999992</v>
      </c>
      <c r="O56" s="152">
        <f t="shared" si="39"/>
        <v>-4.902820137</v>
      </c>
    </row>
    <row r="57" spans="2:15" ht="15" thickBot="1"/>
    <row r="58" spans="2:15" ht="15">
      <c r="B58" s="249" t="s">
        <v>386</v>
      </c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1"/>
    </row>
    <row r="59" spans="2:15" ht="15">
      <c r="B59" s="252" t="s">
        <v>2</v>
      </c>
      <c r="C59" s="254" t="s">
        <v>274</v>
      </c>
      <c r="D59" s="256" t="s">
        <v>261</v>
      </c>
      <c r="E59" s="256" t="s">
        <v>262</v>
      </c>
      <c r="F59" s="256" t="s">
        <v>263</v>
      </c>
      <c r="G59" s="256"/>
      <c r="H59" s="256"/>
      <c r="I59" s="256"/>
      <c r="J59" s="256" t="s">
        <v>264</v>
      </c>
      <c r="K59" s="256"/>
      <c r="L59" s="256"/>
      <c r="M59" s="256"/>
      <c r="N59" s="256" t="s">
        <v>265</v>
      </c>
      <c r="O59" s="258"/>
    </row>
    <row r="60" spans="2:15" ht="60.75" thickBot="1">
      <c r="B60" s="253"/>
      <c r="C60" s="255"/>
      <c r="D60" s="257"/>
      <c r="E60" s="257"/>
      <c r="F60" s="71" t="s">
        <v>266</v>
      </c>
      <c r="G60" s="71" t="s">
        <v>126</v>
      </c>
      <c r="H60" s="71" t="s">
        <v>267</v>
      </c>
      <c r="I60" s="71" t="s">
        <v>268</v>
      </c>
      <c r="J60" s="71" t="s">
        <v>269</v>
      </c>
      <c r="K60" s="71" t="s">
        <v>126</v>
      </c>
      <c r="L60" s="71" t="s">
        <v>270</v>
      </c>
      <c r="M60" s="71" t="s">
        <v>271</v>
      </c>
      <c r="N60" s="71" t="s">
        <v>266</v>
      </c>
      <c r="O60" s="72" t="s">
        <v>268</v>
      </c>
    </row>
    <row r="61" spans="2:15" ht="15">
      <c r="B61" s="70">
        <v>1</v>
      </c>
      <c r="C61" s="73" t="s">
        <v>212</v>
      </c>
      <c r="D61" s="74"/>
      <c r="E61" s="75"/>
      <c r="F61" s="140">
        <f>I52</f>
        <v>0.54009041400000002</v>
      </c>
      <c r="G61" s="77"/>
      <c r="H61" s="76"/>
      <c r="I61" s="140">
        <f>F61+G61-H61</f>
        <v>0.54009041400000002</v>
      </c>
      <c r="J61" s="141"/>
      <c r="K61" s="142">
        <f>AVERAGE(F61,I61)*E61</f>
        <v>0</v>
      </c>
      <c r="L61" s="143"/>
      <c r="M61" s="144">
        <f>J61+K61-L61</f>
        <v>0</v>
      </c>
      <c r="N61" s="145">
        <f>F61-J61</f>
        <v>0.54009041400000002</v>
      </c>
      <c r="O61" s="145">
        <f>I61-M61</f>
        <v>0.54009041400000002</v>
      </c>
    </row>
    <row r="62" spans="2:15" ht="15">
      <c r="B62" s="78">
        <v>2</v>
      </c>
      <c r="C62" s="79" t="s">
        <v>116</v>
      </c>
      <c r="D62" s="80"/>
      <c r="E62" s="81"/>
      <c r="F62" s="146">
        <f>I53</f>
        <v>0.45314947499999997</v>
      </c>
      <c r="G62" s="83"/>
      <c r="H62" s="82"/>
      <c r="I62" s="146">
        <f>F62+G62-H62</f>
        <v>0.45314947499999997</v>
      </c>
      <c r="J62" s="147"/>
      <c r="K62" s="148">
        <f t="shared" ref="K62:K63" si="40">AVERAGE(F62,I62)*E62</f>
        <v>0</v>
      </c>
      <c r="L62" s="149"/>
      <c r="M62" s="150">
        <f t="shared" ref="M62:M64" si="41">J62+K62-L62</f>
        <v>0</v>
      </c>
      <c r="N62" s="146">
        <f t="shared" ref="N62:N64" si="42">F62-J62</f>
        <v>0.45314947499999997</v>
      </c>
      <c r="O62" s="146">
        <f t="shared" ref="O62:O64" si="43">I62-M62</f>
        <v>0.45314947499999997</v>
      </c>
    </row>
    <row r="63" spans="2:15" ht="15">
      <c r="B63" s="78">
        <v>3</v>
      </c>
      <c r="C63" s="85" t="s">
        <v>273</v>
      </c>
      <c r="D63" s="80"/>
      <c r="E63" s="81"/>
      <c r="F63" s="146">
        <f>I54</f>
        <v>0.59393997399999998</v>
      </c>
      <c r="G63" s="83"/>
      <c r="H63" s="82"/>
      <c r="I63" s="146">
        <f t="shared" ref="I63:I64" si="44">F63+G63-H63</f>
        <v>0.59393997399999998</v>
      </c>
      <c r="J63" s="147"/>
      <c r="K63" s="148">
        <f t="shared" si="40"/>
        <v>0</v>
      </c>
      <c r="L63" s="149"/>
      <c r="M63" s="150">
        <f t="shared" si="41"/>
        <v>0</v>
      </c>
      <c r="N63" s="146">
        <f t="shared" si="42"/>
        <v>0.59393997399999998</v>
      </c>
      <c r="O63" s="146">
        <f t="shared" si="43"/>
        <v>0.59393997399999998</v>
      </c>
    </row>
    <row r="64" spans="2:15" ht="15">
      <c r="B64" s="78"/>
      <c r="C64" s="85" t="s">
        <v>9</v>
      </c>
      <c r="D64" s="80"/>
      <c r="E64" s="86"/>
      <c r="F64" s="146">
        <f>I55</f>
        <v>7.09</v>
      </c>
      <c r="G64" s="83"/>
      <c r="H64" s="84"/>
      <c r="I64" s="146">
        <f t="shared" si="44"/>
        <v>7.09</v>
      </c>
      <c r="J64" s="147"/>
      <c r="K64" s="148">
        <v>13.58</v>
      </c>
      <c r="L64" s="149"/>
      <c r="M64" s="150">
        <f t="shared" si="41"/>
        <v>13.58</v>
      </c>
      <c r="N64" s="146">
        <f t="shared" si="42"/>
        <v>7.09</v>
      </c>
      <c r="O64" s="146">
        <f t="shared" si="43"/>
        <v>-6.49</v>
      </c>
    </row>
    <row r="65" spans="2:15" ht="15.75" thickBot="1">
      <c r="B65" s="87"/>
      <c r="C65" s="88" t="s">
        <v>127</v>
      </c>
      <c r="D65" s="88"/>
      <c r="E65" s="151">
        <f>IFERROR((K65-L65)/AVERAGE(F65,I65),0)</f>
        <v>1.6278993787708026E-2</v>
      </c>
      <c r="F65" s="152">
        <f>I56</f>
        <v>700.38103768200006</v>
      </c>
      <c r="G65" s="152">
        <f t="shared" ref="G65:O65" si="45">SUM(G61:G64)</f>
        <v>0</v>
      </c>
      <c r="H65" s="152">
        <f t="shared" si="45"/>
        <v>0</v>
      </c>
      <c r="I65" s="152">
        <f>F65+G65</f>
        <v>700.38103768200006</v>
      </c>
      <c r="J65" s="153">
        <f>M56</f>
        <v>345.30390261976561</v>
      </c>
      <c r="K65" s="152">
        <v>11.40149856145378</v>
      </c>
      <c r="L65" s="154">
        <f t="shared" si="45"/>
        <v>0</v>
      </c>
      <c r="M65" s="153">
        <f>J65+K65</f>
        <v>356.70540118121937</v>
      </c>
      <c r="N65" s="152">
        <f t="shared" si="45"/>
        <v>8.6771798629999992</v>
      </c>
      <c r="O65" s="152">
        <f t="shared" si="45"/>
        <v>-4.902820137</v>
      </c>
    </row>
    <row r="66" spans="2:15" ht="15" thickBot="1"/>
    <row r="67" spans="2:15" ht="15">
      <c r="B67" s="249" t="s">
        <v>387</v>
      </c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1"/>
    </row>
    <row r="68" spans="2:15" ht="15">
      <c r="B68" s="252" t="s">
        <v>2</v>
      </c>
      <c r="C68" s="254" t="s">
        <v>274</v>
      </c>
      <c r="D68" s="256" t="s">
        <v>261</v>
      </c>
      <c r="E68" s="256" t="s">
        <v>262</v>
      </c>
      <c r="F68" s="256" t="s">
        <v>263</v>
      </c>
      <c r="G68" s="256"/>
      <c r="H68" s="256"/>
      <c r="I68" s="256"/>
      <c r="J68" s="256" t="s">
        <v>264</v>
      </c>
      <c r="K68" s="256"/>
      <c r="L68" s="256"/>
      <c r="M68" s="256"/>
      <c r="N68" s="256" t="s">
        <v>265</v>
      </c>
      <c r="O68" s="258"/>
    </row>
    <row r="69" spans="2:15" ht="60.75" thickBot="1">
      <c r="B69" s="253"/>
      <c r="C69" s="255"/>
      <c r="D69" s="257"/>
      <c r="E69" s="257"/>
      <c r="F69" s="71" t="s">
        <v>266</v>
      </c>
      <c r="G69" s="71" t="s">
        <v>126</v>
      </c>
      <c r="H69" s="71" t="s">
        <v>267</v>
      </c>
      <c r="I69" s="71" t="s">
        <v>268</v>
      </c>
      <c r="J69" s="71" t="s">
        <v>269</v>
      </c>
      <c r="K69" s="71" t="s">
        <v>126</v>
      </c>
      <c r="L69" s="71" t="s">
        <v>270</v>
      </c>
      <c r="M69" s="71" t="s">
        <v>271</v>
      </c>
      <c r="N69" s="71" t="s">
        <v>266</v>
      </c>
      <c r="O69" s="72" t="s">
        <v>268</v>
      </c>
    </row>
    <row r="70" spans="2:15" ht="15">
      <c r="B70" s="70">
        <v>1</v>
      </c>
      <c r="C70" s="73" t="s">
        <v>212</v>
      </c>
      <c r="D70" s="74"/>
      <c r="E70" s="75"/>
      <c r="F70" s="140">
        <f>I61</f>
        <v>0.54009041400000002</v>
      </c>
      <c r="G70" s="77"/>
      <c r="H70" s="76"/>
      <c r="I70" s="140">
        <f>F70+G70-H70</f>
        <v>0.54009041400000002</v>
      </c>
      <c r="J70" s="141"/>
      <c r="K70" s="142">
        <f>AVERAGE(F70,I70)*E70</f>
        <v>0</v>
      </c>
      <c r="L70" s="143"/>
      <c r="M70" s="144">
        <f>J70+K70-L70</f>
        <v>0</v>
      </c>
      <c r="N70" s="145">
        <f>F70-J70</f>
        <v>0.54009041400000002</v>
      </c>
      <c r="O70" s="145">
        <f>I70-M70</f>
        <v>0.54009041400000002</v>
      </c>
    </row>
    <row r="71" spans="2:15" ht="15">
      <c r="B71" s="78">
        <v>2</v>
      </c>
      <c r="C71" s="79" t="s">
        <v>116</v>
      </c>
      <c r="D71" s="80"/>
      <c r="E71" s="81"/>
      <c r="F71" s="146">
        <f>I62</f>
        <v>0.45314947499999997</v>
      </c>
      <c r="G71" s="83"/>
      <c r="H71" s="82"/>
      <c r="I71" s="146">
        <f>F71+G71-H71</f>
        <v>0.45314947499999997</v>
      </c>
      <c r="J71" s="147"/>
      <c r="K71" s="148">
        <f t="shared" ref="K71:K72" si="46">AVERAGE(F71,I71)*E71</f>
        <v>0</v>
      </c>
      <c r="L71" s="149"/>
      <c r="M71" s="150">
        <f t="shared" ref="M71:M73" si="47">J71+K71-L71</f>
        <v>0</v>
      </c>
      <c r="N71" s="146">
        <f t="shared" ref="N71:N73" si="48">F71-J71</f>
        <v>0.45314947499999997</v>
      </c>
      <c r="O71" s="146">
        <f t="shared" ref="O71:O73" si="49">I71-M71</f>
        <v>0.45314947499999997</v>
      </c>
    </row>
    <row r="72" spans="2:15" ht="15">
      <c r="B72" s="78">
        <v>3</v>
      </c>
      <c r="C72" s="85" t="s">
        <v>273</v>
      </c>
      <c r="D72" s="80"/>
      <c r="E72" s="81"/>
      <c r="F72" s="146">
        <f>I63</f>
        <v>0.59393997399999998</v>
      </c>
      <c r="G72" s="83"/>
      <c r="H72" s="82"/>
      <c r="I72" s="146">
        <f t="shared" ref="I72:I73" si="50">F72+G72-H72</f>
        <v>0.59393997399999998</v>
      </c>
      <c r="J72" s="147"/>
      <c r="K72" s="148">
        <f t="shared" si="46"/>
        <v>0</v>
      </c>
      <c r="L72" s="149"/>
      <c r="M72" s="150">
        <f t="shared" si="47"/>
        <v>0</v>
      </c>
      <c r="N72" s="146">
        <f t="shared" si="48"/>
        <v>0.59393997399999998</v>
      </c>
      <c r="O72" s="146">
        <f t="shared" si="49"/>
        <v>0.59393997399999998</v>
      </c>
    </row>
    <row r="73" spans="2:15" ht="15">
      <c r="B73" s="78"/>
      <c r="C73" s="85" t="s">
        <v>9</v>
      </c>
      <c r="D73" s="80"/>
      <c r="E73" s="86"/>
      <c r="F73" s="146">
        <f>I64</f>
        <v>7.09</v>
      </c>
      <c r="G73" s="83"/>
      <c r="H73" s="84"/>
      <c r="I73" s="146">
        <f t="shared" si="50"/>
        <v>7.09</v>
      </c>
      <c r="J73" s="147"/>
      <c r="K73" s="148">
        <v>11.40149856145378</v>
      </c>
      <c r="L73" s="149"/>
      <c r="M73" s="150">
        <f t="shared" si="47"/>
        <v>11.40149856145378</v>
      </c>
      <c r="N73" s="146">
        <f t="shared" si="48"/>
        <v>7.09</v>
      </c>
      <c r="O73" s="146">
        <f t="shared" si="49"/>
        <v>-4.3114985614537797</v>
      </c>
    </row>
    <row r="74" spans="2:15" ht="15.75" thickBot="1">
      <c r="B74" s="87"/>
      <c r="C74" s="88" t="s">
        <v>127</v>
      </c>
      <c r="D74" s="88"/>
      <c r="E74" s="151">
        <f>IFERROR((K74-L74)/AVERAGE(F74,I74),0)</f>
        <v>1.6278993787708026E-2</v>
      </c>
      <c r="F74" s="152">
        <f>I65</f>
        <v>700.38103768200006</v>
      </c>
      <c r="G74" s="152">
        <f t="shared" ref="G74:O74" si="51">SUM(G70:G73)</f>
        <v>0</v>
      </c>
      <c r="H74" s="152">
        <f t="shared" si="51"/>
        <v>0</v>
      </c>
      <c r="I74" s="152">
        <f>F74+G74</f>
        <v>700.38103768200006</v>
      </c>
      <c r="J74" s="153">
        <f>M65</f>
        <v>356.70540118121937</v>
      </c>
      <c r="K74" s="152">
        <f t="shared" si="51"/>
        <v>11.40149856145378</v>
      </c>
      <c r="L74" s="154">
        <f t="shared" si="51"/>
        <v>0</v>
      </c>
      <c r="M74" s="153">
        <f>J74+K74</f>
        <v>368.10689974267314</v>
      </c>
      <c r="N74" s="152">
        <f t="shared" si="51"/>
        <v>8.6771798629999992</v>
      </c>
      <c r="O74" s="152">
        <f t="shared" si="51"/>
        <v>-2.7243186984537795</v>
      </c>
    </row>
    <row r="75" spans="2:15" ht="15" thickBot="1"/>
    <row r="76" spans="2:15" ht="15">
      <c r="B76" s="249" t="s">
        <v>388</v>
      </c>
      <c r="C76" s="250"/>
      <c r="D76" s="250"/>
      <c r="E76" s="250"/>
      <c r="F76" s="250"/>
      <c r="G76" s="250"/>
      <c r="H76" s="250"/>
      <c r="I76" s="250"/>
      <c r="J76" s="250"/>
      <c r="K76" s="250"/>
      <c r="L76" s="250"/>
      <c r="M76" s="250"/>
      <c r="N76" s="250"/>
      <c r="O76" s="251"/>
    </row>
    <row r="77" spans="2:15" ht="15">
      <c r="B77" s="252" t="s">
        <v>2</v>
      </c>
      <c r="C77" s="254" t="s">
        <v>274</v>
      </c>
      <c r="D77" s="256" t="s">
        <v>261</v>
      </c>
      <c r="E77" s="256" t="s">
        <v>262</v>
      </c>
      <c r="F77" s="256" t="s">
        <v>263</v>
      </c>
      <c r="G77" s="256"/>
      <c r="H77" s="256"/>
      <c r="I77" s="256"/>
      <c r="J77" s="256" t="s">
        <v>264</v>
      </c>
      <c r="K77" s="256"/>
      <c r="L77" s="256"/>
      <c r="M77" s="256"/>
      <c r="N77" s="256" t="s">
        <v>265</v>
      </c>
      <c r="O77" s="258"/>
    </row>
    <row r="78" spans="2:15" ht="60.75" thickBot="1">
      <c r="B78" s="253"/>
      <c r="C78" s="255"/>
      <c r="D78" s="257"/>
      <c r="E78" s="257"/>
      <c r="F78" s="71" t="s">
        <v>266</v>
      </c>
      <c r="G78" s="71" t="s">
        <v>126</v>
      </c>
      <c r="H78" s="71" t="s">
        <v>267</v>
      </c>
      <c r="I78" s="71" t="s">
        <v>268</v>
      </c>
      <c r="J78" s="71" t="s">
        <v>269</v>
      </c>
      <c r="K78" s="71" t="s">
        <v>126</v>
      </c>
      <c r="L78" s="71" t="s">
        <v>270</v>
      </c>
      <c r="M78" s="71" t="s">
        <v>271</v>
      </c>
      <c r="N78" s="71" t="s">
        <v>266</v>
      </c>
      <c r="O78" s="72" t="s">
        <v>268</v>
      </c>
    </row>
    <row r="79" spans="2:15" ht="15">
      <c r="B79" s="70">
        <v>1</v>
      </c>
      <c r="C79" s="73" t="s">
        <v>212</v>
      </c>
      <c r="D79" s="74"/>
      <c r="E79" s="75"/>
      <c r="F79" s="140">
        <f>I70</f>
        <v>0.54009041400000002</v>
      </c>
      <c r="G79" s="77"/>
      <c r="H79" s="76"/>
      <c r="I79" s="140">
        <f>F79+G79-H79</f>
        <v>0.54009041400000002</v>
      </c>
      <c r="J79" s="141"/>
      <c r="K79" s="142">
        <f>AVERAGE(F79,I79)*E79</f>
        <v>0</v>
      </c>
      <c r="L79" s="143"/>
      <c r="M79" s="144">
        <f>J79+K79-L79</f>
        <v>0</v>
      </c>
      <c r="N79" s="145">
        <f>F79-J79</f>
        <v>0.54009041400000002</v>
      </c>
      <c r="O79" s="145">
        <f>I79-M79</f>
        <v>0.54009041400000002</v>
      </c>
    </row>
    <row r="80" spans="2:15" ht="15">
      <c r="B80" s="78">
        <v>2</v>
      </c>
      <c r="C80" s="79" t="s">
        <v>116</v>
      </c>
      <c r="D80" s="80"/>
      <c r="E80" s="81"/>
      <c r="F80" s="146">
        <f>I71</f>
        <v>0.45314947499999997</v>
      </c>
      <c r="G80" s="83"/>
      <c r="H80" s="82"/>
      <c r="I80" s="146">
        <f>F80+G80-H80</f>
        <v>0.45314947499999997</v>
      </c>
      <c r="J80" s="147"/>
      <c r="K80" s="148">
        <f t="shared" ref="K80:K81" si="52">AVERAGE(F80,I80)*E80</f>
        <v>0</v>
      </c>
      <c r="L80" s="149"/>
      <c r="M80" s="150">
        <f t="shared" ref="M80:M82" si="53">J80+K80-L80</f>
        <v>0</v>
      </c>
      <c r="N80" s="146">
        <f t="shared" ref="N80:N82" si="54">F80-J80</f>
        <v>0.45314947499999997</v>
      </c>
      <c r="O80" s="146">
        <f t="shared" ref="O80:O82" si="55">I80-M80</f>
        <v>0.45314947499999997</v>
      </c>
    </row>
    <row r="81" spans="2:15" ht="15">
      <c r="B81" s="78">
        <v>3</v>
      </c>
      <c r="C81" s="85" t="s">
        <v>273</v>
      </c>
      <c r="D81" s="80"/>
      <c r="E81" s="81"/>
      <c r="F81" s="146">
        <f>I72</f>
        <v>0.59393997399999998</v>
      </c>
      <c r="G81" s="83"/>
      <c r="H81" s="82"/>
      <c r="I81" s="146">
        <f t="shared" ref="I81:I82" si="56">F81+G81-H81</f>
        <v>0.59393997399999998</v>
      </c>
      <c r="J81" s="147"/>
      <c r="K81" s="148">
        <f t="shared" si="52"/>
        <v>0</v>
      </c>
      <c r="L81" s="149"/>
      <c r="M81" s="150">
        <f t="shared" si="53"/>
        <v>0</v>
      </c>
      <c r="N81" s="146">
        <f t="shared" si="54"/>
        <v>0.59393997399999998</v>
      </c>
      <c r="O81" s="146">
        <f t="shared" si="55"/>
        <v>0.59393997399999998</v>
      </c>
    </row>
    <row r="82" spans="2:15" ht="15">
      <c r="B82" s="78"/>
      <c r="C82" s="85" t="s">
        <v>9</v>
      </c>
      <c r="D82" s="80"/>
      <c r="E82" s="86"/>
      <c r="F82" s="146">
        <f>I73</f>
        <v>7.09</v>
      </c>
      <c r="G82" s="83"/>
      <c r="H82" s="84"/>
      <c r="I82" s="146">
        <f t="shared" si="56"/>
        <v>7.09</v>
      </c>
      <c r="J82" s="147"/>
      <c r="K82" s="148">
        <v>11.401498561453781</v>
      </c>
      <c r="L82" s="149"/>
      <c r="M82" s="150">
        <f t="shared" si="53"/>
        <v>11.401498561453781</v>
      </c>
      <c r="N82" s="146">
        <f t="shared" si="54"/>
        <v>7.09</v>
      </c>
      <c r="O82" s="146">
        <f t="shared" si="55"/>
        <v>-4.3114985614537815</v>
      </c>
    </row>
    <row r="83" spans="2:15" ht="15.75" thickBot="1">
      <c r="B83" s="87"/>
      <c r="C83" s="88" t="s">
        <v>127</v>
      </c>
      <c r="D83" s="88"/>
      <c r="E83" s="151">
        <f>IFERROR((K83-L83)/AVERAGE(F83,I83),0)</f>
        <v>1.6278993787708029E-2</v>
      </c>
      <c r="F83" s="152">
        <f>I74</f>
        <v>700.38103768200006</v>
      </c>
      <c r="G83" s="152">
        <f t="shared" ref="G83:O83" si="57">SUM(G79:G82)</f>
        <v>0</v>
      </c>
      <c r="H83" s="152">
        <f t="shared" si="57"/>
        <v>0</v>
      </c>
      <c r="I83" s="152">
        <f>F83+G83</f>
        <v>700.38103768200006</v>
      </c>
      <c r="J83" s="153">
        <f>M74</f>
        <v>368.10689974267314</v>
      </c>
      <c r="K83" s="152">
        <f t="shared" si="57"/>
        <v>11.401498561453781</v>
      </c>
      <c r="L83" s="154">
        <f t="shared" si="57"/>
        <v>0</v>
      </c>
      <c r="M83" s="153">
        <f>J83+K83</f>
        <v>379.5083983041269</v>
      </c>
      <c r="N83" s="152">
        <f t="shared" si="57"/>
        <v>8.6771798629999992</v>
      </c>
      <c r="O83" s="152">
        <f t="shared" si="57"/>
        <v>-2.7243186984537813</v>
      </c>
    </row>
  </sheetData>
  <mergeCells count="59"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40:O40"/>
    <mergeCell ref="B41:B42"/>
    <mergeCell ref="C41:C42"/>
    <mergeCell ref="D41:D42"/>
    <mergeCell ref="E41:E42"/>
    <mergeCell ref="F41:I41"/>
    <mergeCell ref="J41:M41"/>
    <mergeCell ref="N41:O41"/>
    <mergeCell ref="B49:O49"/>
    <mergeCell ref="B50:B51"/>
    <mergeCell ref="C50:C51"/>
    <mergeCell ref="D50:D51"/>
    <mergeCell ref="E50:E51"/>
    <mergeCell ref="F50:I50"/>
    <mergeCell ref="J50:M50"/>
    <mergeCell ref="N50:O50"/>
    <mergeCell ref="F68:I68"/>
    <mergeCell ref="J68:M68"/>
    <mergeCell ref="N68:O68"/>
    <mergeCell ref="B58:O58"/>
    <mergeCell ref="B59:B60"/>
    <mergeCell ref="C59:C60"/>
    <mergeCell ref="D59:D60"/>
    <mergeCell ref="E59:E60"/>
    <mergeCell ref="F59:I59"/>
    <mergeCell ref="J59:M59"/>
    <mergeCell ref="N59:O59"/>
    <mergeCell ref="B2:O2"/>
    <mergeCell ref="B3:O3"/>
    <mergeCell ref="B4:O4"/>
    <mergeCell ref="B76:O76"/>
    <mergeCell ref="B77:B78"/>
    <mergeCell ref="C77:C78"/>
    <mergeCell ref="D77:D78"/>
    <mergeCell ref="E77:E78"/>
    <mergeCell ref="F77:I77"/>
    <mergeCell ref="J77:M77"/>
    <mergeCell ref="N77:O77"/>
    <mergeCell ref="B67:O67"/>
    <mergeCell ref="B68:B69"/>
    <mergeCell ref="C68:C69"/>
    <mergeCell ref="D68:D69"/>
    <mergeCell ref="E68:E69"/>
  </mergeCells>
  <pageMargins left="0.51" right="0.23622047244094491" top="0.98425196850393704" bottom="0.98425196850393704" header="0.23622047244094491" footer="0.23622047244094491"/>
  <pageSetup paperSize="9" scale="45" orientation="portrait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51"/>
  <sheetViews>
    <sheetView showGridLines="0" zoomScale="80" zoomScaleNormal="80" zoomScaleSheetLayoutView="90" workbookViewId="0">
      <selection activeCell="B4" sqref="B4:P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bestFit="1" customWidth="1"/>
    <col min="9" max="9" width="13.28515625" style="5" bestFit="1" customWidth="1"/>
    <col min="10" max="10" width="12.5703125" style="5" customWidth="1"/>
    <col min="11" max="11" width="11.7109375" style="5" bestFit="1" customWidth="1"/>
    <col min="12" max="12" width="13.7109375" style="5" bestFit="1" customWidth="1"/>
    <col min="13" max="18" width="11.7109375" style="5" bestFit="1" customWidth="1"/>
    <col min="19" max="16384" width="9.28515625" style="5"/>
  </cols>
  <sheetData>
    <row r="1" spans="2:15" ht="15">
      <c r="B1" s="30"/>
    </row>
    <row r="2" spans="2:15" ht="14.25" customHeight="1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2:15" ht="14.25" customHeight="1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5" ht="14.25" customHeight="1">
      <c r="B4" s="241" t="s">
        <v>280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15" ht="15">
      <c r="B5" s="40" t="s">
        <v>45</v>
      </c>
      <c r="C5" s="30" t="s">
        <v>281</v>
      </c>
      <c r="D5" s="31"/>
      <c r="E5" s="31"/>
      <c r="F5" s="31"/>
      <c r="G5" s="31"/>
      <c r="H5" s="31"/>
      <c r="I5" s="31"/>
      <c r="J5" s="31"/>
      <c r="K5" s="31"/>
      <c r="L5" s="31"/>
    </row>
    <row r="6" spans="2:15" ht="15">
      <c r="O6" s="32" t="s">
        <v>4</v>
      </c>
    </row>
    <row r="7" spans="2:15" s="19" customFormat="1" ht="15" customHeight="1">
      <c r="B7" s="230" t="s">
        <v>186</v>
      </c>
      <c r="C7" s="233" t="s">
        <v>18</v>
      </c>
      <c r="D7" s="237" t="s">
        <v>382</v>
      </c>
      <c r="E7" s="238"/>
      <c r="F7" s="239"/>
      <c r="G7" s="237" t="s">
        <v>383</v>
      </c>
      <c r="H7" s="238"/>
      <c r="I7" s="238"/>
      <c r="J7" s="238"/>
      <c r="K7" s="247" t="s">
        <v>225</v>
      </c>
      <c r="L7" s="247"/>
      <c r="M7" s="247"/>
      <c r="N7" s="247"/>
      <c r="O7" s="247"/>
    </row>
    <row r="8" spans="2:15" s="19" customFormat="1" ht="45">
      <c r="B8" s="231"/>
      <c r="C8" s="23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235</v>
      </c>
      <c r="I8" s="21" t="s">
        <v>236</v>
      </c>
      <c r="J8" s="21" t="s">
        <v>244</v>
      </c>
      <c r="K8" s="21" t="s">
        <v>384</v>
      </c>
      <c r="L8" s="21" t="s">
        <v>385</v>
      </c>
      <c r="M8" s="21" t="s">
        <v>386</v>
      </c>
      <c r="N8" s="21" t="s">
        <v>387</v>
      </c>
      <c r="O8" s="21" t="s">
        <v>388</v>
      </c>
    </row>
    <row r="9" spans="2:15" s="19" customFormat="1" ht="15">
      <c r="B9" s="232"/>
      <c r="C9" s="234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3</v>
      </c>
      <c r="I9" s="21" t="s">
        <v>5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</row>
    <row r="10" spans="2:15">
      <c r="B10" s="67">
        <v>1</v>
      </c>
      <c r="C10" s="33" t="s">
        <v>165</v>
      </c>
      <c r="D10" s="2">
        <f>'F4'!F21*70%</f>
        <v>483.47599999999994</v>
      </c>
      <c r="E10" s="160">
        <f>'F4'!F21*70%</f>
        <v>483.47599999999994</v>
      </c>
      <c r="F10" s="160">
        <f>E10</f>
        <v>483.47599999999994</v>
      </c>
      <c r="G10" s="27"/>
      <c r="H10" s="27"/>
      <c r="I10" s="27"/>
      <c r="J10" s="133">
        <f>'F4'!F38*70%</f>
        <v>484.02972637740004</v>
      </c>
      <c r="K10" s="133">
        <f>J10+J14</f>
        <v>485.30354962740006</v>
      </c>
      <c r="L10" s="133">
        <f t="shared" ref="L10:O11" si="0">K10+K14</f>
        <v>490.26654962740008</v>
      </c>
      <c r="M10" s="133">
        <f t="shared" si="0"/>
        <v>490.26654962740008</v>
      </c>
      <c r="N10" s="133">
        <f t="shared" si="0"/>
        <v>490.26654962740008</v>
      </c>
      <c r="O10" s="133">
        <f t="shared" si="0"/>
        <v>490.26654962740008</v>
      </c>
    </row>
    <row r="11" spans="2:15">
      <c r="B11" s="26">
        <f>B10+1</f>
        <v>2</v>
      </c>
      <c r="C11" s="33" t="s">
        <v>166</v>
      </c>
      <c r="D11" s="161">
        <f>'F4'!J21</f>
        <v>289.00046602230998</v>
      </c>
      <c r="E11" s="160">
        <f>'F4'!J21</f>
        <v>289.00046602230998</v>
      </c>
      <c r="F11" s="160">
        <f>E11</f>
        <v>289.00046602230998</v>
      </c>
      <c r="G11" s="27"/>
      <c r="H11" s="27"/>
      <c r="I11" s="27"/>
      <c r="J11" s="133">
        <f>'F4'!J38</f>
        <v>308.66836185378116</v>
      </c>
      <c r="K11" s="133">
        <f>J11+J15</f>
        <v>322.74632857378117</v>
      </c>
      <c r="L11" s="133">
        <f t="shared" si="0"/>
        <v>333.90240405831184</v>
      </c>
      <c r="M11" s="133">
        <f t="shared" si="0"/>
        <v>345.30390261976561</v>
      </c>
      <c r="N11" s="133">
        <f t="shared" si="0"/>
        <v>356.70540118121937</v>
      </c>
      <c r="O11" s="133">
        <f t="shared" si="0"/>
        <v>368.10689974267314</v>
      </c>
    </row>
    <row r="12" spans="2:15" ht="15">
      <c r="B12" s="26">
        <f t="shared" ref="B12:B22" si="1">B11+1</f>
        <v>3</v>
      </c>
      <c r="C12" s="35" t="s">
        <v>167</v>
      </c>
      <c r="D12" s="139">
        <f>D10-D11</f>
        <v>194.47553397768996</v>
      </c>
      <c r="E12" s="139">
        <f t="shared" ref="E12:O12" si="2">E10-E11</f>
        <v>194.47553397768996</v>
      </c>
      <c r="F12" s="139">
        <f t="shared" si="2"/>
        <v>194.47553397768996</v>
      </c>
      <c r="G12" s="139">
        <f>G10-G11</f>
        <v>0</v>
      </c>
      <c r="H12" s="139">
        <f>H10-H11</f>
        <v>0</v>
      </c>
      <c r="I12" s="139">
        <f t="shared" si="2"/>
        <v>0</v>
      </c>
      <c r="J12" s="139">
        <f t="shared" si="2"/>
        <v>175.36136452361887</v>
      </c>
      <c r="K12" s="139">
        <f>K10-K11</f>
        <v>162.55722105361889</v>
      </c>
      <c r="L12" s="139">
        <f t="shared" si="2"/>
        <v>156.36414556908824</v>
      </c>
      <c r="M12" s="139">
        <f t="shared" si="2"/>
        <v>144.96264700763447</v>
      </c>
      <c r="N12" s="139">
        <f t="shared" si="2"/>
        <v>133.56114844618071</v>
      </c>
      <c r="O12" s="139">
        <f t="shared" si="2"/>
        <v>122.15964988472695</v>
      </c>
    </row>
    <row r="13" spans="2:15" ht="28.5">
      <c r="B13" s="26">
        <f t="shared" si="1"/>
        <v>4</v>
      </c>
      <c r="C13" s="91" t="s">
        <v>168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</row>
    <row r="14" spans="2:15" s="39" customFormat="1" ht="28.5">
      <c r="B14" s="26">
        <f t="shared" si="1"/>
        <v>5</v>
      </c>
      <c r="C14" s="43" t="s">
        <v>366</v>
      </c>
      <c r="D14" s="158"/>
      <c r="E14" s="169">
        <f>F3.1!H17*70%</f>
        <v>0.54961632319999987</v>
      </c>
      <c r="F14" s="169">
        <f>E14</f>
        <v>0.54961632319999987</v>
      </c>
      <c r="G14" s="177"/>
      <c r="H14" s="177"/>
      <c r="I14" s="177"/>
      <c r="J14" s="178">
        <f>'F3'!H12*0.7</f>
        <v>1.27382325</v>
      </c>
      <c r="K14" s="178">
        <f>'F3'!I12*0.7</f>
        <v>4.9629999999999992</v>
      </c>
      <c r="L14" s="178">
        <f>'F3'!J12*0.7</f>
        <v>0</v>
      </c>
      <c r="M14" s="178">
        <f>'F3'!K12*0.7</f>
        <v>0</v>
      </c>
      <c r="N14" s="178">
        <f>'F3'!L12*0.7</f>
        <v>0</v>
      </c>
      <c r="O14" s="178">
        <f>'F3'!M12*0.7</f>
        <v>0</v>
      </c>
    </row>
    <row r="15" spans="2:15">
      <c r="B15" s="26">
        <f t="shared" si="1"/>
        <v>6</v>
      </c>
      <c r="C15" s="91" t="s">
        <v>173</v>
      </c>
      <c r="D15" s="181">
        <f>'F1'!F12</f>
        <v>20.106000000000002</v>
      </c>
      <c r="E15" s="181">
        <f>'F1'!G12</f>
        <v>19.667895831471174</v>
      </c>
      <c r="F15" s="181">
        <f>'F1'!H12</f>
        <v>19.667895831471174</v>
      </c>
      <c r="G15" s="181">
        <f>'F1'!I12</f>
        <v>13.715999999999999</v>
      </c>
      <c r="H15" s="221"/>
      <c r="I15" s="221"/>
      <c r="J15" s="181">
        <f>'F1'!J12</f>
        <v>14.077966719999999</v>
      </c>
      <c r="K15" s="181">
        <f>'F1'!K12</f>
        <v>11.156075484530701</v>
      </c>
      <c r="L15" s="181">
        <f>'F1'!L12</f>
        <v>11.40149856145378</v>
      </c>
      <c r="M15" s="181">
        <f>'F1'!M12</f>
        <v>11.40149856145378</v>
      </c>
      <c r="N15" s="181">
        <f>'F1'!N12</f>
        <v>11.40149856145378</v>
      </c>
      <c r="O15" s="181">
        <f>'F1'!O12</f>
        <v>11.401498561453781</v>
      </c>
    </row>
    <row r="16" spans="2:15" ht="15">
      <c r="B16" s="26">
        <f t="shared" si="1"/>
        <v>7</v>
      </c>
      <c r="C16" s="33" t="s">
        <v>169</v>
      </c>
      <c r="D16" s="139">
        <f>D12-D13+D14-D15</f>
        <v>174.36953397768997</v>
      </c>
      <c r="E16" s="139">
        <f t="shared" ref="E16:O16" si="3">E12-E13+E14-E15</f>
        <v>175.35725446941879</v>
      </c>
      <c r="F16" s="139">
        <f t="shared" si="3"/>
        <v>175.35725446941879</v>
      </c>
      <c r="G16" s="139">
        <f t="shared" si="3"/>
        <v>-13.715999999999999</v>
      </c>
      <c r="H16" s="222"/>
      <c r="I16" s="222"/>
      <c r="J16" s="139">
        <f t="shared" si="3"/>
        <v>162.55722105361886</v>
      </c>
      <c r="K16" s="139">
        <f t="shared" si="3"/>
        <v>156.36414556908818</v>
      </c>
      <c r="L16" s="139">
        <f t="shared" si="3"/>
        <v>144.96264700763444</v>
      </c>
      <c r="M16" s="139">
        <f t="shared" si="3"/>
        <v>133.56114844618068</v>
      </c>
      <c r="N16" s="139">
        <f t="shared" si="3"/>
        <v>122.15964988472693</v>
      </c>
      <c r="O16" s="139">
        <f t="shared" si="3"/>
        <v>110.75815132327317</v>
      </c>
    </row>
    <row r="17" spans="2:15" ht="15">
      <c r="B17" s="26">
        <f t="shared" si="1"/>
        <v>8</v>
      </c>
      <c r="C17" s="33" t="s">
        <v>170</v>
      </c>
      <c r="D17" s="139">
        <f>D10-D13+D14-D15</f>
        <v>463.36999999999995</v>
      </c>
      <c r="E17" s="139">
        <f t="shared" ref="E17:O17" si="4">E10-E13+E14-E15</f>
        <v>464.35772049172874</v>
      </c>
      <c r="F17" s="139">
        <f t="shared" si="4"/>
        <v>464.35772049172874</v>
      </c>
      <c r="G17" s="139">
        <f t="shared" si="4"/>
        <v>-13.715999999999999</v>
      </c>
      <c r="H17" s="222"/>
      <c r="I17" s="222"/>
      <c r="J17" s="139">
        <f t="shared" si="4"/>
        <v>471.22558290740005</v>
      </c>
      <c r="K17" s="139">
        <f t="shared" si="4"/>
        <v>479.11047414286941</v>
      </c>
      <c r="L17" s="139">
        <f t="shared" si="4"/>
        <v>478.86505106594632</v>
      </c>
      <c r="M17" s="139">
        <f t="shared" si="4"/>
        <v>478.86505106594632</v>
      </c>
      <c r="N17" s="139">
        <f t="shared" si="4"/>
        <v>478.86505106594632</v>
      </c>
      <c r="O17" s="139">
        <f t="shared" si="4"/>
        <v>478.86505106594632</v>
      </c>
    </row>
    <row r="18" spans="2:15" ht="15">
      <c r="B18" s="26">
        <f t="shared" si="1"/>
        <v>9</v>
      </c>
      <c r="C18" s="33" t="s">
        <v>205</v>
      </c>
      <c r="D18" s="139">
        <f>AVERAGE(D12,D16)</f>
        <v>184.42253397768997</v>
      </c>
      <c r="E18" s="139">
        <f t="shared" ref="E18:O18" si="5">AVERAGE(E12,E16)</f>
        <v>184.91639422355439</v>
      </c>
      <c r="F18" s="139">
        <f t="shared" si="5"/>
        <v>184.91639422355439</v>
      </c>
      <c r="G18" s="139">
        <f t="shared" si="5"/>
        <v>-6.8579999999999997</v>
      </c>
      <c r="H18" s="222"/>
      <c r="I18" s="222"/>
      <c r="J18" s="139">
        <f t="shared" si="5"/>
        <v>168.95929278861888</v>
      </c>
      <c r="K18" s="139">
        <f t="shared" si="5"/>
        <v>159.46068331135353</v>
      </c>
      <c r="L18" s="139">
        <f t="shared" si="5"/>
        <v>150.66339628836135</v>
      </c>
      <c r="M18" s="139">
        <f t="shared" si="5"/>
        <v>139.26189772690759</v>
      </c>
      <c r="N18" s="139">
        <f t="shared" si="5"/>
        <v>127.86039916545383</v>
      </c>
      <c r="O18" s="139">
        <f t="shared" si="5"/>
        <v>116.45890060400006</v>
      </c>
    </row>
    <row r="19" spans="2:15">
      <c r="B19" s="26">
        <f t="shared" si="1"/>
        <v>10</v>
      </c>
      <c r="C19" s="91" t="s">
        <v>204</v>
      </c>
      <c r="D19" s="156"/>
      <c r="E19" s="156">
        <v>0.1032</v>
      </c>
      <c r="F19" s="156">
        <f>E19</f>
        <v>0.1032</v>
      </c>
      <c r="G19" s="156">
        <f t="shared" ref="G19" si="6">F19</f>
        <v>0.1032</v>
      </c>
      <c r="H19" s="156">
        <v>0.10199999999999999</v>
      </c>
      <c r="I19" s="156">
        <v>0.10199999999999999</v>
      </c>
      <c r="J19" s="156">
        <v>0.10199999999999999</v>
      </c>
      <c r="K19" s="156">
        <v>0.10199999999999999</v>
      </c>
      <c r="L19" s="156">
        <v>0.10199999999999999</v>
      </c>
      <c r="M19" s="156">
        <v>0.10199999999999999</v>
      </c>
      <c r="N19" s="156">
        <v>0.10199999999999999</v>
      </c>
      <c r="O19" s="156">
        <v>0.10199999999999999</v>
      </c>
    </row>
    <row r="20" spans="2:15" ht="15">
      <c r="B20" s="26">
        <f t="shared" si="1"/>
        <v>11</v>
      </c>
      <c r="C20" s="33" t="s">
        <v>282</v>
      </c>
      <c r="D20" s="139">
        <f>D18*D19</f>
        <v>0</v>
      </c>
      <c r="E20" s="139">
        <f>E18*E19</f>
        <v>19.083371883870814</v>
      </c>
      <c r="F20" s="139">
        <f t="shared" ref="F20:O20" si="7">F18*F19</f>
        <v>19.083371883870814</v>
      </c>
      <c r="G20" s="139">
        <f t="shared" si="7"/>
        <v>-0.70774559999999997</v>
      </c>
      <c r="H20" s="139">
        <f t="shared" si="7"/>
        <v>0</v>
      </c>
      <c r="I20" s="139">
        <f t="shared" si="7"/>
        <v>0</v>
      </c>
      <c r="J20" s="139">
        <f t="shared" si="7"/>
        <v>17.233847864439124</v>
      </c>
      <c r="K20" s="139">
        <f t="shared" si="7"/>
        <v>16.264989697758061</v>
      </c>
      <c r="L20" s="139">
        <f t="shared" si="7"/>
        <v>15.367666421412856</v>
      </c>
      <c r="M20" s="139">
        <f t="shared" si="7"/>
        <v>14.204713568144573</v>
      </c>
      <c r="N20" s="139">
        <f t="shared" si="7"/>
        <v>13.04176071487629</v>
      </c>
      <c r="O20" s="139">
        <f t="shared" si="7"/>
        <v>11.878807861608006</v>
      </c>
    </row>
    <row r="21" spans="2:15">
      <c r="B21" s="26">
        <f t="shared" si="1"/>
        <v>12</v>
      </c>
      <c r="C21" s="33" t="s">
        <v>284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</row>
    <row r="22" spans="2:15" ht="15">
      <c r="B22" s="26">
        <f t="shared" si="1"/>
        <v>13</v>
      </c>
      <c r="C22" s="33" t="s">
        <v>285</v>
      </c>
      <c r="D22" s="139">
        <v>18.670000000000002</v>
      </c>
      <c r="E22" s="139">
        <f t="shared" ref="E22:O22" si="8">E20+E21</f>
        <v>19.083371883870814</v>
      </c>
      <c r="F22" s="139">
        <f t="shared" si="8"/>
        <v>19.083371883870814</v>
      </c>
      <c r="G22" s="139">
        <v>16.86</v>
      </c>
      <c r="H22" s="139">
        <f t="shared" si="8"/>
        <v>0</v>
      </c>
      <c r="I22" s="139">
        <f t="shared" si="8"/>
        <v>0</v>
      </c>
      <c r="J22" s="139">
        <f t="shared" si="8"/>
        <v>17.233847864439124</v>
      </c>
      <c r="K22" s="139">
        <f t="shared" si="8"/>
        <v>16.264989697758061</v>
      </c>
      <c r="L22" s="139">
        <f t="shared" si="8"/>
        <v>15.367666421412856</v>
      </c>
      <c r="M22" s="139">
        <f t="shared" si="8"/>
        <v>14.204713568144573</v>
      </c>
      <c r="N22" s="139">
        <f t="shared" si="8"/>
        <v>13.04176071487629</v>
      </c>
      <c r="O22" s="139">
        <f t="shared" si="8"/>
        <v>11.878807861608006</v>
      </c>
    </row>
    <row r="23" spans="2:15">
      <c r="B23" s="182"/>
    </row>
    <row r="24" spans="2:15">
      <c r="B24" s="182"/>
      <c r="C24" s="5" t="s">
        <v>247</v>
      </c>
    </row>
    <row r="25" spans="2:15">
      <c r="C25" s="5" t="s">
        <v>367</v>
      </c>
    </row>
    <row r="27" spans="2:15" ht="15">
      <c r="B27" s="40" t="s">
        <v>50</v>
      </c>
      <c r="C27" s="30" t="s">
        <v>283</v>
      </c>
    </row>
    <row r="28" spans="2:15" ht="15">
      <c r="L28" s="32" t="s">
        <v>4</v>
      </c>
    </row>
    <row r="29" spans="2:15" ht="15" customHeight="1">
      <c r="B29" s="230" t="s">
        <v>186</v>
      </c>
      <c r="C29" s="233" t="s">
        <v>18</v>
      </c>
      <c r="D29" s="90" t="s">
        <v>232</v>
      </c>
      <c r="E29" s="237" t="s">
        <v>231</v>
      </c>
      <c r="F29" s="238"/>
      <c r="G29" s="239"/>
      <c r="H29" s="259" t="s">
        <v>225</v>
      </c>
      <c r="I29" s="260"/>
      <c r="J29" s="260"/>
      <c r="K29" s="260"/>
      <c r="L29" s="261"/>
    </row>
    <row r="30" spans="2:15" ht="15">
      <c r="B30" s="231"/>
      <c r="C30" s="233"/>
      <c r="D30" s="21" t="s">
        <v>245</v>
      </c>
      <c r="E30" s="21" t="s">
        <v>235</v>
      </c>
      <c r="F30" s="21" t="s">
        <v>236</v>
      </c>
      <c r="G30" s="21" t="s">
        <v>244</v>
      </c>
      <c r="H30" s="21" t="s">
        <v>226</v>
      </c>
      <c r="I30" s="21" t="s">
        <v>227</v>
      </c>
      <c r="J30" s="21" t="s">
        <v>228</v>
      </c>
      <c r="K30" s="21" t="s">
        <v>229</v>
      </c>
      <c r="L30" s="21" t="s">
        <v>230</v>
      </c>
    </row>
    <row r="31" spans="2:15" ht="15">
      <c r="B31" s="232"/>
      <c r="C31" s="234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  <c r="K31" s="21" t="s">
        <v>8</v>
      </c>
      <c r="L31" s="21" t="s">
        <v>8</v>
      </c>
    </row>
    <row r="32" spans="2:15" ht="15">
      <c r="B32" s="26">
        <v>1</v>
      </c>
      <c r="C32" s="44" t="s">
        <v>412</v>
      </c>
      <c r="D32" s="33"/>
      <c r="E32" s="33"/>
      <c r="F32" s="33"/>
      <c r="G32" s="33"/>
      <c r="H32" s="33"/>
      <c r="I32" s="33"/>
      <c r="J32" s="33"/>
      <c r="K32" s="33"/>
      <c r="L32" s="33"/>
    </row>
    <row r="33" spans="2:12">
      <c r="B33" s="33"/>
      <c r="C33" s="33" t="s">
        <v>13</v>
      </c>
      <c r="D33" s="160">
        <v>58.42</v>
      </c>
      <c r="E33" s="160"/>
      <c r="F33" s="160"/>
      <c r="G33" s="160">
        <v>30.38</v>
      </c>
      <c r="H33" s="160">
        <v>2.34</v>
      </c>
      <c r="I33" s="33"/>
      <c r="J33" s="33"/>
      <c r="K33" s="33"/>
      <c r="L33" s="33"/>
    </row>
    <row r="34" spans="2:12">
      <c r="B34" s="33"/>
      <c r="C34" s="33" t="s">
        <v>158</v>
      </c>
      <c r="D34" s="160">
        <v>0</v>
      </c>
      <c r="E34" s="160"/>
      <c r="F34" s="160"/>
      <c r="G34" s="160">
        <v>0</v>
      </c>
      <c r="H34" s="160">
        <v>0</v>
      </c>
      <c r="I34" s="33"/>
      <c r="J34" s="33"/>
      <c r="K34" s="33"/>
      <c r="L34" s="33"/>
    </row>
    <row r="35" spans="2:12">
      <c r="B35" s="33"/>
      <c r="C35" s="33" t="s">
        <v>14</v>
      </c>
      <c r="D35" s="160">
        <v>28.04</v>
      </c>
      <c r="E35" s="160"/>
      <c r="F35" s="160"/>
      <c r="G35" s="160">
        <v>28.04</v>
      </c>
      <c r="H35" s="160">
        <v>2.34</v>
      </c>
      <c r="I35" s="33"/>
      <c r="J35" s="33"/>
      <c r="K35" s="33"/>
      <c r="L35" s="33"/>
    </row>
    <row r="36" spans="2:12" ht="15">
      <c r="B36" s="33"/>
      <c r="C36" s="33" t="s">
        <v>15</v>
      </c>
      <c r="D36" s="137">
        <v>30.380000000000003</v>
      </c>
      <c r="E36" s="137">
        <f t="shared" ref="E36:L36" si="9">E33+E34-E35</f>
        <v>0</v>
      </c>
      <c r="F36" s="137">
        <f t="shared" si="9"/>
        <v>0</v>
      </c>
      <c r="G36" s="137">
        <v>2.34</v>
      </c>
      <c r="H36" s="137">
        <v>0</v>
      </c>
      <c r="I36" s="137">
        <f t="shared" si="9"/>
        <v>0</v>
      </c>
      <c r="J36" s="137">
        <f t="shared" si="9"/>
        <v>0</v>
      </c>
      <c r="K36" s="137">
        <f t="shared" si="9"/>
        <v>0</v>
      </c>
      <c r="L36" s="137">
        <f t="shared" si="9"/>
        <v>0</v>
      </c>
    </row>
    <row r="37" spans="2:12" ht="15">
      <c r="B37" s="33"/>
      <c r="C37" s="33" t="s">
        <v>206</v>
      </c>
      <c r="D37" s="137">
        <v>44.37</v>
      </c>
      <c r="E37" s="137">
        <f t="shared" ref="E37:L37" si="10">AVERAGE(E33,E36)</f>
        <v>0</v>
      </c>
      <c r="F37" s="137">
        <f t="shared" si="10"/>
        <v>0</v>
      </c>
      <c r="G37" s="137">
        <v>16.666666666666668</v>
      </c>
      <c r="H37" s="137">
        <v>0.29411764705882354</v>
      </c>
      <c r="I37" s="137">
        <f t="shared" si="10"/>
        <v>0</v>
      </c>
      <c r="J37" s="137">
        <f t="shared" si="10"/>
        <v>0</v>
      </c>
      <c r="K37" s="137">
        <f t="shared" si="10"/>
        <v>0</v>
      </c>
      <c r="L37" s="137">
        <f t="shared" si="10"/>
        <v>0</v>
      </c>
    </row>
    <row r="38" spans="2:12">
      <c r="B38" s="33"/>
      <c r="C38" s="33" t="s">
        <v>16</v>
      </c>
      <c r="D38" s="160">
        <v>10.32</v>
      </c>
      <c r="E38" s="160"/>
      <c r="F38" s="160"/>
      <c r="G38" s="160">
        <v>10.199999999999999</v>
      </c>
      <c r="H38" s="160">
        <v>10.199999999999999</v>
      </c>
      <c r="I38" s="159"/>
      <c r="J38" s="159"/>
      <c r="K38" s="159"/>
      <c r="L38" s="159"/>
    </row>
    <row r="39" spans="2:12" ht="15">
      <c r="B39" s="33"/>
      <c r="C39" s="33" t="s">
        <v>282</v>
      </c>
      <c r="D39" s="137">
        <v>4.58</v>
      </c>
      <c r="E39" s="137">
        <f t="shared" ref="E39:L39" si="11">E37*E38</f>
        <v>0</v>
      </c>
      <c r="F39" s="137">
        <f t="shared" si="11"/>
        <v>0</v>
      </c>
      <c r="G39" s="137">
        <v>1.7</v>
      </c>
      <c r="H39" s="137">
        <v>0.03</v>
      </c>
      <c r="I39" s="137">
        <f t="shared" si="11"/>
        <v>0</v>
      </c>
      <c r="J39" s="137">
        <f t="shared" si="11"/>
        <v>0</v>
      </c>
      <c r="K39" s="137">
        <f t="shared" si="11"/>
        <v>0</v>
      </c>
      <c r="L39" s="137">
        <f t="shared" si="11"/>
        <v>0</v>
      </c>
    </row>
    <row r="40" spans="2:12">
      <c r="B40" s="33"/>
      <c r="C40" s="33" t="s">
        <v>284</v>
      </c>
      <c r="D40" s="160">
        <v>0</v>
      </c>
      <c r="E40" s="160"/>
      <c r="F40" s="160"/>
      <c r="G40" s="160">
        <v>0</v>
      </c>
      <c r="H40" s="160">
        <v>0</v>
      </c>
      <c r="I40" s="160"/>
      <c r="J40" s="160"/>
      <c r="K40" s="160"/>
      <c r="L40" s="160"/>
    </row>
    <row r="41" spans="2:12" ht="15">
      <c r="B41" s="33"/>
      <c r="C41" s="33" t="s">
        <v>285</v>
      </c>
      <c r="D41" s="137">
        <v>4.58</v>
      </c>
      <c r="E41" s="137">
        <f t="shared" ref="E41:L41" si="12">E39+E40</f>
        <v>0</v>
      </c>
      <c r="F41" s="137">
        <f t="shared" si="12"/>
        <v>0</v>
      </c>
      <c r="G41" s="137">
        <v>1.7</v>
      </c>
      <c r="H41" s="137">
        <v>0.03</v>
      </c>
      <c r="I41" s="137">
        <f t="shared" si="12"/>
        <v>0</v>
      </c>
      <c r="J41" s="137">
        <f t="shared" si="12"/>
        <v>0</v>
      </c>
      <c r="K41" s="137">
        <f t="shared" si="12"/>
        <v>0</v>
      </c>
      <c r="L41" s="137">
        <f t="shared" si="12"/>
        <v>0</v>
      </c>
    </row>
    <row r="42" spans="2:12" ht="15">
      <c r="B42" s="26">
        <v>2</v>
      </c>
      <c r="C42" s="44" t="s">
        <v>127</v>
      </c>
      <c r="D42" s="160"/>
      <c r="E42" s="160"/>
      <c r="F42" s="160"/>
      <c r="G42" s="160"/>
      <c r="H42" s="160"/>
      <c r="I42" s="160"/>
      <c r="J42" s="160"/>
      <c r="K42" s="160"/>
      <c r="L42" s="160"/>
    </row>
    <row r="43" spans="2:12">
      <c r="B43" s="33"/>
      <c r="C43" s="33" t="s">
        <v>13</v>
      </c>
      <c r="D43" s="160">
        <v>58.42</v>
      </c>
      <c r="E43" s="160"/>
      <c r="F43" s="160"/>
      <c r="G43" s="160">
        <v>30.38</v>
      </c>
      <c r="H43" s="160">
        <v>2.34</v>
      </c>
      <c r="I43" s="160"/>
      <c r="J43" s="160"/>
      <c r="K43" s="160"/>
      <c r="L43" s="160"/>
    </row>
    <row r="44" spans="2:12">
      <c r="B44" s="33"/>
      <c r="C44" s="33" t="s">
        <v>158</v>
      </c>
      <c r="D44" s="160">
        <v>0</v>
      </c>
      <c r="E44" s="160"/>
      <c r="F44" s="160"/>
      <c r="G44" s="160">
        <v>0</v>
      </c>
      <c r="H44" s="160">
        <v>0</v>
      </c>
      <c r="I44" s="160"/>
      <c r="J44" s="160"/>
      <c r="K44" s="160"/>
      <c r="L44" s="160"/>
    </row>
    <row r="45" spans="2:12">
      <c r="B45" s="33"/>
      <c r="C45" s="33" t="s">
        <v>14</v>
      </c>
      <c r="D45" s="160">
        <v>28.04</v>
      </c>
      <c r="E45" s="160"/>
      <c r="F45" s="160"/>
      <c r="G45" s="160">
        <v>28.04</v>
      </c>
      <c r="H45" s="160">
        <v>2.34</v>
      </c>
      <c r="I45" s="160"/>
      <c r="J45" s="160"/>
      <c r="K45" s="160"/>
      <c r="L45" s="160"/>
    </row>
    <row r="46" spans="2:12" ht="15">
      <c r="B46" s="33"/>
      <c r="C46" s="33" t="s">
        <v>15</v>
      </c>
      <c r="D46" s="137">
        <v>30.380000000000003</v>
      </c>
      <c r="E46" s="137">
        <f t="shared" ref="E46:L46" si="13">E43+E44-E45</f>
        <v>0</v>
      </c>
      <c r="F46" s="137">
        <f t="shared" si="13"/>
        <v>0</v>
      </c>
      <c r="G46" s="137">
        <v>2.34</v>
      </c>
      <c r="H46" s="137">
        <v>0</v>
      </c>
      <c r="I46" s="137">
        <f t="shared" si="13"/>
        <v>0</v>
      </c>
      <c r="J46" s="137">
        <f t="shared" si="13"/>
        <v>0</v>
      </c>
      <c r="K46" s="137">
        <f t="shared" si="13"/>
        <v>0</v>
      </c>
      <c r="L46" s="137">
        <f t="shared" si="13"/>
        <v>0</v>
      </c>
    </row>
    <row r="47" spans="2:12" ht="15">
      <c r="B47" s="33"/>
      <c r="C47" s="33" t="s">
        <v>206</v>
      </c>
      <c r="D47" s="137">
        <v>44.37</v>
      </c>
      <c r="E47" s="137">
        <f t="shared" ref="E47:L47" si="14">AVERAGE(E43,E46)</f>
        <v>0</v>
      </c>
      <c r="F47" s="137">
        <f t="shared" si="14"/>
        <v>0</v>
      </c>
      <c r="G47" s="137">
        <v>16.666666666666668</v>
      </c>
      <c r="H47" s="137">
        <v>0.29411764705882354</v>
      </c>
      <c r="I47" s="137">
        <f t="shared" si="14"/>
        <v>0</v>
      </c>
      <c r="J47" s="137">
        <f t="shared" si="14"/>
        <v>0</v>
      </c>
      <c r="K47" s="137">
        <f t="shared" si="14"/>
        <v>0</v>
      </c>
      <c r="L47" s="137">
        <f t="shared" si="14"/>
        <v>0</v>
      </c>
    </row>
    <row r="48" spans="2:12">
      <c r="B48" s="33"/>
      <c r="C48" s="33" t="s">
        <v>16</v>
      </c>
      <c r="D48" s="160">
        <v>10.32</v>
      </c>
      <c r="E48" s="160"/>
      <c r="F48" s="160"/>
      <c r="G48" s="160">
        <v>10.199999999999999</v>
      </c>
      <c r="H48" s="160">
        <v>10.199999999999999</v>
      </c>
      <c r="I48" s="159"/>
      <c r="J48" s="159"/>
      <c r="K48" s="159"/>
      <c r="L48" s="159"/>
    </row>
    <row r="49" spans="2:12" ht="15">
      <c r="B49" s="33"/>
      <c r="C49" s="33" t="s">
        <v>282</v>
      </c>
      <c r="D49" s="137">
        <v>4.58</v>
      </c>
      <c r="E49" s="137">
        <f t="shared" ref="E49:L49" si="15">E47*E48</f>
        <v>0</v>
      </c>
      <c r="F49" s="137">
        <f t="shared" si="15"/>
        <v>0</v>
      </c>
      <c r="G49" s="137">
        <v>1.7</v>
      </c>
      <c r="H49" s="137">
        <v>0.03</v>
      </c>
      <c r="I49" s="137">
        <f t="shared" si="15"/>
        <v>0</v>
      </c>
      <c r="J49" s="137">
        <f t="shared" si="15"/>
        <v>0</v>
      </c>
      <c r="K49" s="137">
        <f t="shared" si="15"/>
        <v>0</v>
      </c>
      <c r="L49" s="137">
        <f t="shared" si="15"/>
        <v>0</v>
      </c>
    </row>
    <row r="50" spans="2:12">
      <c r="B50" s="33"/>
      <c r="C50" s="33" t="s">
        <v>284</v>
      </c>
      <c r="D50" s="160">
        <v>0</v>
      </c>
      <c r="E50" s="160"/>
      <c r="F50" s="160"/>
      <c r="G50" s="160">
        <v>0</v>
      </c>
      <c r="H50" s="160">
        <v>0</v>
      </c>
      <c r="I50" s="160"/>
      <c r="J50" s="160"/>
      <c r="K50" s="160"/>
      <c r="L50" s="160"/>
    </row>
    <row r="51" spans="2:12" ht="15">
      <c r="B51" s="33"/>
      <c r="C51" s="33" t="s">
        <v>285</v>
      </c>
      <c r="D51" s="137">
        <v>4.58</v>
      </c>
      <c r="E51" s="137">
        <f t="shared" ref="E51:L51" si="16">E49+E50</f>
        <v>0</v>
      </c>
      <c r="F51" s="137">
        <f t="shared" si="16"/>
        <v>0</v>
      </c>
      <c r="G51" s="137">
        <v>1.7</v>
      </c>
      <c r="H51" s="137">
        <v>0.03</v>
      </c>
      <c r="I51" s="137">
        <f t="shared" si="16"/>
        <v>0</v>
      </c>
      <c r="J51" s="137">
        <f t="shared" si="16"/>
        <v>0</v>
      </c>
      <c r="K51" s="137">
        <f t="shared" si="16"/>
        <v>0</v>
      </c>
      <c r="L51" s="137">
        <f t="shared" si="16"/>
        <v>0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" right="0.25" top="1" bottom="1" header="0.25" footer="0.25"/>
  <pageSetup paperSize="9" scale="57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95" zoomScaleNormal="95" zoomScaleSheetLayoutView="90" workbookViewId="0">
      <selection activeCell="B4" sqref="B4:P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23" t="s">
        <v>408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2:13" ht="15.75">
      <c r="B3" s="223" t="s">
        <v>381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ht="15.75">
      <c r="B4" s="262" t="s">
        <v>293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30" t="s">
        <v>186</v>
      </c>
      <c r="C7" s="233" t="s">
        <v>18</v>
      </c>
      <c r="D7" s="237" t="s">
        <v>382</v>
      </c>
      <c r="E7" s="238"/>
      <c r="F7" s="239"/>
      <c r="G7" s="237" t="s">
        <v>383</v>
      </c>
      <c r="H7" s="238"/>
      <c r="I7" s="247" t="s">
        <v>225</v>
      </c>
      <c r="J7" s="247"/>
      <c r="K7" s="247"/>
      <c r="L7" s="247"/>
      <c r="M7" s="247"/>
    </row>
    <row r="8" spans="2:13" s="19" customFormat="1" ht="45">
      <c r="B8" s="231"/>
      <c r="C8" s="23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7">
        <v>1</v>
      </c>
      <c r="C10" s="33" t="s">
        <v>286</v>
      </c>
      <c r="D10" s="2"/>
      <c r="E10" s="33"/>
      <c r="F10" s="33"/>
      <c r="G10" s="27"/>
      <c r="H10" s="27"/>
      <c r="I10" s="27"/>
      <c r="J10" s="27"/>
      <c r="K10" s="27"/>
      <c r="L10" s="27"/>
      <c r="M10" s="27"/>
    </row>
    <row r="11" spans="2:13">
      <c r="B11" s="26">
        <f>B10+1</f>
        <v>2</v>
      </c>
      <c r="C11" s="33" t="s">
        <v>287</v>
      </c>
      <c r="D11" s="2"/>
      <c r="E11" s="33"/>
      <c r="F11" s="33"/>
      <c r="G11" s="27"/>
      <c r="H11" s="27"/>
      <c r="I11" s="27"/>
      <c r="J11" s="27"/>
      <c r="K11" s="27"/>
      <c r="L11" s="27"/>
      <c r="M11" s="27"/>
    </row>
    <row r="12" spans="2:13">
      <c r="B12" s="26">
        <f t="shared" ref="B12:B20" si="0">B11+1</f>
        <v>3</v>
      </c>
      <c r="C12" s="35" t="s">
        <v>288</v>
      </c>
      <c r="D12" s="2"/>
      <c r="E12" s="33"/>
      <c r="F12" s="33"/>
      <c r="G12" s="27"/>
      <c r="H12" s="27"/>
      <c r="I12" s="27"/>
      <c r="J12" s="27"/>
      <c r="K12" s="27"/>
      <c r="L12" s="27"/>
      <c r="M12" s="27"/>
    </row>
    <row r="13" spans="2:13">
      <c r="B13" s="26">
        <f t="shared" si="0"/>
        <v>4</v>
      </c>
      <c r="C13" s="91" t="s">
        <v>289</v>
      </c>
      <c r="D13" s="158">
        <f>'F2'!E14/12</f>
        <v>2.3353275</v>
      </c>
      <c r="E13" s="158">
        <f>'F2'!F14/12</f>
        <v>4.1446739744292254</v>
      </c>
      <c r="F13" s="158">
        <f>'F2'!G14/12</f>
        <v>4.1446739744292254</v>
      </c>
      <c r="G13" s="158">
        <f>'F2'!H14/12</f>
        <v>2.4626250000000001</v>
      </c>
      <c r="H13" s="158">
        <f>'F2'!I14/12</f>
        <v>4.2653547080293599</v>
      </c>
      <c r="I13" s="158">
        <f>'F2'!J14/12</f>
        <v>3.6445693844806031</v>
      </c>
      <c r="J13" s="158">
        <f>'F2'!K14/12</f>
        <v>3.8387442779427996</v>
      </c>
      <c r="K13" s="158">
        <f>'F2'!L14/12</f>
        <v>4.0405662228131503</v>
      </c>
      <c r="L13" s="158">
        <f>'F2'!M14/12</f>
        <v>4.2540119778596752</v>
      </c>
      <c r="M13" s="158">
        <f>'F2'!N14/12</f>
        <v>4.4797517128039024</v>
      </c>
    </row>
    <row r="14" spans="2:13" s="39" customFormat="1" ht="15">
      <c r="B14" s="26">
        <f t="shared" si="0"/>
        <v>5</v>
      </c>
      <c r="C14" s="43" t="s">
        <v>290</v>
      </c>
      <c r="D14" s="158">
        <f>'F1'!F11*15%</f>
        <v>4.2035894999999996</v>
      </c>
      <c r="E14" s="169">
        <f>'F1'!G11*15%</f>
        <v>7.4604131539726062</v>
      </c>
      <c r="F14" s="176">
        <f>'F1'!H11*15%</f>
        <v>7.4604131539726062</v>
      </c>
      <c r="G14" s="176">
        <f>'F1'!I11*15%</f>
        <v>4.4327249999999996</v>
      </c>
      <c r="H14" s="169">
        <f>'F1'!J11*15%</f>
        <v>7.6776384744528476</v>
      </c>
      <c r="I14" s="169">
        <f>'F4'!F47*1%</f>
        <v>6.9329103768200007</v>
      </c>
      <c r="J14" s="169">
        <f>'F4'!F56*1%</f>
        <v>7.0038103768200006</v>
      </c>
      <c r="K14" s="169">
        <f>'F4'!F65*1%</f>
        <v>7.0038103768200006</v>
      </c>
      <c r="L14" s="169">
        <f>'F4'!F74*1%</f>
        <v>7.0038103768200006</v>
      </c>
      <c r="M14" s="169">
        <f>'F4'!F83*1%</f>
        <v>7.0038103768200006</v>
      </c>
    </row>
    <row r="15" spans="2:13">
      <c r="B15" s="26">
        <f t="shared" si="0"/>
        <v>6</v>
      </c>
      <c r="C15" s="91" t="s">
        <v>363</v>
      </c>
      <c r="D15" s="158">
        <f>('F1'!F22+'F1'!F16)*2/12</f>
        <v>17.986655000000003</v>
      </c>
      <c r="E15" s="158">
        <f ca="1">('F1'!G22+'F1'!G16)*2/12</f>
        <v>22.440660968311324</v>
      </c>
      <c r="F15" s="158">
        <f ca="1">('F1'!H22+'F1'!H16)*2/12</f>
        <v>22.440660968311324</v>
      </c>
      <c r="G15" s="158">
        <f>('F1'!I22+'F1'!I16)*2/12</f>
        <v>16.872916666666665</v>
      </c>
      <c r="H15" s="158">
        <f ca="1">('F1'!J22+'F1'!J16)*2/12</f>
        <v>21.481480571922521</v>
      </c>
      <c r="I15" s="158">
        <f ca="1">('F1'!K22+'F1'!K16)*45/365</f>
        <v>14.423916222625557</v>
      </c>
      <c r="J15" s="158">
        <f ca="1">('F1'!L22+'F1'!L16)*45/365</f>
        <v>14.664300809591815</v>
      </c>
      <c r="K15" s="158">
        <f ca="1">('F1'!M22+'F1'!M16)*45/365</f>
        <v>14.824033335282792</v>
      </c>
      <c r="L15" s="158">
        <f ca="1">('F1'!N22+'F1'!N16)*45/365</f>
        <v>15.001327954425697</v>
      </c>
      <c r="M15" s="158">
        <f ca="1">('F1'!O22+'F1'!O16)*45/365</f>
        <v>15.197197207925779</v>
      </c>
    </row>
    <row r="16" spans="2:13">
      <c r="B16" s="26"/>
      <c r="C16" s="91" t="s">
        <v>291</v>
      </c>
      <c r="D16" s="92"/>
      <c r="E16" s="35"/>
      <c r="F16" s="3"/>
      <c r="G16" s="35"/>
      <c r="H16" s="35"/>
      <c r="I16" s="35"/>
      <c r="J16" s="35"/>
      <c r="K16" s="35"/>
      <c r="L16" s="35"/>
      <c r="M16" s="35"/>
    </row>
    <row r="17" spans="2:13">
      <c r="B17" s="26">
        <f>B15+1</f>
        <v>7</v>
      </c>
      <c r="C17" s="33" t="s">
        <v>364</v>
      </c>
      <c r="D17" s="158">
        <f>'F1'!F21/12</f>
        <v>0</v>
      </c>
      <c r="E17" s="158">
        <f>'F1'!G21/12</f>
        <v>0</v>
      </c>
      <c r="F17" s="158">
        <f>'F1'!H21/12</f>
        <v>0</v>
      </c>
      <c r="G17" s="158">
        <f>'F1'!I21/12</f>
        <v>0</v>
      </c>
      <c r="H17" s="158">
        <f>'F1'!J21/12</f>
        <v>0</v>
      </c>
      <c r="I17" s="158">
        <f>'F1'!K21/12</f>
        <v>0</v>
      </c>
      <c r="J17" s="158">
        <f>'F1'!L21/12</f>
        <v>0</v>
      </c>
      <c r="K17" s="158">
        <f>'F1'!M21/12</f>
        <v>0</v>
      </c>
      <c r="L17" s="158">
        <f>'F1'!N21/12</f>
        <v>0</v>
      </c>
      <c r="M17" s="158">
        <f>'F1'!O21/12</f>
        <v>0</v>
      </c>
    </row>
    <row r="18" spans="2:13" ht="15">
      <c r="B18" s="26">
        <f t="shared" si="0"/>
        <v>8</v>
      </c>
      <c r="C18" s="33" t="s">
        <v>44</v>
      </c>
      <c r="D18" s="139">
        <f>SUM(D10:D15)-D17</f>
        <v>24.525572000000004</v>
      </c>
      <c r="E18" s="139">
        <f t="shared" ref="E18:M18" ca="1" si="1">SUM(E10:E15)-E17</f>
        <v>34.045748096713154</v>
      </c>
      <c r="F18" s="139">
        <f t="shared" ca="1" si="1"/>
        <v>34.045748096713154</v>
      </c>
      <c r="G18" s="139">
        <f t="shared" si="1"/>
        <v>23.768266666666666</v>
      </c>
      <c r="H18" s="139">
        <f t="shared" ca="1" si="1"/>
        <v>33.42447375440473</v>
      </c>
      <c r="I18" s="139">
        <f t="shared" ca="1" si="1"/>
        <v>25.001395983926159</v>
      </c>
      <c r="J18" s="139">
        <f t="shared" ca="1" si="1"/>
        <v>25.506855464354615</v>
      </c>
      <c r="K18" s="139">
        <f t="shared" ca="1" si="1"/>
        <v>25.868409934915942</v>
      </c>
      <c r="L18" s="139">
        <f t="shared" ca="1" si="1"/>
        <v>26.259150309105372</v>
      </c>
      <c r="M18" s="139">
        <f t="shared" ca="1" si="1"/>
        <v>26.680759297549681</v>
      </c>
    </row>
    <row r="19" spans="2:13">
      <c r="B19" s="26">
        <f t="shared" si="0"/>
        <v>9</v>
      </c>
      <c r="C19" s="33" t="s">
        <v>292</v>
      </c>
      <c r="D19" s="156">
        <v>8.5500000000000007E-2</v>
      </c>
      <c r="E19" s="156">
        <v>9.4399999999999998E-2</v>
      </c>
      <c r="F19" s="156">
        <v>9.4399999999999998E-2</v>
      </c>
      <c r="G19" s="156">
        <v>8.5500000000000007E-2</v>
      </c>
      <c r="H19" s="156">
        <v>0.1008</v>
      </c>
      <c r="I19" s="156">
        <v>0.10150000000000001</v>
      </c>
      <c r="J19" s="156">
        <v>0.10150000000000001</v>
      </c>
      <c r="K19" s="156">
        <v>0.10150000000000001</v>
      </c>
      <c r="L19" s="156">
        <v>0.10150000000000001</v>
      </c>
      <c r="M19" s="156">
        <v>0.10150000000000001</v>
      </c>
    </row>
    <row r="20" spans="2:13" ht="15">
      <c r="B20" s="26">
        <f t="shared" si="0"/>
        <v>10</v>
      </c>
      <c r="C20" s="91" t="s">
        <v>293</v>
      </c>
      <c r="D20" s="139">
        <v>2.2000000000000002</v>
      </c>
      <c r="E20" s="139">
        <f t="shared" ref="E20:M20" ca="1" si="2">E18*E19</f>
        <v>3.2139186203297219</v>
      </c>
      <c r="F20" s="139">
        <f t="shared" ca="1" si="2"/>
        <v>3.2139186203297219</v>
      </c>
      <c r="G20" s="139">
        <v>2.19</v>
      </c>
      <c r="H20" s="139">
        <f t="shared" ca="1" si="2"/>
        <v>3.3691869544439967</v>
      </c>
      <c r="I20" s="139">
        <f t="shared" ca="1" si="2"/>
        <v>2.5376416923685055</v>
      </c>
      <c r="J20" s="139">
        <f t="shared" ca="1" si="2"/>
        <v>2.5889458296319936</v>
      </c>
      <c r="K20" s="139">
        <f t="shared" ca="1" si="2"/>
        <v>2.6256436083939683</v>
      </c>
      <c r="L20" s="139">
        <f t="shared" ca="1" si="2"/>
        <v>2.6653037563741955</v>
      </c>
      <c r="M20" s="139">
        <f t="shared" ca="1" si="2"/>
        <v>2.7080970687012926</v>
      </c>
    </row>
    <row r="22" spans="2:13">
      <c r="C22" s="5" t="s">
        <v>247</v>
      </c>
    </row>
    <row r="23" spans="2:13">
      <c r="C23" s="5" t="s">
        <v>365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B4" sqref="B4:P4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23" t="s">
        <v>408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2:13" ht="15.75">
      <c r="B3" s="223" t="s">
        <v>381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ht="15.75">
      <c r="B4" s="262" t="s">
        <v>239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30" t="s">
        <v>186</v>
      </c>
      <c r="C7" s="233" t="s">
        <v>18</v>
      </c>
      <c r="D7" s="237" t="s">
        <v>382</v>
      </c>
      <c r="E7" s="238"/>
      <c r="F7" s="239"/>
      <c r="G7" s="237" t="s">
        <v>383</v>
      </c>
      <c r="H7" s="238"/>
      <c r="I7" s="247" t="s">
        <v>225</v>
      </c>
      <c r="J7" s="247"/>
      <c r="K7" s="247"/>
      <c r="L7" s="247"/>
      <c r="M7" s="247"/>
    </row>
    <row r="8" spans="2:13" s="19" customFormat="1" ht="45">
      <c r="B8" s="231"/>
      <c r="C8" s="23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7">
        <v>1</v>
      </c>
      <c r="C10" s="33" t="s">
        <v>215</v>
      </c>
      <c r="D10" s="173">
        <f>'F4'!F21*30%</f>
        <v>207.20399999999998</v>
      </c>
      <c r="E10" s="169">
        <f>'F4'!F21*30%</f>
        <v>207.20399999999998</v>
      </c>
      <c r="F10" s="169">
        <f>E10</f>
        <v>207.20399999999998</v>
      </c>
      <c r="G10" s="177"/>
      <c r="H10" s="178">
        <f>E14</f>
        <v>207.43954985279998</v>
      </c>
      <c r="I10" s="178">
        <f>H14</f>
        <v>207.9854741028</v>
      </c>
      <c r="J10" s="178">
        <f t="shared" ref="J10:L10" si="0">I14</f>
        <v>210.11247410280001</v>
      </c>
      <c r="K10" s="178">
        <f t="shared" si="0"/>
        <v>210.11247410280001</v>
      </c>
      <c r="L10" s="178">
        <f t="shared" si="0"/>
        <v>210.11247410280001</v>
      </c>
      <c r="M10" s="178">
        <f>L14</f>
        <v>210.11247410280001</v>
      </c>
    </row>
    <row r="11" spans="2:13">
      <c r="B11" s="26">
        <f>B10+1</f>
        <v>2</v>
      </c>
      <c r="C11" s="33" t="s">
        <v>216</v>
      </c>
      <c r="D11" s="176">
        <f>'F3'!H12</f>
        <v>1.8197475000000001</v>
      </c>
      <c r="E11" s="176">
        <f>'F3'!E12</f>
        <v>0.78516617599999994</v>
      </c>
      <c r="F11" s="176">
        <f>'F3'!F12</f>
        <v>0.78516617599999994</v>
      </c>
      <c r="G11" s="176">
        <f>'F3'!G12</f>
        <v>0</v>
      </c>
      <c r="H11" s="176">
        <f>'F3'!H12</f>
        <v>1.8197475000000001</v>
      </c>
      <c r="I11" s="176">
        <f>'F3'!I12</f>
        <v>7.09</v>
      </c>
      <c r="J11" s="176">
        <f>'F3'!J12</f>
        <v>0</v>
      </c>
      <c r="K11" s="176">
        <f>'F3'!K12</f>
        <v>0</v>
      </c>
      <c r="L11" s="176">
        <f>'F3'!L12</f>
        <v>0</v>
      </c>
      <c r="M11" s="176">
        <f>'F3'!M12</f>
        <v>0</v>
      </c>
    </row>
    <row r="12" spans="2:13">
      <c r="B12" s="26">
        <f t="shared" ref="B12:B22" si="1">B11+1</f>
        <v>3</v>
      </c>
      <c r="C12" s="35" t="s">
        <v>19</v>
      </c>
      <c r="D12" s="176">
        <f>D11*30%</f>
        <v>0.54592425</v>
      </c>
      <c r="E12" s="176">
        <f t="shared" ref="E12:H12" si="2">E11*30%</f>
        <v>0.23554985279999996</v>
      </c>
      <c r="F12" s="176">
        <f t="shared" si="2"/>
        <v>0.23554985279999996</v>
      </c>
      <c r="G12" s="176">
        <f t="shared" si="2"/>
        <v>0</v>
      </c>
      <c r="H12" s="176">
        <f t="shared" si="2"/>
        <v>0.54592425</v>
      </c>
      <c r="I12" s="176">
        <f>I11*30%</f>
        <v>2.1269999999999998</v>
      </c>
      <c r="J12" s="176">
        <f t="shared" ref="J12:M12" si="3">J11*30%</f>
        <v>0</v>
      </c>
      <c r="K12" s="176">
        <f t="shared" si="3"/>
        <v>0</v>
      </c>
      <c r="L12" s="176">
        <f t="shared" si="3"/>
        <v>0</v>
      </c>
      <c r="M12" s="176">
        <f t="shared" si="3"/>
        <v>0</v>
      </c>
    </row>
    <row r="13" spans="2:13" ht="28.5">
      <c r="B13" s="26">
        <f t="shared" si="1"/>
        <v>4</v>
      </c>
      <c r="C13" s="91" t="s">
        <v>20</v>
      </c>
      <c r="D13" s="179"/>
      <c r="E13" s="45"/>
      <c r="F13" s="173"/>
      <c r="G13" s="45"/>
      <c r="H13" s="45"/>
      <c r="I13" s="45"/>
      <c r="J13" s="45"/>
      <c r="K13" s="45"/>
      <c r="L13" s="45"/>
      <c r="M13" s="45"/>
    </row>
    <row r="14" spans="2:13" s="39" customFormat="1" ht="15">
      <c r="B14" s="26">
        <f t="shared" si="1"/>
        <v>5</v>
      </c>
      <c r="C14" s="43" t="s">
        <v>21</v>
      </c>
      <c r="D14" s="180">
        <f>D10+D12-D13</f>
        <v>207.74992424999999</v>
      </c>
      <c r="E14" s="180">
        <f t="shared" ref="E14:M14" si="4">E10+E12-E13</f>
        <v>207.43954985279998</v>
      </c>
      <c r="F14" s="180">
        <f>F10+F12-F13</f>
        <v>207.43954985279998</v>
      </c>
      <c r="G14" s="180">
        <f t="shared" si="4"/>
        <v>0</v>
      </c>
      <c r="H14" s="180">
        <f t="shared" si="4"/>
        <v>207.9854741028</v>
      </c>
      <c r="I14" s="180">
        <f t="shared" si="4"/>
        <v>210.11247410280001</v>
      </c>
      <c r="J14" s="180">
        <f t="shared" si="4"/>
        <v>210.11247410280001</v>
      </c>
      <c r="K14" s="180">
        <f t="shared" si="4"/>
        <v>210.11247410280001</v>
      </c>
      <c r="L14" s="180">
        <f t="shared" si="4"/>
        <v>210.11247410280001</v>
      </c>
      <c r="M14" s="180">
        <f t="shared" si="4"/>
        <v>210.11247410280001</v>
      </c>
    </row>
    <row r="15" spans="2:13" s="39" customFormat="1" ht="15">
      <c r="B15" s="26"/>
      <c r="C15" s="93" t="s">
        <v>294</v>
      </c>
      <c r="D15" s="92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9" customFormat="1" ht="15">
      <c r="B16" s="26">
        <f>B14+1</f>
        <v>6</v>
      </c>
      <c r="C16" s="43" t="s">
        <v>295</v>
      </c>
      <c r="D16" s="155">
        <v>0.155</v>
      </c>
      <c r="E16" s="155">
        <v>0.155</v>
      </c>
      <c r="F16" s="155">
        <v>0.155</v>
      </c>
      <c r="G16" s="155">
        <v>0.155</v>
      </c>
      <c r="H16" s="155">
        <v>0.155</v>
      </c>
      <c r="I16" s="155">
        <v>0.155</v>
      </c>
      <c r="J16" s="155">
        <v>0.155</v>
      </c>
      <c r="K16" s="155">
        <v>0.155</v>
      </c>
      <c r="L16" s="155">
        <v>0.155</v>
      </c>
      <c r="M16" s="155">
        <v>0.155</v>
      </c>
    </row>
    <row r="17" spans="2:13" s="39" customFormat="1" ht="15">
      <c r="B17" s="26">
        <f>B16+1</f>
        <v>7</v>
      </c>
      <c r="C17" s="43" t="s">
        <v>296</v>
      </c>
      <c r="D17" s="156">
        <v>0.17471999999999999</v>
      </c>
      <c r="E17" s="156">
        <v>0.25168000000000001</v>
      </c>
      <c r="F17" s="156">
        <v>0.25168000000000001</v>
      </c>
      <c r="G17" s="156">
        <v>0.17471999999999999</v>
      </c>
      <c r="H17" s="156">
        <v>0.25168000000000001</v>
      </c>
      <c r="I17" s="156">
        <v>0.25168000000000001</v>
      </c>
      <c r="J17" s="156">
        <v>0.25168000000000001</v>
      </c>
      <c r="K17" s="156">
        <v>0.25168000000000001</v>
      </c>
      <c r="L17" s="156">
        <v>0.25168000000000001</v>
      </c>
      <c r="M17" s="156">
        <v>0.25168000000000001</v>
      </c>
    </row>
    <row r="18" spans="2:13" s="39" customFormat="1" ht="15">
      <c r="B18" s="26">
        <f>B17+1</f>
        <v>8</v>
      </c>
      <c r="C18" s="36" t="s">
        <v>294</v>
      </c>
      <c r="D18" s="157">
        <f>D16/(1-D17)</f>
        <v>0.18781504459092671</v>
      </c>
      <c r="E18" s="157">
        <f t="shared" ref="E18:M18" si="5">E16/(1-E17)</f>
        <v>0.20713063929869574</v>
      </c>
      <c r="F18" s="157">
        <f t="shared" si="5"/>
        <v>0.20713063929869574</v>
      </c>
      <c r="G18" s="157">
        <f t="shared" si="5"/>
        <v>0.18781504459092671</v>
      </c>
      <c r="H18" s="157">
        <f t="shared" si="5"/>
        <v>0.20713063929869574</v>
      </c>
      <c r="I18" s="157">
        <f t="shared" si="5"/>
        <v>0.20713063929869574</v>
      </c>
      <c r="J18" s="157">
        <f t="shared" si="5"/>
        <v>0.20713063929869574</v>
      </c>
      <c r="K18" s="157">
        <f t="shared" si="5"/>
        <v>0.20713063929869574</v>
      </c>
      <c r="L18" s="157">
        <f t="shared" si="5"/>
        <v>0.20713063929869574</v>
      </c>
      <c r="M18" s="157">
        <f t="shared" si="5"/>
        <v>0.20713063929869574</v>
      </c>
    </row>
    <row r="19" spans="2:13" ht="15">
      <c r="B19" s="26"/>
      <c r="C19" s="93" t="s">
        <v>171</v>
      </c>
      <c r="D19" s="138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91" t="s">
        <v>217</v>
      </c>
      <c r="D20" s="139">
        <f>D10*D18</f>
        <v>38.916028499418374</v>
      </c>
      <c r="E20" s="139">
        <f t="shared" ref="E20:M20" si="6">E10*E18</f>
        <v>42.918296985246947</v>
      </c>
      <c r="F20" s="139">
        <f t="shared" si="6"/>
        <v>42.918296985246947</v>
      </c>
      <c r="G20" s="139">
        <f t="shared" si="6"/>
        <v>0</v>
      </c>
      <c r="H20" s="139">
        <f t="shared" si="6"/>
        <v>42.967086576844125</v>
      </c>
      <c r="I20" s="139">
        <f t="shared" si="6"/>
        <v>43.080164215755289</v>
      </c>
      <c r="J20" s="139">
        <f t="shared" si="6"/>
        <v>43.520731085543616</v>
      </c>
      <c r="K20" s="139">
        <f t="shared" si="6"/>
        <v>43.520731085543616</v>
      </c>
      <c r="L20" s="139">
        <f t="shared" si="6"/>
        <v>43.520731085543616</v>
      </c>
      <c r="M20" s="139">
        <f t="shared" si="6"/>
        <v>43.520731085543616</v>
      </c>
    </row>
    <row r="21" spans="2:13" ht="18.75" customHeight="1">
      <c r="B21" s="26">
        <f t="shared" si="1"/>
        <v>10</v>
      </c>
      <c r="C21" s="91" t="s">
        <v>218</v>
      </c>
      <c r="D21" s="139">
        <f>AVERAGE(D10,D14)*D18-D20</f>
        <v>5.1266393678510269E-2</v>
      </c>
      <c r="E21" s="139">
        <f t="shared" ref="E21:M21" si="7">AVERAGE(E10,E14)*E18-E20</f>
        <v>2.4394795798592384E-2</v>
      </c>
      <c r="F21" s="139">
        <f t="shared" si="7"/>
        <v>2.4394795798592384E-2</v>
      </c>
      <c r="G21" s="139">
        <f t="shared" si="7"/>
        <v>0</v>
      </c>
      <c r="H21" s="139">
        <f t="shared" si="7"/>
        <v>5.6538819455582257E-2</v>
      </c>
      <c r="I21" s="139">
        <f t="shared" si="7"/>
        <v>0.22028343489416358</v>
      </c>
      <c r="J21" s="139">
        <f t="shared" si="7"/>
        <v>0</v>
      </c>
      <c r="K21" s="139">
        <f t="shared" si="7"/>
        <v>0</v>
      </c>
      <c r="L21" s="139">
        <f t="shared" si="7"/>
        <v>0</v>
      </c>
      <c r="M21" s="139">
        <f t="shared" si="7"/>
        <v>0</v>
      </c>
    </row>
    <row r="22" spans="2:13" ht="15">
      <c r="B22" s="26">
        <f t="shared" si="1"/>
        <v>11</v>
      </c>
      <c r="C22" s="44" t="s">
        <v>172</v>
      </c>
      <c r="D22" s="139">
        <v>38.92</v>
      </c>
      <c r="E22" s="139">
        <f t="shared" ref="E22:M22" si="8">E20+E21</f>
        <v>42.942691781045539</v>
      </c>
      <c r="F22" s="139">
        <f t="shared" si="8"/>
        <v>42.942691781045539</v>
      </c>
      <c r="G22" s="139">
        <v>38.92</v>
      </c>
      <c r="H22" s="139">
        <f t="shared" si="8"/>
        <v>43.023625396299707</v>
      </c>
      <c r="I22" s="139">
        <f t="shared" si="8"/>
        <v>43.300447650649453</v>
      </c>
      <c r="J22" s="139">
        <f t="shared" si="8"/>
        <v>43.520731085543616</v>
      </c>
      <c r="K22" s="139">
        <f t="shared" si="8"/>
        <v>43.520731085543616</v>
      </c>
      <c r="L22" s="139">
        <f t="shared" si="8"/>
        <v>43.520731085543616</v>
      </c>
      <c r="M22" s="139">
        <f t="shared" si="8"/>
        <v>43.520731085543616</v>
      </c>
    </row>
    <row r="23" spans="2:13">
      <c r="C23" s="5" t="s">
        <v>247</v>
      </c>
    </row>
    <row r="24" spans="2:13">
      <c r="C24" s="5" t="s">
        <v>367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B4" sqref="B4:P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3" spans="2:13" ht="15.75">
      <c r="B3" s="223" t="s">
        <v>408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2:13" ht="15.75">
      <c r="B4" s="223" t="s">
        <v>381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2:13" ht="15.75">
      <c r="B5" s="262" t="s">
        <v>152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</row>
    <row r="6" spans="2:13" ht="15">
      <c r="M6" s="32" t="s">
        <v>4</v>
      </c>
    </row>
    <row r="7" spans="2:13" s="19" customFormat="1" ht="15" customHeight="1">
      <c r="B7" s="230" t="s">
        <v>186</v>
      </c>
      <c r="C7" s="233" t="s">
        <v>18</v>
      </c>
      <c r="D7" s="237" t="s">
        <v>382</v>
      </c>
      <c r="E7" s="238"/>
      <c r="F7" s="239"/>
      <c r="G7" s="237" t="s">
        <v>383</v>
      </c>
      <c r="H7" s="238"/>
      <c r="I7" s="247" t="s">
        <v>225</v>
      </c>
      <c r="J7" s="247"/>
      <c r="K7" s="247"/>
      <c r="L7" s="247"/>
      <c r="M7" s="247"/>
    </row>
    <row r="8" spans="2:13" s="19" customFormat="1" ht="30">
      <c r="B8" s="231"/>
      <c r="C8" s="23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7">
        <v>1</v>
      </c>
      <c r="C10" s="33" t="s">
        <v>297</v>
      </c>
      <c r="D10" s="2"/>
      <c r="E10" s="169">
        <v>1.5595736024547823E-2</v>
      </c>
      <c r="F10" s="169">
        <v>1.5595736024547823E-2</v>
      </c>
      <c r="G10" s="178"/>
      <c r="H10" s="178">
        <v>3.2943458891647265E-2</v>
      </c>
      <c r="I10" s="178">
        <v>1.5595736024547823E-2</v>
      </c>
      <c r="J10" s="178">
        <v>1.6219565465529735E-2</v>
      </c>
      <c r="K10" s="178">
        <v>1.6868348084150924E-2</v>
      </c>
      <c r="L10" s="178">
        <v>1.7543082007516961E-2</v>
      </c>
      <c r="M10" s="178">
        <v>1.8244805287817641E-2</v>
      </c>
    </row>
    <row r="11" spans="2:13">
      <c r="B11" s="67">
        <f>B10+1</f>
        <v>2</v>
      </c>
      <c r="C11" s="33" t="s">
        <v>298</v>
      </c>
      <c r="D11" s="2"/>
      <c r="E11" s="169">
        <v>0</v>
      </c>
      <c r="F11" s="169">
        <v>0</v>
      </c>
      <c r="G11" s="178"/>
      <c r="H11" s="178">
        <v>0</v>
      </c>
      <c r="I11" s="178">
        <v>0</v>
      </c>
      <c r="J11" s="178">
        <v>0</v>
      </c>
      <c r="K11" s="178">
        <v>0</v>
      </c>
      <c r="L11" s="178">
        <v>0</v>
      </c>
      <c r="M11" s="178">
        <v>0</v>
      </c>
    </row>
    <row r="12" spans="2:13">
      <c r="B12" s="67">
        <f>B11+1</f>
        <v>3</v>
      </c>
      <c r="C12" s="33" t="s">
        <v>299</v>
      </c>
      <c r="D12" s="2"/>
      <c r="E12" s="169">
        <v>7.9405774135352259E-3</v>
      </c>
      <c r="F12" s="169">
        <v>7.9405774135352259E-3</v>
      </c>
      <c r="G12" s="178"/>
      <c r="H12" s="178">
        <v>0</v>
      </c>
      <c r="I12" s="178">
        <v>7.9405774135352259E-3</v>
      </c>
      <c r="J12" s="178">
        <v>8.2582005100766357E-3</v>
      </c>
      <c r="K12" s="178">
        <v>8.5885285304797016E-3</v>
      </c>
      <c r="L12" s="178">
        <v>8.93206967169889E-3</v>
      </c>
      <c r="M12" s="178">
        <v>9.2893524585668467E-3</v>
      </c>
    </row>
    <row r="13" spans="2:13">
      <c r="B13" s="26">
        <f t="shared" ref="B13:B21" si="0">B12+1</f>
        <v>4</v>
      </c>
      <c r="C13" s="35" t="s">
        <v>300</v>
      </c>
      <c r="D13" s="2"/>
      <c r="E13" s="169">
        <v>0</v>
      </c>
      <c r="F13" s="169">
        <v>0</v>
      </c>
      <c r="G13" s="178"/>
      <c r="H13" s="178">
        <v>0</v>
      </c>
      <c r="I13" s="178">
        <v>0</v>
      </c>
      <c r="J13" s="178">
        <v>0</v>
      </c>
      <c r="K13" s="178">
        <v>0</v>
      </c>
      <c r="L13" s="178">
        <v>0</v>
      </c>
      <c r="M13" s="178">
        <v>0</v>
      </c>
    </row>
    <row r="14" spans="2:13" ht="15.75" customHeight="1">
      <c r="B14" s="26">
        <f t="shared" si="0"/>
        <v>5</v>
      </c>
      <c r="C14" s="91" t="s">
        <v>301</v>
      </c>
      <c r="D14" s="92"/>
      <c r="E14" s="169">
        <v>0</v>
      </c>
      <c r="F14" s="176">
        <v>0</v>
      </c>
      <c r="G14" s="169"/>
      <c r="H14" s="169">
        <v>0</v>
      </c>
      <c r="I14" s="169">
        <v>0</v>
      </c>
      <c r="J14" s="169">
        <v>0</v>
      </c>
      <c r="K14" s="169">
        <v>0</v>
      </c>
      <c r="L14" s="169">
        <v>0</v>
      </c>
      <c r="M14" s="169">
        <v>0</v>
      </c>
    </row>
    <row r="15" spans="2:13" s="39" customFormat="1" ht="15">
      <c r="B15" s="26">
        <f t="shared" si="0"/>
        <v>6</v>
      </c>
      <c r="C15" s="43" t="s">
        <v>302</v>
      </c>
      <c r="D15" s="92"/>
      <c r="E15" s="169">
        <v>1.1366987648990794E-3</v>
      </c>
      <c r="F15" s="176">
        <v>1.1366987648990794E-3</v>
      </c>
      <c r="G15" s="169"/>
      <c r="H15" s="169">
        <v>3.9009525203151743E-3</v>
      </c>
      <c r="I15" s="169">
        <v>1.1366987648990794E-3</v>
      </c>
      <c r="J15" s="169">
        <v>1.1821667154950427E-3</v>
      </c>
      <c r="K15" s="169">
        <v>1.2294533841148445E-3</v>
      </c>
      <c r="L15" s="169">
        <v>1.2786315194794383E-3</v>
      </c>
      <c r="M15" s="169">
        <v>1.3297767802586159E-3</v>
      </c>
    </row>
    <row r="16" spans="2:13" s="39" customFormat="1" ht="15">
      <c r="B16" s="26">
        <f t="shared" si="0"/>
        <v>7</v>
      </c>
      <c r="C16" s="91" t="s">
        <v>303</v>
      </c>
      <c r="D16" s="92"/>
      <c r="E16" s="169">
        <v>0</v>
      </c>
      <c r="F16" s="176">
        <v>0</v>
      </c>
      <c r="G16" s="169"/>
      <c r="H16" s="169">
        <v>0</v>
      </c>
      <c r="I16" s="169">
        <v>0</v>
      </c>
      <c r="J16" s="169">
        <v>0</v>
      </c>
      <c r="K16" s="169">
        <v>0</v>
      </c>
      <c r="L16" s="169">
        <v>0</v>
      </c>
      <c r="M16" s="169">
        <v>0</v>
      </c>
    </row>
    <row r="17" spans="2:13" s="39" customFormat="1" ht="12.75" customHeight="1">
      <c r="B17" s="26">
        <f t="shared" si="0"/>
        <v>8</v>
      </c>
      <c r="C17" s="43" t="s">
        <v>304</v>
      </c>
      <c r="D17" s="92"/>
      <c r="E17" s="169">
        <v>1.1914715803432378E-3</v>
      </c>
      <c r="F17" s="176">
        <v>1.1914715803432378E-3</v>
      </c>
      <c r="G17" s="169"/>
      <c r="H17" s="169">
        <v>3.6091702820224194E-3</v>
      </c>
      <c r="I17" s="169">
        <v>1.1914715803432378E-3</v>
      </c>
      <c r="J17" s="169">
        <v>1.2391304435569674E-3</v>
      </c>
      <c r="K17" s="169">
        <v>1.2886956612992461E-3</v>
      </c>
      <c r="L17" s="169">
        <v>1.340243487751216E-3</v>
      </c>
      <c r="M17" s="169">
        <v>1.3938532272612647E-3</v>
      </c>
    </row>
    <row r="18" spans="2:13" s="39" customFormat="1" ht="15">
      <c r="B18" s="26">
        <f t="shared" si="0"/>
        <v>9</v>
      </c>
      <c r="C18" s="43" t="s">
        <v>150</v>
      </c>
      <c r="D18" s="92"/>
      <c r="E18" s="169">
        <v>0</v>
      </c>
      <c r="F18" s="176">
        <v>0</v>
      </c>
      <c r="G18" s="169"/>
      <c r="H18" s="169">
        <v>0</v>
      </c>
      <c r="I18" s="169">
        <v>0</v>
      </c>
      <c r="J18" s="169">
        <v>0</v>
      </c>
      <c r="K18" s="169">
        <v>0</v>
      </c>
      <c r="L18" s="169">
        <v>0</v>
      </c>
      <c r="M18" s="169">
        <v>0</v>
      </c>
    </row>
    <row r="19" spans="2:13" s="39" customFormat="1" ht="15">
      <c r="B19" s="26">
        <f t="shared" si="0"/>
        <v>10</v>
      </c>
      <c r="C19" s="43" t="s">
        <v>305</v>
      </c>
      <c r="D19" s="92"/>
      <c r="E19" s="169">
        <v>0</v>
      </c>
      <c r="F19" s="176">
        <v>0</v>
      </c>
      <c r="G19" s="169"/>
      <c r="H19" s="169">
        <v>0</v>
      </c>
      <c r="I19" s="169">
        <v>0</v>
      </c>
      <c r="J19" s="169">
        <v>0</v>
      </c>
      <c r="K19" s="169">
        <v>0</v>
      </c>
      <c r="L19" s="169">
        <v>0</v>
      </c>
      <c r="M19" s="169">
        <v>0</v>
      </c>
    </row>
    <row r="20" spans="2:13">
      <c r="B20" s="26">
        <f t="shared" si="0"/>
        <v>11</v>
      </c>
      <c r="C20" s="91" t="s">
        <v>154</v>
      </c>
      <c r="D20" s="92"/>
      <c r="E20" s="169">
        <v>1.5571748415647693E-2</v>
      </c>
      <c r="F20" s="176">
        <v>1.5571748415647693E-2</v>
      </c>
      <c r="G20" s="169"/>
      <c r="H20" s="169">
        <v>1.5711909086703776E-2</v>
      </c>
      <c r="I20" s="169">
        <v>1.5571748415647693E-2</v>
      </c>
      <c r="J20" s="169">
        <v>1.61946183522736E-2</v>
      </c>
      <c r="K20" s="169">
        <v>1.6842403086364546E-2</v>
      </c>
      <c r="L20" s="169">
        <v>1.7516099209819128E-2</v>
      </c>
      <c r="M20" s="169">
        <v>1.8216743178211894E-2</v>
      </c>
    </row>
    <row r="21" spans="2:13">
      <c r="B21" s="26">
        <f t="shared" si="0"/>
        <v>12</v>
      </c>
      <c r="C21" s="91" t="s">
        <v>9</v>
      </c>
      <c r="D21" s="92">
        <v>0.35</v>
      </c>
      <c r="E21" s="169">
        <v>0.60689485763008633</v>
      </c>
      <c r="F21" s="176">
        <v>0.60689485763008633</v>
      </c>
      <c r="G21" s="169"/>
      <c r="H21" s="169">
        <v>0.10883025582279925</v>
      </c>
      <c r="I21" s="169">
        <v>0.2488596567881825</v>
      </c>
      <c r="J21" s="169">
        <v>0.25881404305970979</v>
      </c>
      <c r="K21" s="169">
        <v>0.2691666047820982</v>
      </c>
      <c r="L21" s="169">
        <v>0.27993326897338211</v>
      </c>
      <c r="M21" s="169">
        <v>0.29113059973231742</v>
      </c>
    </row>
    <row r="22" spans="2:13" ht="15">
      <c r="B22" s="26"/>
      <c r="C22" s="37" t="s">
        <v>127</v>
      </c>
      <c r="D22" s="139">
        <f>SUM(D10:D21)</f>
        <v>0.35</v>
      </c>
      <c r="E22" s="139">
        <f t="shared" ref="E22:M22" si="1">SUM(E10:E21)</f>
        <v>0.6483310898290594</v>
      </c>
      <c r="F22" s="139">
        <f t="shared" si="1"/>
        <v>0.6483310898290594</v>
      </c>
      <c r="G22" s="139">
        <v>0.6</v>
      </c>
      <c r="H22" s="139">
        <f t="shared" si="1"/>
        <v>0.16499574660348787</v>
      </c>
      <c r="I22" s="139">
        <f t="shared" si="1"/>
        <v>0.29029588898715558</v>
      </c>
      <c r="J22" s="139">
        <f t="shared" si="1"/>
        <v>0.30190772454664178</v>
      </c>
      <c r="K22" s="139">
        <f t="shared" si="1"/>
        <v>0.31398403352850746</v>
      </c>
      <c r="L22" s="139">
        <f t="shared" si="1"/>
        <v>0.32654339486964773</v>
      </c>
      <c r="M22" s="139">
        <f t="shared" si="1"/>
        <v>0.33960513066443365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zoomScale="80" zoomScaleNormal="80" zoomScaleSheetLayoutView="70" workbookViewId="0">
      <selection activeCell="B4" sqref="B4:P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4.25" customHeight="1">
      <c r="B2" s="240" t="s">
        <v>408</v>
      </c>
      <c r="C2" s="240"/>
      <c r="D2" s="240"/>
      <c r="E2" s="240"/>
      <c r="F2" s="240"/>
      <c r="G2" s="240"/>
      <c r="H2" s="240"/>
      <c r="I2" s="240"/>
      <c r="J2" s="240"/>
    </row>
    <row r="3" spans="2:10" ht="14.25" customHeight="1">
      <c r="B3" s="240" t="s">
        <v>381</v>
      </c>
      <c r="C3" s="240"/>
      <c r="D3" s="240"/>
      <c r="E3" s="240"/>
      <c r="F3" s="240"/>
      <c r="G3" s="240"/>
      <c r="H3" s="240"/>
      <c r="I3" s="240"/>
      <c r="J3" s="240"/>
    </row>
    <row r="4" spans="2:10" ht="14.25" customHeight="1">
      <c r="B4" s="241" t="s">
        <v>307</v>
      </c>
      <c r="C4" s="241"/>
      <c r="D4" s="241"/>
      <c r="E4" s="241"/>
      <c r="F4" s="241"/>
      <c r="G4" s="241"/>
      <c r="H4" s="241"/>
      <c r="I4" s="241"/>
      <c r="J4" s="241"/>
    </row>
    <row r="5" spans="2:10" ht="15">
      <c r="B5" s="30"/>
      <c r="C5" s="95"/>
      <c r="D5" s="96"/>
    </row>
    <row r="6" spans="2:10" ht="15" customHeight="1">
      <c r="B6" s="246" t="s">
        <v>2</v>
      </c>
      <c r="C6" s="247" t="s">
        <v>18</v>
      </c>
      <c r="D6" s="200" t="s">
        <v>382</v>
      </c>
      <c r="E6" s="216" t="s">
        <v>383</v>
      </c>
      <c r="F6" s="247" t="s">
        <v>225</v>
      </c>
      <c r="G6" s="247"/>
      <c r="H6" s="247"/>
      <c r="I6" s="247"/>
      <c r="J6" s="247"/>
    </row>
    <row r="7" spans="2:10" ht="15">
      <c r="B7" s="246"/>
      <c r="C7" s="247"/>
      <c r="D7" s="21" t="s">
        <v>306</v>
      </c>
      <c r="E7" s="21" t="s">
        <v>244</v>
      </c>
      <c r="F7" s="21" t="s">
        <v>384</v>
      </c>
      <c r="G7" s="21" t="s">
        <v>385</v>
      </c>
      <c r="H7" s="21" t="s">
        <v>386</v>
      </c>
      <c r="I7" s="21" t="s">
        <v>387</v>
      </c>
      <c r="J7" s="21" t="s">
        <v>388</v>
      </c>
    </row>
    <row r="8" spans="2:10" ht="24.75" customHeight="1">
      <c r="B8" s="263"/>
      <c r="C8" s="264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97">
        <v>1</v>
      </c>
      <c r="C9" s="98" t="s">
        <v>155</v>
      </c>
      <c r="D9" s="94"/>
      <c r="E9" s="94"/>
      <c r="F9" s="33"/>
      <c r="G9" s="33"/>
      <c r="H9" s="33"/>
      <c r="I9" s="33"/>
      <c r="J9" s="33"/>
    </row>
    <row r="10" spans="2:10" s="39" customFormat="1" ht="15">
      <c r="B10" s="99" t="s">
        <v>45</v>
      </c>
      <c r="C10" s="44" t="s">
        <v>46</v>
      </c>
      <c r="D10" s="100"/>
      <c r="E10" s="44"/>
      <c r="F10" s="44"/>
      <c r="G10" s="44"/>
      <c r="H10" s="44"/>
      <c r="I10" s="44"/>
      <c r="J10" s="44"/>
    </row>
    <row r="11" spans="2:10" s="39" customFormat="1" ht="15">
      <c r="B11" s="101"/>
      <c r="C11" s="35" t="s">
        <v>47</v>
      </c>
      <c r="D11" s="100"/>
      <c r="E11" s="44"/>
      <c r="F11" s="44"/>
      <c r="G11" s="44"/>
      <c r="H11" s="44"/>
      <c r="I11" s="44"/>
      <c r="J11" s="44"/>
    </row>
    <row r="12" spans="2:10" s="39" customFormat="1" ht="15">
      <c r="B12" s="101"/>
      <c r="C12" s="35" t="s">
        <v>48</v>
      </c>
      <c r="D12" s="100"/>
      <c r="E12" s="44"/>
      <c r="F12" s="44"/>
      <c r="G12" s="44"/>
      <c r="H12" s="44"/>
      <c r="I12" s="44"/>
      <c r="J12" s="44"/>
    </row>
    <row r="13" spans="2:10" s="39" customFormat="1" ht="15">
      <c r="B13" s="101"/>
      <c r="C13" s="35" t="s">
        <v>49</v>
      </c>
      <c r="D13" s="100"/>
      <c r="E13" s="44"/>
      <c r="F13" s="44"/>
      <c r="G13" s="44"/>
      <c r="H13" s="44"/>
      <c r="I13" s="44"/>
      <c r="J13" s="44"/>
    </row>
    <row r="14" spans="2:10" s="39" customFormat="1" ht="15">
      <c r="B14" s="101"/>
      <c r="C14" s="102"/>
      <c r="D14" s="100"/>
      <c r="E14" s="44"/>
      <c r="F14" s="44"/>
      <c r="G14" s="44"/>
      <c r="H14" s="44"/>
      <c r="I14" s="44"/>
      <c r="J14" s="44"/>
    </row>
    <row r="15" spans="2:10" s="39" customFormat="1" ht="15">
      <c r="B15" s="99" t="s">
        <v>50</v>
      </c>
      <c r="C15" s="103" t="s">
        <v>51</v>
      </c>
      <c r="D15" s="100"/>
      <c r="E15" s="44"/>
      <c r="F15" s="44"/>
      <c r="G15" s="44"/>
      <c r="H15" s="44"/>
      <c r="I15" s="44"/>
      <c r="J15" s="44"/>
    </row>
    <row r="16" spans="2:10" s="39" customFormat="1" ht="15">
      <c r="B16" s="101"/>
      <c r="C16" s="35" t="s">
        <v>47</v>
      </c>
      <c r="D16" s="100"/>
      <c r="E16" s="44"/>
      <c r="F16" s="44"/>
      <c r="G16" s="44"/>
      <c r="H16" s="44"/>
      <c r="I16" s="44"/>
      <c r="J16" s="44"/>
    </row>
    <row r="17" spans="2:10">
      <c r="B17" s="101"/>
      <c r="C17" s="35" t="s">
        <v>48</v>
      </c>
      <c r="D17" s="100"/>
      <c r="E17" s="33"/>
      <c r="F17" s="33"/>
      <c r="G17" s="33"/>
      <c r="H17" s="33"/>
      <c r="I17" s="33"/>
      <c r="J17" s="33"/>
    </row>
    <row r="18" spans="2:10">
      <c r="B18" s="104"/>
      <c r="C18" s="35" t="s">
        <v>52</v>
      </c>
      <c r="D18" s="100"/>
      <c r="E18" s="33"/>
      <c r="F18" s="33"/>
      <c r="G18" s="33"/>
      <c r="H18" s="33"/>
      <c r="I18" s="33"/>
      <c r="J18" s="33"/>
    </row>
    <row r="19" spans="2:10" ht="15">
      <c r="B19" s="104"/>
      <c r="C19" s="103"/>
      <c r="D19" s="100"/>
      <c r="E19" s="33"/>
      <c r="F19" s="33"/>
      <c r="G19" s="33"/>
      <c r="H19" s="33"/>
      <c r="I19" s="33"/>
      <c r="J19" s="33"/>
    </row>
    <row r="20" spans="2:10" ht="17.25" customHeight="1">
      <c r="B20" s="99">
        <v>2</v>
      </c>
      <c r="C20" s="98" t="s">
        <v>156</v>
      </c>
      <c r="D20" s="100"/>
      <c r="E20" s="33"/>
      <c r="F20" s="33"/>
      <c r="G20" s="33"/>
      <c r="H20" s="33"/>
      <c r="I20" s="33"/>
      <c r="J20" s="33"/>
    </row>
    <row r="21" spans="2:10" ht="17.25" customHeight="1">
      <c r="B21" s="99"/>
      <c r="C21" s="98" t="s">
        <v>53</v>
      </c>
      <c r="D21" s="100"/>
      <c r="E21" s="33"/>
      <c r="F21" s="33"/>
      <c r="G21" s="33"/>
      <c r="H21" s="33"/>
      <c r="I21" s="33"/>
      <c r="J21" s="33"/>
    </row>
    <row r="22" spans="2:10" ht="17.25" customHeight="1">
      <c r="B22" s="99"/>
      <c r="C22" s="98" t="s">
        <v>53</v>
      </c>
      <c r="D22" s="100"/>
      <c r="E22" s="33"/>
      <c r="F22" s="33"/>
      <c r="G22" s="33"/>
      <c r="H22" s="33"/>
      <c r="I22" s="33"/>
      <c r="J22" s="33"/>
    </row>
    <row r="23" spans="2:10" ht="15">
      <c r="B23" s="101"/>
      <c r="C23" s="103" t="s">
        <v>54</v>
      </c>
      <c r="D23" s="100"/>
      <c r="E23" s="33"/>
      <c r="F23" s="33"/>
      <c r="G23" s="33"/>
      <c r="H23" s="33"/>
      <c r="I23" s="33"/>
      <c r="J23" s="33"/>
    </row>
    <row r="25" spans="2:10" ht="15">
      <c r="B25" s="105" t="s">
        <v>43</v>
      </c>
      <c r="C25" s="106"/>
      <c r="D25" s="106"/>
      <c r="E25" s="106"/>
    </row>
    <row r="26" spans="2:10">
      <c r="B26" s="5" t="s">
        <v>202</v>
      </c>
      <c r="D26" s="107"/>
      <c r="E26" s="106"/>
    </row>
    <row r="27" spans="2:10" ht="18" customHeight="1">
      <c r="B27" s="106"/>
      <c r="E27" s="106"/>
    </row>
    <row r="28" spans="2:10">
      <c r="B28" s="106"/>
      <c r="C28" s="106"/>
      <c r="D28" s="106"/>
      <c r="E28" s="106"/>
    </row>
    <row r="29" spans="2:10">
      <c r="B29" s="106"/>
      <c r="C29" s="106"/>
      <c r="D29" s="106"/>
      <c r="E29" s="106"/>
    </row>
    <row r="30" spans="2:10">
      <c r="B30" s="106"/>
      <c r="C30" s="106"/>
      <c r="D30" s="106"/>
      <c r="E30" s="106"/>
    </row>
    <row r="31" spans="2:10">
      <c r="B31" s="106"/>
      <c r="C31" s="106"/>
      <c r="D31" s="106"/>
      <c r="E31" s="106"/>
    </row>
  </sheetData>
  <mergeCells count="6">
    <mergeCell ref="B6:B8"/>
    <mergeCell ref="C6:C8"/>
    <mergeCell ref="F6:J6"/>
    <mergeCell ref="B2:J2"/>
    <mergeCell ref="B3:J3"/>
    <mergeCell ref="B4:J4"/>
  </mergeCells>
  <pageMargins left="0.75" right="0.75" top="1" bottom="1" header="0.5" footer="0.5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6"/>
  <sheetViews>
    <sheetView showGridLines="0" view="pageBreakPreview" topLeftCell="A43" zoomScale="60" zoomScaleNormal="80" workbookViewId="0">
      <selection activeCell="B4" sqref="B4:P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4" width="10.7109375" style="5" customWidth="1"/>
    <col min="15" max="15" width="10.7109375" style="194" customWidth="1"/>
    <col min="16" max="16384" width="9.28515625" style="5"/>
  </cols>
  <sheetData>
    <row r="1" spans="2:16" ht="15">
      <c r="B1" s="114"/>
    </row>
    <row r="2" spans="2:16" ht="14.25" customHeight="1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</row>
    <row r="3" spans="2:16" ht="14.25" customHeight="1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2:16" ht="15">
      <c r="B4" s="241" t="s">
        <v>313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2:16" ht="15">
      <c r="B5" s="30" t="s">
        <v>232</v>
      </c>
      <c r="C5" s="30" t="s">
        <v>370</v>
      </c>
      <c r="D5" s="95"/>
      <c r="E5" s="95"/>
      <c r="F5" s="95"/>
      <c r="G5" s="95"/>
      <c r="H5" s="95"/>
      <c r="I5" s="41"/>
    </row>
    <row r="6" spans="2:16" ht="15">
      <c r="B6" s="30" t="s">
        <v>12</v>
      </c>
      <c r="C6" s="31"/>
      <c r="D6" s="31"/>
      <c r="O6" s="195" t="s">
        <v>128</v>
      </c>
    </row>
    <row r="7" spans="2:16" s="39" customFormat="1" ht="15" customHeight="1">
      <c r="B7" s="37" t="s">
        <v>314</v>
      </c>
      <c r="C7" s="37" t="s">
        <v>129</v>
      </c>
      <c r="D7" s="37" t="s">
        <v>130</v>
      </c>
      <c r="E7" s="115" t="s">
        <v>131</v>
      </c>
      <c r="F7" s="115" t="s">
        <v>132</v>
      </c>
      <c r="G7" s="115" t="s">
        <v>133</v>
      </c>
      <c r="H7" s="115" t="s">
        <v>134</v>
      </c>
      <c r="I7" s="115" t="s">
        <v>135</v>
      </c>
      <c r="J7" s="115" t="s">
        <v>136</v>
      </c>
      <c r="K7" s="115" t="s">
        <v>137</v>
      </c>
      <c r="L7" s="115" t="s">
        <v>138</v>
      </c>
      <c r="M7" s="115" t="s">
        <v>139</v>
      </c>
      <c r="N7" s="115" t="s">
        <v>140</v>
      </c>
      <c r="O7" s="174" t="s">
        <v>127</v>
      </c>
    </row>
    <row r="8" spans="2:16" s="39" customFormat="1" ht="15">
      <c r="B8" s="199" t="s">
        <v>378</v>
      </c>
      <c r="C8" s="175">
        <v>-4.9710941000000002E-2</v>
      </c>
      <c r="D8" s="175">
        <v>-3.5600941000000004E-2</v>
      </c>
      <c r="E8" s="175">
        <v>0.81078599799999995</v>
      </c>
      <c r="F8" s="175">
        <v>27.010181791000001</v>
      </c>
      <c r="G8" s="175">
        <v>43.850786382499997</v>
      </c>
      <c r="H8" s="175">
        <v>33.9115683375</v>
      </c>
      <c r="I8" s="175">
        <v>37.436513722000001</v>
      </c>
      <c r="J8" s="175">
        <v>12.249204947500001</v>
      </c>
      <c r="K8" s="175">
        <v>1.6048008499999999E-2</v>
      </c>
      <c r="L8" s="175">
        <v>-0.16844659100000001</v>
      </c>
      <c r="M8" s="175">
        <v>-0.16256272099999999</v>
      </c>
      <c r="N8" s="175">
        <v>-0.1796816785</v>
      </c>
      <c r="O8" s="175">
        <f>SUM(C8:N8)</f>
        <v>154.68908631450003</v>
      </c>
    </row>
    <row r="9" spans="2:16" s="39" customFormat="1" ht="15">
      <c r="B9" s="199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</row>
    <row r="10" spans="2:16" s="39" customFormat="1" ht="15">
      <c r="B10" s="199" t="s">
        <v>379</v>
      </c>
      <c r="C10" s="175">
        <v>-2.0751058999999999E-2</v>
      </c>
      <c r="D10" s="175">
        <v>-1.4861058999999999E-2</v>
      </c>
      <c r="E10" s="175">
        <v>0.33845000199999997</v>
      </c>
      <c r="F10" s="175">
        <v>11.274980208999999</v>
      </c>
      <c r="G10" s="175">
        <v>18.304828617499997</v>
      </c>
      <c r="H10" s="175">
        <v>14.1558566625</v>
      </c>
      <c r="I10" s="175">
        <v>15.627290277999998</v>
      </c>
      <c r="J10" s="175">
        <v>5.1132400525000001</v>
      </c>
      <c r="K10" s="175">
        <v>6.6989914999999994E-3</v>
      </c>
      <c r="L10" s="175">
        <v>-6.9979089999999994E-2</v>
      </c>
      <c r="M10" s="175">
        <v>-6.7859278999999995E-2</v>
      </c>
      <c r="N10" s="175">
        <v>-7.50053215E-2</v>
      </c>
      <c r="O10" s="175">
        <f t="shared" ref="O10:O12" si="0">SUM(C10:N10)</f>
        <v>64.572889004499984</v>
      </c>
    </row>
    <row r="11" spans="2:16" s="39" customFormat="1" ht="15">
      <c r="B11" s="199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175"/>
    </row>
    <row r="12" spans="2:16" s="39" customFormat="1" ht="15">
      <c r="B12" s="199" t="s">
        <v>377</v>
      </c>
      <c r="C12" s="175">
        <v>-9.6000000000000002E-2</v>
      </c>
      <c r="D12" s="175">
        <v>-0.112</v>
      </c>
      <c r="E12" s="175">
        <v>1.1679999999999999</v>
      </c>
      <c r="F12" s="175">
        <v>28.288</v>
      </c>
      <c r="G12" s="175">
        <v>58.64</v>
      </c>
      <c r="H12" s="175">
        <v>60.264000000000003</v>
      </c>
      <c r="I12" s="175">
        <v>68.254400000000004</v>
      </c>
      <c r="J12" s="175">
        <v>12.704000000000001</v>
      </c>
      <c r="K12" s="175">
        <v>0.2576</v>
      </c>
      <c r="L12" s="175">
        <v>-7.1999999999999995E-2</v>
      </c>
      <c r="M12" s="175">
        <v>-7.6799999999999993E-2</v>
      </c>
      <c r="N12" s="175">
        <v>-6.5600000000000006E-2</v>
      </c>
      <c r="O12" s="175">
        <f t="shared" si="0"/>
        <v>229.15360000000004</v>
      </c>
    </row>
    <row r="13" spans="2:16" s="39" customFormat="1" ht="15">
      <c r="B13" s="91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175"/>
    </row>
    <row r="14" spans="2:16" ht="15">
      <c r="B14" s="44" t="s">
        <v>127</v>
      </c>
      <c r="C14" s="175">
        <f>C8+C10+C12</f>
        <v>-0.166462</v>
      </c>
      <c r="D14" s="175">
        <f t="shared" ref="D14:O14" si="1">D8+D10+D12</f>
        <v>-0.162462</v>
      </c>
      <c r="E14" s="175">
        <f t="shared" si="1"/>
        <v>2.3172359999999999</v>
      </c>
      <c r="F14" s="175">
        <f t="shared" si="1"/>
        <v>66.573161999999996</v>
      </c>
      <c r="G14" s="175">
        <f t="shared" si="1"/>
        <v>120.795615</v>
      </c>
      <c r="H14" s="175">
        <f t="shared" si="1"/>
        <v>108.331425</v>
      </c>
      <c r="I14" s="175">
        <f t="shared" si="1"/>
        <v>121.31820400000001</v>
      </c>
      <c r="J14" s="175">
        <f t="shared" si="1"/>
        <v>30.066445000000002</v>
      </c>
      <c r="K14" s="175">
        <f t="shared" si="1"/>
        <v>0.28034700000000001</v>
      </c>
      <c r="L14" s="175">
        <f t="shared" si="1"/>
        <v>-0.31042568100000001</v>
      </c>
      <c r="M14" s="175">
        <f t="shared" si="1"/>
        <v>-0.307222</v>
      </c>
      <c r="N14" s="175">
        <f t="shared" si="1"/>
        <v>-0.32028699999999999</v>
      </c>
      <c r="O14" s="175">
        <f t="shared" si="1"/>
        <v>448.41557531900003</v>
      </c>
    </row>
    <row r="15" spans="2:16" ht="16.5">
      <c r="B15" s="30"/>
      <c r="C15" s="95"/>
      <c r="D15" s="95"/>
      <c r="E15" s="95"/>
      <c r="F15" s="95"/>
      <c r="G15" s="95"/>
      <c r="H15" s="95"/>
      <c r="I15" s="196"/>
    </row>
    <row r="16" spans="2:16" ht="16.5">
      <c r="B16" s="30" t="s">
        <v>231</v>
      </c>
      <c r="C16" s="30" t="s">
        <v>371</v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97"/>
      <c r="P16" s="196"/>
    </row>
    <row r="17" spans="1:17" ht="16.5">
      <c r="A17" s="5" t="s">
        <v>312</v>
      </c>
      <c r="B17" s="30" t="s">
        <v>5</v>
      </c>
      <c r="C17" s="31"/>
      <c r="D17" s="31"/>
      <c r="O17" s="195" t="s">
        <v>128</v>
      </c>
      <c r="P17" s="196"/>
    </row>
    <row r="18" spans="1:17" ht="18.75" customHeight="1">
      <c r="B18" s="242" t="s">
        <v>314</v>
      </c>
      <c r="C18" s="259" t="s">
        <v>141</v>
      </c>
      <c r="D18" s="260"/>
      <c r="E18" s="260"/>
      <c r="F18" s="260"/>
      <c r="G18" s="260"/>
      <c r="H18" s="261"/>
      <c r="I18" s="259" t="s">
        <v>5</v>
      </c>
      <c r="J18" s="260"/>
      <c r="K18" s="260"/>
      <c r="L18" s="260"/>
      <c r="M18" s="260"/>
      <c r="N18" s="261"/>
      <c r="O18" s="174" t="s">
        <v>142</v>
      </c>
      <c r="P18" s="196"/>
      <c r="Q18" s="196"/>
    </row>
    <row r="19" spans="1:17" ht="15">
      <c r="B19" s="244"/>
      <c r="C19" s="37" t="s">
        <v>129</v>
      </c>
      <c r="D19" s="37" t="s">
        <v>130</v>
      </c>
      <c r="E19" s="115" t="s">
        <v>131</v>
      </c>
      <c r="F19" s="115" t="s">
        <v>132</v>
      </c>
      <c r="G19" s="115" t="s">
        <v>133</v>
      </c>
      <c r="H19" s="115" t="s">
        <v>134</v>
      </c>
      <c r="I19" s="115" t="s">
        <v>135</v>
      </c>
      <c r="J19" s="115" t="s">
        <v>136</v>
      </c>
      <c r="K19" s="115" t="s">
        <v>137</v>
      </c>
      <c r="L19" s="115" t="s">
        <v>138</v>
      </c>
      <c r="M19" s="115" t="s">
        <v>139</v>
      </c>
      <c r="N19" s="115" t="s">
        <v>140</v>
      </c>
      <c r="O19" s="133"/>
    </row>
    <row r="20" spans="1:17" s="39" customFormat="1" ht="15">
      <c r="B20" s="199" t="s">
        <v>378</v>
      </c>
      <c r="C20" s="175">
        <f>-0.18*0.7055</f>
        <v>-0.12698999999999999</v>
      </c>
      <c r="D20" s="175">
        <f>-0.09*0.7055</f>
        <v>-6.3494999999999996E-2</v>
      </c>
      <c r="E20" s="175">
        <f>-0.11*0.7055</f>
        <v>-7.7605000000000007E-2</v>
      </c>
      <c r="F20" s="175">
        <f>19.81*0.7055</f>
        <v>13.975954999999999</v>
      </c>
      <c r="G20" s="175">
        <f>16.68*0.7055</f>
        <v>11.76774</v>
      </c>
      <c r="H20" s="175">
        <f>19.37*0.7055</f>
        <v>13.665535</v>
      </c>
      <c r="I20" s="175">
        <f>0.56*0.7055</f>
        <v>0.39508000000000004</v>
      </c>
      <c r="J20" s="175">
        <f>-0.225593*0.7055</f>
        <v>-0.1591558615</v>
      </c>
      <c r="K20" s="175">
        <f>-0.12*0.7055</f>
        <v>-8.4659999999999999E-2</v>
      </c>
      <c r="L20" s="175">
        <f>-0.079064*0.7055</f>
        <v>-5.5779651999999999E-2</v>
      </c>
      <c r="M20" s="175">
        <f>-0.04846*0.7055</f>
        <v>-3.4188530000000002E-2</v>
      </c>
      <c r="N20" s="175">
        <f>-0.030915*0.7055</f>
        <v>-2.18105325E-2</v>
      </c>
      <c r="O20" s="175">
        <f>SUM(C20:N20)</f>
        <v>39.180625424000006</v>
      </c>
    </row>
    <row r="21" spans="1:17" s="39" customFormat="1" ht="15">
      <c r="B21" s="199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98"/>
    </row>
    <row r="22" spans="1:17" s="39" customFormat="1" ht="15">
      <c r="B22" s="199" t="s">
        <v>379</v>
      </c>
      <c r="C22" s="175">
        <f>-0.18*0.2945</f>
        <v>-5.3009999999999995E-2</v>
      </c>
      <c r="D22" s="175">
        <f>-0.09*0.2945</f>
        <v>-2.6504999999999997E-2</v>
      </c>
      <c r="E22" s="175">
        <f>-0.11*0.2945</f>
        <v>-3.2395E-2</v>
      </c>
      <c r="F22" s="175">
        <f>19.81*0.2945</f>
        <v>5.8340449999999997</v>
      </c>
      <c r="G22" s="175">
        <f>16.68*0.2945</f>
        <v>4.9122599999999998</v>
      </c>
      <c r="H22" s="175">
        <f>19.37*0.2945</f>
        <v>5.7044649999999999</v>
      </c>
      <c r="I22" s="175">
        <f>0.56*0.2945</f>
        <v>0.16492000000000001</v>
      </c>
      <c r="J22" s="175">
        <f>-0.225593*0.2945</f>
        <v>-6.6437138499999993E-2</v>
      </c>
      <c r="K22" s="175">
        <f>-0.12*0.2945</f>
        <v>-3.5339999999999996E-2</v>
      </c>
      <c r="L22" s="175">
        <f>-0.079064*0.2945</f>
        <v>-2.3284347999999996E-2</v>
      </c>
      <c r="M22" s="175">
        <f>-0.04846*0.2945</f>
        <v>-1.427147E-2</v>
      </c>
      <c r="N22" s="175">
        <f>-0.030915*0.2945</f>
        <v>-9.1044674999999995E-3</v>
      </c>
      <c r="O22" s="175">
        <f>SUM(C22:N22)</f>
        <v>16.355342575999998</v>
      </c>
    </row>
    <row r="23" spans="1:17" s="39" customFormat="1" ht="15">
      <c r="B23" s="199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198"/>
    </row>
    <row r="24" spans="1:17" s="39" customFormat="1" ht="15">
      <c r="B24" s="199" t="s">
        <v>377</v>
      </c>
      <c r="C24" s="175">
        <v>-8.1600000000000006E-2</v>
      </c>
      <c r="D24" s="175">
        <v>-9.9199999999999997E-2</v>
      </c>
      <c r="E24" s="175">
        <v>-2.7199999999999998E-2</v>
      </c>
      <c r="F24" s="175">
        <v>4.74</v>
      </c>
      <c r="G24" s="175">
        <v>28.59</v>
      </c>
      <c r="H24" s="175">
        <v>7.28</v>
      </c>
      <c r="I24" s="175">
        <v>3</v>
      </c>
      <c r="J24" s="175">
        <v>-8.9599999999999999E-2</v>
      </c>
      <c r="K24" s="175">
        <v>-0.09</v>
      </c>
      <c r="L24" s="175">
        <v>-7.3599999999999999E-2</v>
      </c>
      <c r="M24" s="175">
        <v>-5.4399999999999997E-2</v>
      </c>
      <c r="N24" s="175">
        <v>-8.1600000000000006E-2</v>
      </c>
      <c r="O24" s="198">
        <f>SUM(C24:N24)</f>
        <v>43.012799999999999</v>
      </c>
    </row>
    <row r="25" spans="1:17" s="39" customFormat="1" ht="15">
      <c r="B25" s="91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175"/>
    </row>
    <row r="26" spans="1:17" ht="15">
      <c r="B26" s="44" t="s">
        <v>127</v>
      </c>
      <c r="C26" s="175">
        <f>C20+C22+C24</f>
        <v>-0.2616</v>
      </c>
      <c r="D26" s="175">
        <f t="shared" ref="D26:N26" si="2">D20+D22+D24</f>
        <v>-0.18919999999999998</v>
      </c>
      <c r="E26" s="175">
        <f t="shared" si="2"/>
        <v>-0.13720000000000002</v>
      </c>
      <c r="F26" s="175">
        <f t="shared" si="2"/>
        <v>24.549999999999997</v>
      </c>
      <c r="G26" s="175">
        <f t="shared" si="2"/>
        <v>45.269999999999996</v>
      </c>
      <c r="H26" s="175">
        <f t="shared" si="2"/>
        <v>26.650000000000002</v>
      </c>
      <c r="I26" s="175">
        <f t="shared" si="2"/>
        <v>3.56</v>
      </c>
      <c r="J26" s="175">
        <f t="shared" si="2"/>
        <v>-0.315193</v>
      </c>
      <c r="K26" s="175">
        <f t="shared" si="2"/>
        <v>-0.21</v>
      </c>
      <c r="L26" s="175">
        <f t="shared" si="2"/>
        <v>-0.15266399999999999</v>
      </c>
      <c r="M26" s="175">
        <f t="shared" si="2"/>
        <v>-0.10286000000000001</v>
      </c>
      <c r="N26" s="175">
        <f t="shared" si="2"/>
        <v>-0.112515</v>
      </c>
      <c r="O26" s="175">
        <f t="shared" ref="O26" si="3">O20+O22+O24</f>
        <v>98.548767999999995</v>
      </c>
    </row>
    <row r="28" spans="1:17" ht="16.5">
      <c r="B28" s="30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97"/>
      <c r="P28" s="196"/>
    </row>
    <row r="29" spans="1:17" ht="15">
      <c r="B29" s="30" t="s">
        <v>318</v>
      </c>
      <c r="C29" s="30" t="s">
        <v>372</v>
      </c>
      <c r="D29" s="95"/>
      <c r="E29" s="95"/>
      <c r="F29" s="95"/>
      <c r="G29" s="95"/>
      <c r="H29" s="95"/>
      <c r="I29" s="41"/>
    </row>
    <row r="30" spans="1:17" ht="15">
      <c r="B30" s="30" t="s">
        <v>8</v>
      </c>
      <c r="C30" s="31"/>
      <c r="D30" s="31"/>
      <c r="O30" s="195" t="s">
        <v>128</v>
      </c>
    </row>
    <row r="31" spans="1:17" ht="15">
      <c r="B31" s="37" t="s">
        <v>314</v>
      </c>
      <c r="C31" s="37" t="s">
        <v>129</v>
      </c>
      <c r="D31" s="37" t="s">
        <v>130</v>
      </c>
      <c r="E31" s="115" t="s">
        <v>131</v>
      </c>
      <c r="F31" s="115" t="s">
        <v>132</v>
      </c>
      <c r="G31" s="115" t="s">
        <v>133</v>
      </c>
      <c r="H31" s="115" t="s">
        <v>134</v>
      </c>
      <c r="I31" s="115" t="s">
        <v>135</v>
      </c>
      <c r="J31" s="115" t="s">
        <v>136</v>
      </c>
      <c r="K31" s="115" t="s">
        <v>137</v>
      </c>
      <c r="L31" s="115" t="s">
        <v>138</v>
      </c>
      <c r="M31" s="115" t="s">
        <v>139</v>
      </c>
      <c r="N31" s="115" t="s">
        <v>140</v>
      </c>
      <c r="O31" s="174" t="s">
        <v>127</v>
      </c>
    </row>
    <row r="32" spans="1:17" ht="15">
      <c r="B32" s="199" t="s">
        <v>378</v>
      </c>
      <c r="C32" s="175">
        <v>0</v>
      </c>
      <c r="D32" s="175">
        <v>0</v>
      </c>
      <c r="E32" s="175">
        <v>0.96935700000000014</v>
      </c>
      <c r="F32" s="175">
        <v>9.131639250000001</v>
      </c>
      <c r="G32" s="175">
        <v>22.271576750000001</v>
      </c>
      <c r="H32" s="175">
        <v>27.68135075</v>
      </c>
      <c r="I32" s="175">
        <v>20.041138499999999</v>
      </c>
      <c r="J32" s="175">
        <v>5.1977712499999997</v>
      </c>
      <c r="K32" s="175">
        <v>0.28784399999999999</v>
      </c>
      <c r="L32" s="175">
        <v>0</v>
      </c>
      <c r="M32" s="175">
        <v>0</v>
      </c>
      <c r="N32" s="175">
        <v>0</v>
      </c>
      <c r="O32" s="175">
        <f>SUM(C32:N32)</f>
        <v>85.580677500000007</v>
      </c>
    </row>
    <row r="33" spans="2:15" ht="15">
      <c r="B33" s="199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</row>
    <row r="34" spans="2:15" ht="15">
      <c r="B34" s="199" t="s">
        <v>379</v>
      </c>
      <c r="C34" s="175">
        <v>0</v>
      </c>
      <c r="D34" s="175">
        <v>0</v>
      </c>
      <c r="E34" s="175">
        <v>0.40464300000000003</v>
      </c>
      <c r="F34" s="175">
        <v>3.8118607499999997</v>
      </c>
      <c r="G34" s="175">
        <v>9.296923249999999</v>
      </c>
      <c r="H34" s="175">
        <v>11.555149249999999</v>
      </c>
      <c r="I34" s="175">
        <v>8.3658614999999994</v>
      </c>
      <c r="J34" s="175">
        <v>2.16972875</v>
      </c>
      <c r="K34" s="175">
        <v>0.12015599999999999</v>
      </c>
      <c r="L34" s="175">
        <v>0</v>
      </c>
      <c r="M34" s="175">
        <v>0</v>
      </c>
      <c r="N34" s="175">
        <v>0</v>
      </c>
      <c r="O34" s="175">
        <f t="shared" ref="O34:O36" si="4">SUM(C34:N34)</f>
        <v>35.7243225</v>
      </c>
    </row>
    <row r="35" spans="2:15" ht="15">
      <c r="B35" s="199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175"/>
    </row>
    <row r="36" spans="2:15" ht="15">
      <c r="B36" s="199" t="s">
        <v>377</v>
      </c>
      <c r="C36" s="175">
        <v>0</v>
      </c>
      <c r="D36" s="175">
        <v>0</v>
      </c>
      <c r="E36" s="175">
        <v>1.3740000000000001</v>
      </c>
      <c r="F36" s="175">
        <v>12.9435</v>
      </c>
      <c r="G36" s="175">
        <v>31.5685</v>
      </c>
      <c r="H36" s="175">
        <v>39.236499999999999</v>
      </c>
      <c r="I36" s="175">
        <v>28.407</v>
      </c>
      <c r="J36" s="175">
        <v>7.3674999999999997</v>
      </c>
      <c r="K36" s="175">
        <v>0.40799999999999997</v>
      </c>
      <c r="L36" s="175">
        <v>0</v>
      </c>
      <c r="M36" s="175">
        <v>0</v>
      </c>
      <c r="N36" s="175">
        <v>0</v>
      </c>
      <c r="O36" s="175">
        <f t="shared" si="4"/>
        <v>121.30499999999999</v>
      </c>
    </row>
    <row r="37" spans="2:15" ht="15">
      <c r="B37" s="91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175"/>
    </row>
    <row r="38" spans="2:15" ht="15">
      <c r="B38" s="44" t="s">
        <v>127</v>
      </c>
      <c r="C38" s="175">
        <f>C32+C34+C36</f>
        <v>0</v>
      </c>
      <c r="D38" s="175">
        <f t="shared" ref="D38:N38" si="5">D32+D34+D36</f>
        <v>0</v>
      </c>
      <c r="E38" s="175">
        <f t="shared" si="5"/>
        <v>2.7480000000000002</v>
      </c>
      <c r="F38" s="175">
        <f t="shared" si="5"/>
        <v>25.887</v>
      </c>
      <c r="G38" s="175">
        <f t="shared" si="5"/>
        <v>63.137</v>
      </c>
      <c r="H38" s="175">
        <f t="shared" si="5"/>
        <v>78.472999999999999</v>
      </c>
      <c r="I38" s="175">
        <f t="shared" si="5"/>
        <v>56.813999999999993</v>
      </c>
      <c r="J38" s="175">
        <f t="shared" si="5"/>
        <v>14.734999999999999</v>
      </c>
      <c r="K38" s="175">
        <f t="shared" si="5"/>
        <v>0.81599999999999995</v>
      </c>
      <c r="L38" s="175">
        <f t="shared" si="5"/>
        <v>0</v>
      </c>
      <c r="M38" s="175">
        <f t="shared" si="5"/>
        <v>0</v>
      </c>
      <c r="N38" s="175">
        <f t="shared" si="5"/>
        <v>0</v>
      </c>
      <c r="O38" s="175">
        <f t="shared" ref="O38" si="6">O32+O34+O36</f>
        <v>242.61</v>
      </c>
    </row>
    <row r="41" spans="2:15" ht="15">
      <c r="B41" s="30" t="s">
        <v>319</v>
      </c>
      <c r="C41" s="30" t="s">
        <v>373</v>
      </c>
      <c r="D41" s="95"/>
      <c r="E41" s="95"/>
      <c r="F41" s="95"/>
      <c r="G41" s="95"/>
      <c r="H41" s="95"/>
      <c r="I41" s="41"/>
    </row>
    <row r="42" spans="2:15" ht="15">
      <c r="B42" s="30" t="s">
        <v>8</v>
      </c>
      <c r="C42" s="31"/>
      <c r="D42" s="31"/>
      <c r="O42" s="195" t="s">
        <v>128</v>
      </c>
    </row>
    <row r="43" spans="2:15" ht="15">
      <c r="B43" s="37" t="s">
        <v>314</v>
      </c>
      <c r="C43" s="37" t="s">
        <v>129</v>
      </c>
      <c r="D43" s="37" t="s">
        <v>130</v>
      </c>
      <c r="E43" s="115" t="s">
        <v>131</v>
      </c>
      <c r="F43" s="115" t="s">
        <v>132</v>
      </c>
      <c r="G43" s="115" t="s">
        <v>133</v>
      </c>
      <c r="H43" s="115" t="s">
        <v>134</v>
      </c>
      <c r="I43" s="115" t="s">
        <v>135</v>
      </c>
      <c r="J43" s="115" t="s">
        <v>136</v>
      </c>
      <c r="K43" s="115" t="s">
        <v>137</v>
      </c>
      <c r="L43" s="115" t="s">
        <v>138</v>
      </c>
      <c r="M43" s="115" t="s">
        <v>139</v>
      </c>
      <c r="N43" s="115" t="s">
        <v>140</v>
      </c>
      <c r="O43" s="174" t="s">
        <v>127</v>
      </c>
    </row>
    <row r="44" spans="2:15" ht="15">
      <c r="B44" s="199" t="s">
        <v>378</v>
      </c>
      <c r="C44" s="175">
        <v>0</v>
      </c>
      <c r="D44" s="175">
        <v>0</v>
      </c>
      <c r="E44" s="175">
        <v>1.0744765000000001</v>
      </c>
      <c r="F44" s="175">
        <v>9.90133975</v>
      </c>
      <c r="G44" s="175">
        <v>21.294459249999999</v>
      </c>
      <c r="H44" s="175">
        <v>26.538793499999997</v>
      </c>
      <c r="I44" s="175">
        <v>21.84051625</v>
      </c>
      <c r="J44" s="175">
        <v>5.4736217499999995</v>
      </c>
      <c r="K44" s="175">
        <v>0.25821300000000003</v>
      </c>
      <c r="L44" s="175">
        <v>0</v>
      </c>
      <c r="M44" s="175">
        <v>0</v>
      </c>
      <c r="N44" s="175">
        <v>0</v>
      </c>
      <c r="O44" s="175">
        <f>SUM(C44:N44)</f>
        <v>86.381420000000006</v>
      </c>
    </row>
    <row r="45" spans="2:15" ht="15">
      <c r="B45" s="199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</row>
    <row r="46" spans="2:15" ht="15">
      <c r="B46" s="199" t="s">
        <v>379</v>
      </c>
      <c r="C46" s="175">
        <v>0</v>
      </c>
      <c r="D46" s="175">
        <v>0</v>
      </c>
      <c r="E46" s="175">
        <v>0.44852349999999996</v>
      </c>
      <c r="F46" s="175">
        <v>4.1331602499999995</v>
      </c>
      <c r="G46" s="175">
        <v>8.8890407499999995</v>
      </c>
      <c r="H46" s="175">
        <v>11.078206499999999</v>
      </c>
      <c r="I46" s="175">
        <v>9.1169837499999993</v>
      </c>
      <c r="J46" s="175">
        <v>2.2848782499999998</v>
      </c>
      <c r="K46" s="175">
        <v>0.10778699999999999</v>
      </c>
      <c r="L46" s="175">
        <v>0</v>
      </c>
      <c r="M46" s="175">
        <v>0</v>
      </c>
      <c r="N46" s="175">
        <v>0</v>
      </c>
      <c r="O46" s="175">
        <f t="shared" ref="O46:O48" si="7">SUM(C46:N46)</f>
        <v>36.058579999999999</v>
      </c>
    </row>
    <row r="47" spans="2:15" ht="15">
      <c r="B47" s="199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175"/>
    </row>
    <row r="48" spans="2:15" ht="15">
      <c r="B48" s="199" t="s">
        <v>377</v>
      </c>
      <c r="C48" s="44">
        <v>0</v>
      </c>
      <c r="D48" s="44">
        <v>0</v>
      </c>
      <c r="E48" s="44">
        <v>1.5229999999999999</v>
      </c>
      <c r="F48" s="44">
        <v>14.0345</v>
      </c>
      <c r="G48" s="44">
        <v>30.183499999999999</v>
      </c>
      <c r="H48" s="44">
        <v>37.616999999999997</v>
      </c>
      <c r="I48" s="44">
        <v>30.9575</v>
      </c>
      <c r="J48" s="44">
        <v>7.7584999999999997</v>
      </c>
      <c r="K48" s="44">
        <v>0.36599999999999999</v>
      </c>
      <c r="L48" s="44">
        <v>0</v>
      </c>
      <c r="M48" s="44">
        <v>0</v>
      </c>
      <c r="N48" s="44">
        <v>0</v>
      </c>
      <c r="O48" s="175">
        <f t="shared" si="7"/>
        <v>122.44</v>
      </c>
    </row>
    <row r="49" spans="2:15" ht="15">
      <c r="B49" s="91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175"/>
    </row>
    <row r="50" spans="2:15" ht="15">
      <c r="B50" s="44" t="s">
        <v>127</v>
      </c>
      <c r="C50" s="175">
        <f>C44+C46+C48</f>
        <v>0</v>
      </c>
      <c r="D50" s="175">
        <f t="shared" ref="D50:N50" si="8">D44+D46+D48</f>
        <v>0</v>
      </c>
      <c r="E50" s="175">
        <f t="shared" si="8"/>
        <v>3.0460000000000003</v>
      </c>
      <c r="F50" s="175">
        <f t="shared" si="8"/>
        <v>28.068999999999999</v>
      </c>
      <c r="G50" s="175">
        <f t="shared" si="8"/>
        <v>60.366999999999997</v>
      </c>
      <c r="H50" s="175">
        <f t="shared" si="8"/>
        <v>75.233999999999995</v>
      </c>
      <c r="I50" s="175">
        <f t="shared" si="8"/>
        <v>61.914999999999999</v>
      </c>
      <c r="J50" s="175">
        <f t="shared" si="8"/>
        <v>15.516999999999999</v>
      </c>
      <c r="K50" s="175">
        <f t="shared" si="8"/>
        <v>0.73199999999999998</v>
      </c>
      <c r="L50" s="175">
        <f t="shared" si="8"/>
        <v>0</v>
      </c>
      <c r="M50" s="175">
        <f t="shared" si="8"/>
        <v>0</v>
      </c>
      <c r="N50" s="175">
        <f t="shared" si="8"/>
        <v>0</v>
      </c>
      <c r="O50" s="175">
        <f t="shared" ref="O50" si="9">O44+O46+O48</f>
        <v>244.88</v>
      </c>
    </row>
    <row r="53" spans="2:15" ht="15">
      <c r="B53" s="30" t="s">
        <v>320</v>
      </c>
      <c r="C53" s="30" t="s">
        <v>374</v>
      </c>
      <c r="D53" s="95"/>
      <c r="E53" s="95"/>
      <c r="F53" s="95"/>
      <c r="G53" s="95"/>
      <c r="H53" s="95"/>
      <c r="I53" s="41"/>
    </row>
    <row r="54" spans="2:15" ht="15">
      <c r="B54" s="30" t="s">
        <v>8</v>
      </c>
      <c r="C54" s="31"/>
      <c r="D54" s="31"/>
      <c r="O54" s="195" t="s">
        <v>128</v>
      </c>
    </row>
    <row r="55" spans="2:15" ht="15">
      <c r="B55" s="37" t="s">
        <v>314</v>
      </c>
      <c r="C55" s="37" t="s">
        <v>129</v>
      </c>
      <c r="D55" s="37" t="s">
        <v>130</v>
      </c>
      <c r="E55" s="115" t="s">
        <v>131</v>
      </c>
      <c r="F55" s="115" t="s">
        <v>132</v>
      </c>
      <c r="G55" s="115" t="s">
        <v>133</v>
      </c>
      <c r="H55" s="115" t="s">
        <v>134</v>
      </c>
      <c r="I55" s="115" t="s">
        <v>135</v>
      </c>
      <c r="J55" s="115" t="s">
        <v>136</v>
      </c>
      <c r="K55" s="115" t="s">
        <v>137</v>
      </c>
      <c r="L55" s="115" t="s">
        <v>138</v>
      </c>
      <c r="M55" s="115" t="s">
        <v>139</v>
      </c>
      <c r="N55" s="115" t="s">
        <v>140</v>
      </c>
      <c r="O55" s="174" t="s">
        <v>127</v>
      </c>
    </row>
    <row r="56" spans="2:15" ht="15">
      <c r="B56" s="199" t="s">
        <v>378</v>
      </c>
      <c r="C56" s="175">
        <v>0</v>
      </c>
      <c r="D56" s="175">
        <v>0</v>
      </c>
      <c r="E56" s="175">
        <v>1.1908840000000001</v>
      </c>
      <c r="F56" s="175">
        <v>10.900327750000001</v>
      </c>
      <c r="G56" s="175">
        <v>23.432476999999999</v>
      </c>
      <c r="H56" s="175">
        <v>28.393553000000001</v>
      </c>
      <c r="I56" s="175">
        <v>23.735489250000004</v>
      </c>
      <c r="J56" s="175">
        <v>6.0284975000000003</v>
      </c>
      <c r="K56" s="175">
        <v>0.29101874999999999</v>
      </c>
      <c r="L56" s="175">
        <v>0</v>
      </c>
      <c r="M56" s="175">
        <v>0</v>
      </c>
      <c r="N56" s="175">
        <v>0</v>
      </c>
      <c r="O56" s="175">
        <f>SUM(C56:N56)</f>
        <v>93.972247250000009</v>
      </c>
    </row>
    <row r="57" spans="2:15" ht="15">
      <c r="B57" s="199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</row>
    <row r="58" spans="2:15" ht="15">
      <c r="B58" s="199" t="s">
        <v>379</v>
      </c>
      <c r="C58" s="175">
        <v>0</v>
      </c>
      <c r="D58" s="175">
        <v>0</v>
      </c>
      <c r="E58" s="175">
        <v>0.49711599999999995</v>
      </c>
      <c r="F58" s="175">
        <v>4.5501722500000001</v>
      </c>
      <c r="G58" s="175">
        <v>9.7815229999999982</v>
      </c>
      <c r="H58" s="175">
        <v>11.852447</v>
      </c>
      <c r="I58" s="175">
        <v>9.9080107500000008</v>
      </c>
      <c r="J58" s="175">
        <v>2.5165024999999996</v>
      </c>
      <c r="K58" s="175">
        <v>0.12148124999999999</v>
      </c>
      <c r="L58" s="175">
        <v>0</v>
      </c>
      <c r="M58" s="175">
        <v>0</v>
      </c>
      <c r="N58" s="175">
        <v>0</v>
      </c>
      <c r="O58" s="175">
        <f>SUM(C58:N58)</f>
        <v>39.227252750000005</v>
      </c>
    </row>
    <row r="59" spans="2:15" ht="15">
      <c r="B59" s="199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175"/>
    </row>
    <row r="60" spans="2:15" ht="15">
      <c r="B60" s="199" t="s">
        <v>377</v>
      </c>
      <c r="C60" s="44">
        <v>0</v>
      </c>
      <c r="D60" s="44">
        <v>0</v>
      </c>
      <c r="E60" s="44">
        <v>1.6879999999999999</v>
      </c>
      <c r="F60" s="44">
        <v>15.4505</v>
      </c>
      <c r="G60" s="44">
        <v>33.213999999999999</v>
      </c>
      <c r="H60" s="44">
        <v>40.246000000000002</v>
      </c>
      <c r="I60" s="44">
        <v>33.643500000000003</v>
      </c>
      <c r="J60" s="44">
        <v>8.5449999999999999</v>
      </c>
      <c r="K60" s="44">
        <v>0.41249999999999998</v>
      </c>
      <c r="L60" s="44">
        <v>0</v>
      </c>
      <c r="M60" s="44">
        <v>0</v>
      </c>
      <c r="N60" s="44">
        <v>0</v>
      </c>
      <c r="O60" s="175">
        <f t="shared" ref="O60" si="10">SUM(C60:N60)</f>
        <v>133.1995</v>
      </c>
    </row>
    <row r="61" spans="2:15" ht="15">
      <c r="B61" s="91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175"/>
    </row>
    <row r="62" spans="2:15" ht="15">
      <c r="B62" s="44" t="s">
        <v>127</v>
      </c>
      <c r="C62" s="175">
        <f>C56+C58+C60</f>
        <v>0</v>
      </c>
      <c r="D62" s="175">
        <f t="shared" ref="D62:N62" si="11">D56+D58+D60</f>
        <v>0</v>
      </c>
      <c r="E62" s="175">
        <f t="shared" si="11"/>
        <v>3.3759999999999999</v>
      </c>
      <c r="F62" s="175">
        <f t="shared" si="11"/>
        <v>30.901000000000003</v>
      </c>
      <c r="G62" s="175">
        <f t="shared" si="11"/>
        <v>66.427999999999997</v>
      </c>
      <c r="H62" s="175">
        <f t="shared" si="11"/>
        <v>80.492000000000004</v>
      </c>
      <c r="I62" s="175">
        <f t="shared" si="11"/>
        <v>67.287000000000006</v>
      </c>
      <c r="J62" s="175">
        <f t="shared" si="11"/>
        <v>17.09</v>
      </c>
      <c r="K62" s="175">
        <f t="shared" si="11"/>
        <v>0.82499999999999996</v>
      </c>
      <c r="L62" s="175">
        <f t="shared" si="11"/>
        <v>0</v>
      </c>
      <c r="M62" s="175">
        <f t="shared" si="11"/>
        <v>0</v>
      </c>
      <c r="N62" s="175">
        <f t="shared" si="11"/>
        <v>0</v>
      </c>
      <c r="O62" s="175">
        <f t="shared" ref="O62" si="12">O56+O58+O60</f>
        <v>266.399</v>
      </c>
    </row>
    <row r="65" spans="2:15" ht="15">
      <c r="B65" s="30" t="s">
        <v>321</v>
      </c>
      <c r="C65" s="30" t="s">
        <v>375</v>
      </c>
      <c r="D65" s="95"/>
      <c r="E65" s="95"/>
      <c r="F65" s="95"/>
      <c r="G65" s="95"/>
      <c r="H65" s="95"/>
      <c r="I65" s="41"/>
    </row>
    <row r="66" spans="2:15" ht="15">
      <c r="B66" s="30" t="s">
        <v>8</v>
      </c>
      <c r="C66" s="31"/>
      <c r="D66" s="31"/>
      <c r="O66" s="195" t="s">
        <v>128</v>
      </c>
    </row>
    <row r="67" spans="2:15" ht="15">
      <c r="B67" s="37" t="s">
        <v>314</v>
      </c>
      <c r="C67" s="37" t="s">
        <v>129</v>
      </c>
      <c r="D67" s="37" t="s">
        <v>130</v>
      </c>
      <c r="E67" s="115" t="s">
        <v>131</v>
      </c>
      <c r="F67" s="115" t="s">
        <v>132</v>
      </c>
      <c r="G67" s="115" t="s">
        <v>133</v>
      </c>
      <c r="H67" s="115" t="s">
        <v>134</v>
      </c>
      <c r="I67" s="115" t="s">
        <v>135</v>
      </c>
      <c r="J67" s="115" t="s">
        <v>136</v>
      </c>
      <c r="K67" s="115" t="s">
        <v>137</v>
      </c>
      <c r="L67" s="115" t="s">
        <v>138</v>
      </c>
      <c r="M67" s="115" t="s">
        <v>139</v>
      </c>
      <c r="N67" s="115" t="s">
        <v>140</v>
      </c>
      <c r="O67" s="174" t="s">
        <v>127</v>
      </c>
    </row>
    <row r="68" spans="2:15" ht="15">
      <c r="B68" s="199" t="s">
        <v>378</v>
      </c>
      <c r="C68" s="175">
        <v>0</v>
      </c>
      <c r="D68" s="175">
        <v>0</v>
      </c>
      <c r="E68" s="175">
        <v>1.3150520000000001</v>
      </c>
      <c r="F68" s="175">
        <v>11.009680250000001</v>
      </c>
      <c r="G68" s="175">
        <v>23.057503749999999</v>
      </c>
      <c r="H68" s="175">
        <v>29.207699999999999</v>
      </c>
      <c r="I68" s="175">
        <v>24.45298275</v>
      </c>
      <c r="J68" s="175">
        <v>6.6391077500000009</v>
      </c>
      <c r="K68" s="175">
        <v>0.32770475000000004</v>
      </c>
      <c r="L68" s="175">
        <v>0</v>
      </c>
      <c r="M68" s="175">
        <v>0</v>
      </c>
      <c r="N68" s="175">
        <v>0</v>
      </c>
      <c r="O68" s="175">
        <f>SUM(C68:N68)</f>
        <v>96.009731250000002</v>
      </c>
    </row>
    <row r="69" spans="2:15" ht="15">
      <c r="B69" s="199"/>
      <c r="C69" s="175"/>
      <c r="D69" s="175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</row>
    <row r="70" spans="2:15" ht="15">
      <c r="B70" s="199" t="s">
        <v>379</v>
      </c>
      <c r="C70" s="175">
        <v>0</v>
      </c>
      <c r="D70" s="175">
        <v>0</v>
      </c>
      <c r="E70" s="175">
        <v>0.54894799999999999</v>
      </c>
      <c r="F70" s="175">
        <v>4.5958197499999995</v>
      </c>
      <c r="G70" s="175">
        <v>9.6249962499999988</v>
      </c>
      <c r="H70" s="175">
        <v>12.192299999999999</v>
      </c>
      <c r="I70" s="175">
        <v>10.207517249999999</v>
      </c>
      <c r="J70" s="175">
        <v>2.7713922499999999</v>
      </c>
      <c r="K70" s="175">
        <v>0.13679525000000001</v>
      </c>
      <c r="L70" s="175">
        <v>0</v>
      </c>
      <c r="M70" s="175">
        <v>0</v>
      </c>
      <c r="N70" s="175">
        <v>0</v>
      </c>
      <c r="O70" s="175">
        <f>SUM(C70:N70)</f>
        <v>40.07776874999999</v>
      </c>
    </row>
    <row r="71" spans="2:15" ht="15">
      <c r="B71" s="199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175"/>
    </row>
    <row r="72" spans="2:15" ht="15">
      <c r="B72" s="199" t="s">
        <v>377</v>
      </c>
      <c r="C72" s="44">
        <v>0</v>
      </c>
      <c r="D72" s="44">
        <v>0</v>
      </c>
      <c r="E72" s="44">
        <v>1.8640000000000001</v>
      </c>
      <c r="F72" s="44">
        <v>15.605499999999999</v>
      </c>
      <c r="G72" s="44">
        <v>32.682499999999997</v>
      </c>
      <c r="H72" s="44">
        <v>41.4</v>
      </c>
      <c r="I72" s="44">
        <v>34.660499999999999</v>
      </c>
      <c r="J72" s="44">
        <v>9.4105000000000008</v>
      </c>
      <c r="K72" s="44">
        <v>0.46450000000000002</v>
      </c>
      <c r="L72" s="44">
        <v>0</v>
      </c>
      <c r="M72" s="44">
        <v>0</v>
      </c>
      <c r="N72" s="44">
        <v>0</v>
      </c>
      <c r="O72" s="175">
        <f t="shared" ref="O72" si="13">SUM(C72:N72)</f>
        <v>136.08749999999998</v>
      </c>
    </row>
    <row r="73" spans="2:15" ht="15">
      <c r="B73" s="91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175"/>
    </row>
    <row r="74" spans="2:15" ht="15">
      <c r="B74" s="44" t="s">
        <v>127</v>
      </c>
      <c r="C74" s="175">
        <f>C68+C70+C72</f>
        <v>0</v>
      </c>
      <c r="D74" s="175">
        <f t="shared" ref="D74:N74" si="14">D68+D70+D72</f>
        <v>0</v>
      </c>
      <c r="E74" s="175">
        <f t="shared" si="14"/>
        <v>3.7280000000000002</v>
      </c>
      <c r="F74" s="175">
        <f t="shared" si="14"/>
        <v>31.210999999999999</v>
      </c>
      <c r="G74" s="175">
        <f t="shared" si="14"/>
        <v>65.364999999999995</v>
      </c>
      <c r="H74" s="175">
        <f t="shared" si="14"/>
        <v>82.8</v>
      </c>
      <c r="I74" s="175">
        <f t="shared" si="14"/>
        <v>69.320999999999998</v>
      </c>
      <c r="J74" s="175">
        <f t="shared" si="14"/>
        <v>18.821000000000002</v>
      </c>
      <c r="K74" s="175">
        <f t="shared" si="14"/>
        <v>0.92900000000000005</v>
      </c>
      <c r="L74" s="175">
        <f t="shared" si="14"/>
        <v>0</v>
      </c>
      <c r="M74" s="175">
        <f t="shared" si="14"/>
        <v>0</v>
      </c>
      <c r="N74" s="175">
        <f t="shared" si="14"/>
        <v>0</v>
      </c>
      <c r="O74" s="175">
        <f t="shared" ref="O74" si="15">O68+O70+O72</f>
        <v>272.17499999999995</v>
      </c>
    </row>
    <row r="77" spans="2:15" ht="15">
      <c r="B77" s="30" t="s">
        <v>322</v>
      </c>
      <c r="C77" s="30" t="s">
        <v>376</v>
      </c>
      <c r="D77" s="95"/>
      <c r="E77" s="95"/>
      <c r="F77" s="95"/>
      <c r="G77" s="95"/>
      <c r="H77" s="95"/>
      <c r="I77" s="41"/>
    </row>
    <row r="78" spans="2:15" ht="15">
      <c r="B78" s="30" t="s">
        <v>8</v>
      </c>
      <c r="C78" s="31"/>
      <c r="D78" s="31"/>
      <c r="O78" s="195" t="s">
        <v>128</v>
      </c>
    </row>
    <row r="79" spans="2:15" ht="15">
      <c r="B79" s="37" t="s">
        <v>314</v>
      </c>
      <c r="C79" s="37" t="s">
        <v>129</v>
      </c>
      <c r="D79" s="37" t="s">
        <v>130</v>
      </c>
      <c r="E79" s="115" t="s">
        <v>131</v>
      </c>
      <c r="F79" s="115" t="s">
        <v>132</v>
      </c>
      <c r="G79" s="115" t="s">
        <v>133</v>
      </c>
      <c r="H79" s="115" t="s">
        <v>134</v>
      </c>
      <c r="I79" s="115" t="s">
        <v>135</v>
      </c>
      <c r="J79" s="115" t="s">
        <v>136</v>
      </c>
      <c r="K79" s="115" t="s">
        <v>137</v>
      </c>
      <c r="L79" s="115" t="s">
        <v>138</v>
      </c>
      <c r="M79" s="115" t="s">
        <v>139</v>
      </c>
      <c r="N79" s="115" t="s">
        <v>140</v>
      </c>
      <c r="O79" s="174" t="s">
        <v>127</v>
      </c>
    </row>
    <row r="80" spans="2:15" ht="15">
      <c r="B80" s="199" t="s">
        <v>378</v>
      </c>
      <c r="C80" s="175">
        <v>0</v>
      </c>
      <c r="D80" s="175">
        <v>0</v>
      </c>
      <c r="E80" s="175">
        <v>1.4526245000000002</v>
      </c>
      <c r="F80" s="175">
        <v>12.1197845</v>
      </c>
      <c r="G80" s="175">
        <v>25.365194249999998</v>
      </c>
      <c r="H80" s="175">
        <v>28.671520000000001</v>
      </c>
      <c r="I80" s="175">
        <v>22.885714499999999</v>
      </c>
      <c r="J80" s="175">
        <v>7.2140902499999999</v>
      </c>
      <c r="K80" s="175">
        <v>0.35098625</v>
      </c>
      <c r="L80" s="175">
        <v>0</v>
      </c>
      <c r="M80" s="175">
        <v>0</v>
      </c>
      <c r="N80" s="175">
        <v>0</v>
      </c>
      <c r="O80" s="175">
        <f>SUM(C80:N80)</f>
        <v>98.059914249999991</v>
      </c>
    </row>
    <row r="81" spans="2:15" ht="15">
      <c r="B81" s="199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</row>
    <row r="82" spans="2:15" ht="15">
      <c r="B82" s="199" t="s">
        <v>379</v>
      </c>
      <c r="C82" s="175">
        <v>0</v>
      </c>
      <c r="D82" s="175">
        <v>0</v>
      </c>
      <c r="E82" s="175">
        <v>0.60637550000000007</v>
      </c>
      <c r="F82" s="175">
        <v>5.0592154999999996</v>
      </c>
      <c r="G82" s="175">
        <v>10.588305749999998</v>
      </c>
      <c r="H82" s="175">
        <v>11.96848</v>
      </c>
      <c r="I82" s="175">
        <v>9.5532854999999994</v>
      </c>
      <c r="J82" s="175">
        <v>3.0114097499999999</v>
      </c>
      <c r="K82" s="175">
        <v>0.14651375</v>
      </c>
      <c r="L82" s="175">
        <v>0</v>
      </c>
      <c r="M82" s="175">
        <v>0</v>
      </c>
      <c r="N82" s="175">
        <v>0</v>
      </c>
      <c r="O82" s="175">
        <f>SUM(C82:N82)</f>
        <v>40.933585749999992</v>
      </c>
    </row>
    <row r="83" spans="2:15" ht="15">
      <c r="B83" s="199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175"/>
    </row>
    <row r="84" spans="2:15" ht="15">
      <c r="B84" s="199" t="s">
        <v>377</v>
      </c>
      <c r="C84" s="44">
        <v>0</v>
      </c>
      <c r="D84" s="44">
        <v>0</v>
      </c>
      <c r="E84" s="44">
        <v>2.0590000000000002</v>
      </c>
      <c r="F84" s="44">
        <v>17.178999999999998</v>
      </c>
      <c r="G84" s="44">
        <v>35.953499999999998</v>
      </c>
      <c r="H84" s="44">
        <v>40.64</v>
      </c>
      <c r="I84" s="44">
        <v>32.439</v>
      </c>
      <c r="J84" s="44">
        <v>10.2255</v>
      </c>
      <c r="K84" s="44">
        <v>0.4975</v>
      </c>
      <c r="L84" s="44">
        <v>0</v>
      </c>
      <c r="M84" s="44">
        <v>0</v>
      </c>
      <c r="N84" s="44">
        <v>0</v>
      </c>
      <c r="O84" s="175">
        <f t="shared" ref="O84" si="16">SUM(C84:N84)</f>
        <v>138.99350000000001</v>
      </c>
    </row>
    <row r="85" spans="2:15" ht="15">
      <c r="B85" s="91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175"/>
    </row>
    <row r="86" spans="2:15" ht="15">
      <c r="B86" s="44" t="s">
        <v>127</v>
      </c>
      <c r="C86" s="175">
        <f>C80+C82+C84</f>
        <v>0</v>
      </c>
      <c r="D86" s="175">
        <f t="shared" ref="D86:N86" si="17">D80+D82+D84</f>
        <v>0</v>
      </c>
      <c r="E86" s="175">
        <f t="shared" si="17"/>
        <v>4.1180000000000003</v>
      </c>
      <c r="F86" s="175">
        <f t="shared" si="17"/>
        <v>34.357999999999997</v>
      </c>
      <c r="G86" s="175">
        <f t="shared" si="17"/>
        <v>71.906999999999996</v>
      </c>
      <c r="H86" s="175">
        <f t="shared" si="17"/>
        <v>81.28</v>
      </c>
      <c r="I86" s="175">
        <f t="shared" si="17"/>
        <v>64.878</v>
      </c>
      <c r="J86" s="175">
        <f t="shared" si="17"/>
        <v>20.451000000000001</v>
      </c>
      <c r="K86" s="175">
        <f t="shared" si="17"/>
        <v>0.995</v>
      </c>
      <c r="L86" s="175">
        <f t="shared" si="17"/>
        <v>0</v>
      </c>
      <c r="M86" s="175">
        <f t="shared" si="17"/>
        <v>0</v>
      </c>
      <c r="N86" s="175">
        <f t="shared" si="17"/>
        <v>0</v>
      </c>
      <c r="O86" s="175">
        <f>O80+O82+O84</f>
        <v>277.98699999999997</v>
      </c>
    </row>
  </sheetData>
  <mergeCells count="6">
    <mergeCell ref="B18:B19"/>
    <mergeCell ref="I18:N18"/>
    <mergeCell ref="C18:H18"/>
    <mergeCell ref="B2:O2"/>
    <mergeCell ref="B3:O3"/>
    <mergeCell ref="B4:O4"/>
  </mergeCells>
  <pageMargins left="0.44" right="0.42" top="0.98425196850393704" bottom="0.35433070866141736" header="0.51181102362204722" footer="0.51181102362204722"/>
  <pageSetup paperSize="9" scale="5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B4" sqref="B4:P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4"/>
    </row>
    <row r="2" spans="2:14" s="5" customFormat="1" ht="15" customHeight="1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2:14" s="5" customFormat="1" ht="15" customHeight="1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2:14" ht="14.25" customHeight="1">
      <c r="B4" s="241" t="s">
        <v>323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2:14" ht="15">
      <c r="B5" s="30" t="s">
        <v>382</v>
      </c>
    </row>
    <row r="6" spans="2:14" ht="15">
      <c r="B6" s="30" t="s">
        <v>12</v>
      </c>
      <c r="N6" s="42" t="s">
        <v>4</v>
      </c>
    </row>
    <row r="7" spans="2:14" s="61" customFormat="1" ht="45.75" customHeight="1">
      <c r="B7" s="233" t="s">
        <v>314</v>
      </c>
      <c r="C7" s="247" t="s">
        <v>143</v>
      </c>
      <c r="D7" s="247"/>
      <c r="E7" s="247"/>
      <c r="F7" s="247"/>
      <c r="G7" s="246" t="s">
        <v>144</v>
      </c>
      <c r="H7" s="246"/>
      <c r="I7" s="246"/>
      <c r="J7" s="246" t="s">
        <v>145</v>
      </c>
      <c r="K7" s="246"/>
      <c r="L7" s="246"/>
      <c r="M7" s="246"/>
      <c r="N7" s="246"/>
    </row>
    <row r="8" spans="2:14" ht="45">
      <c r="B8" s="248"/>
      <c r="C8" s="37" t="s">
        <v>161</v>
      </c>
      <c r="D8" s="37" t="s">
        <v>159</v>
      </c>
      <c r="E8" s="37" t="s">
        <v>221</v>
      </c>
      <c r="F8" s="37" t="s">
        <v>160</v>
      </c>
      <c r="G8" s="37" t="s">
        <v>146</v>
      </c>
      <c r="H8" s="37" t="s">
        <v>222</v>
      </c>
      <c r="I8" s="37" t="s">
        <v>147</v>
      </c>
      <c r="J8" s="37" t="s">
        <v>148</v>
      </c>
      <c r="K8" s="37" t="s">
        <v>149</v>
      </c>
      <c r="L8" s="37" t="s">
        <v>223</v>
      </c>
      <c r="M8" s="37" t="s">
        <v>224</v>
      </c>
      <c r="N8" s="29" t="s">
        <v>127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93" t="s">
        <v>315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9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93" t="s">
        <v>316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93" t="s">
        <v>317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9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93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93" t="s">
        <v>127</v>
      </c>
      <c r="C18" s="136">
        <f>C10+C12+C14</f>
        <v>0</v>
      </c>
      <c r="D18" s="136">
        <f>D10+D12+D14</f>
        <v>0</v>
      </c>
      <c r="E18" s="136">
        <f>E10+E12+E14</f>
        <v>0</v>
      </c>
      <c r="F18" s="136">
        <f>F10+F12+F14</f>
        <v>0</v>
      </c>
      <c r="G18" s="136">
        <f>G10+G12+G14</f>
        <v>0</v>
      </c>
      <c r="H18" s="3"/>
      <c r="I18" s="3"/>
      <c r="J18" s="136">
        <f>J10+J12+J14</f>
        <v>0</v>
      </c>
      <c r="K18" s="136">
        <f>K10+K12+K14</f>
        <v>0</v>
      </c>
      <c r="L18" s="136">
        <f>L10+L12+L14</f>
        <v>0</v>
      </c>
      <c r="M18" s="136">
        <f>M10+M12+M14</f>
        <v>0</v>
      </c>
      <c r="N18" s="136">
        <f>N10+N12+N14</f>
        <v>0</v>
      </c>
    </row>
    <row r="19" spans="2:14" ht="15">
      <c r="B19" s="42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topLeftCell="A4" zoomScale="80" zoomScaleNormal="80" workbookViewId="0">
      <selection activeCell="B4" sqref="B4:P4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14"/>
    </row>
    <row r="2" spans="2:17" s="5" customFormat="1" ht="15" customHeight="1"/>
    <row r="3" spans="2:17" s="5" customFormat="1" ht="15" customHeight="1">
      <c r="B3" s="240" t="s">
        <v>408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2:17" s="5" customFormat="1" ht="15" customHeight="1">
      <c r="B4" s="240" t="s">
        <v>381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</row>
    <row r="5" spans="2:17" ht="15">
      <c r="B5" s="30" t="s">
        <v>382</v>
      </c>
      <c r="F5" s="241" t="s">
        <v>326</v>
      </c>
      <c r="G5" s="241"/>
      <c r="H5" s="241"/>
      <c r="I5" s="241"/>
      <c r="J5" s="241"/>
      <c r="K5" s="241"/>
    </row>
    <row r="6" spans="2:17" ht="15">
      <c r="B6" s="42" t="s">
        <v>12</v>
      </c>
    </row>
    <row r="7" spans="2:17" ht="30">
      <c r="B7" s="116" t="s">
        <v>186</v>
      </c>
      <c r="C7" s="116" t="s">
        <v>18</v>
      </c>
      <c r="D7" s="116" t="s">
        <v>39</v>
      </c>
      <c r="E7" s="37" t="s">
        <v>129</v>
      </c>
      <c r="F7" s="37" t="s">
        <v>130</v>
      </c>
      <c r="G7" s="115" t="s">
        <v>131</v>
      </c>
      <c r="H7" s="115" t="s">
        <v>132</v>
      </c>
      <c r="I7" s="115" t="s">
        <v>133</v>
      </c>
      <c r="J7" s="115" t="s">
        <v>134</v>
      </c>
      <c r="K7" s="115" t="s">
        <v>135</v>
      </c>
      <c r="L7" s="115" t="s">
        <v>136</v>
      </c>
      <c r="M7" s="115" t="s">
        <v>137</v>
      </c>
      <c r="N7" s="115" t="s">
        <v>138</v>
      </c>
      <c r="O7" s="115" t="s">
        <v>139</v>
      </c>
      <c r="P7" s="115" t="s">
        <v>140</v>
      </c>
      <c r="Q7" s="117" t="s">
        <v>127</v>
      </c>
    </row>
    <row r="8" spans="2:17">
      <c r="B8" s="118">
        <v>1</v>
      </c>
      <c r="C8" s="119" t="s">
        <v>164</v>
      </c>
      <c r="D8" s="118" t="s">
        <v>40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>
        <v>90</v>
      </c>
    </row>
    <row r="9" spans="2:17">
      <c r="B9" s="118">
        <f>B8+1</f>
        <v>2</v>
      </c>
      <c r="C9" s="119" t="s">
        <v>187</v>
      </c>
      <c r="D9" s="118" t="s">
        <v>40</v>
      </c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1"/>
    </row>
    <row r="10" spans="2:17">
      <c r="B10" s="118">
        <f t="shared" ref="B10:B26" si="0">B9+1</f>
        <v>3</v>
      </c>
      <c r="C10" s="119" t="s">
        <v>188</v>
      </c>
      <c r="D10" s="118" t="s">
        <v>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>
        <v>100</v>
      </c>
    </row>
    <row r="11" spans="2:17">
      <c r="B11" s="118">
        <f t="shared" si="0"/>
        <v>4</v>
      </c>
      <c r="C11" s="119" t="s">
        <v>41</v>
      </c>
      <c r="D11" s="118" t="s">
        <v>40</v>
      </c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</row>
    <row r="12" spans="2:17">
      <c r="B12" s="118">
        <f t="shared" si="0"/>
        <v>5</v>
      </c>
      <c r="C12" s="119" t="s">
        <v>189</v>
      </c>
      <c r="D12" s="118" t="s">
        <v>40</v>
      </c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</row>
    <row r="13" spans="2:17">
      <c r="B13" s="118">
        <f t="shared" si="0"/>
        <v>6</v>
      </c>
      <c r="C13" s="119" t="s">
        <v>190</v>
      </c>
      <c r="D13" s="118" t="s">
        <v>40</v>
      </c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</row>
    <row r="14" spans="2:17" ht="16.5">
      <c r="B14" s="118">
        <f t="shared" si="0"/>
        <v>7</v>
      </c>
      <c r="C14" s="113" t="s">
        <v>191</v>
      </c>
      <c r="D14" s="122" t="s">
        <v>42</v>
      </c>
      <c r="E14" s="185">
        <v>0</v>
      </c>
      <c r="F14" s="185">
        <v>0</v>
      </c>
      <c r="G14" s="185">
        <v>2.52</v>
      </c>
      <c r="H14" s="185">
        <v>67.004000000000005</v>
      </c>
      <c r="I14" s="185">
        <v>121.45699999999999</v>
      </c>
      <c r="J14" s="185">
        <v>108.913</v>
      </c>
      <c r="K14" s="185">
        <v>122.01</v>
      </c>
      <c r="L14" s="185">
        <v>30.498999999999999</v>
      </c>
      <c r="M14" s="185">
        <v>0.51100000000000001</v>
      </c>
      <c r="N14" s="185">
        <v>0</v>
      </c>
      <c r="O14" s="185">
        <v>0</v>
      </c>
      <c r="P14" s="185">
        <v>0</v>
      </c>
      <c r="Q14" s="185">
        <f>SUM(E14:P14)</f>
        <v>452.91400000000004</v>
      </c>
    </row>
    <row r="15" spans="2:17" ht="16.5">
      <c r="B15" s="118">
        <f t="shared" si="0"/>
        <v>8</v>
      </c>
      <c r="C15" s="113" t="s">
        <v>192</v>
      </c>
      <c r="D15" s="122" t="s">
        <v>42</v>
      </c>
      <c r="E15" s="185">
        <v>0.166462</v>
      </c>
      <c r="F15" s="185">
        <v>0.16246184199999997</v>
      </c>
      <c r="G15" s="185">
        <v>0.20276399999996741</v>
      </c>
      <c r="H15" s="185">
        <v>0.430838</v>
      </c>
      <c r="I15" s="185">
        <v>0.661385</v>
      </c>
      <c r="J15" s="185">
        <v>0.58157499999999995</v>
      </c>
      <c r="K15" s="185">
        <v>0.69179638400003318</v>
      </c>
      <c r="L15" s="185">
        <v>0.43255456499999761</v>
      </c>
      <c r="M15" s="185">
        <v>0.23065274699998287</v>
      </c>
      <c r="N15" s="185">
        <v>0.31076199999999998</v>
      </c>
      <c r="O15" s="185">
        <v>0.30722183599999991</v>
      </c>
      <c r="P15" s="185">
        <v>0.32028729399999994</v>
      </c>
      <c r="Q15" s="185">
        <f>SUM(E15:P15)</f>
        <v>4.4987606679999805</v>
      </c>
    </row>
    <row r="16" spans="2:17" ht="15">
      <c r="B16" s="118">
        <f t="shared" si="0"/>
        <v>9</v>
      </c>
      <c r="C16" s="113" t="s">
        <v>207</v>
      </c>
      <c r="D16" s="122" t="s">
        <v>42</v>
      </c>
      <c r="E16" s="135">
        <f>E14-E15</f>
        <v>-0.166462</v>
      </c>
      <c r="F16" s="135">
        <f t="shared" ref="F16:Q16" si="1">F14-F15</f>
        <v>-0.16246184199999997</v>
      </c>
      <c r="G16" s="135">
        <f t="shared" si="1"/>
        <v>2.3172360000000327</v>
      </c>
      <c r="H16" s="135">
        <f t="shared" si="1"/>
        <v>66.573162000000011</v>
      </c>
      <c r="I16" s="135">
        <f t="shared" si="1"/>
        <v>120.795615</v>
      </c>
      <c r="J16" s="135">
        <f t="shared" si="1"/>
        <v>108.331425</v>
      </c>
      <c r="K16" s="135">
        <f t="shared" si="1"/>
        <v>121.31820361599998</v>
      </c>
      <c r="L16" s="135">
        <f t="shared" si="1"/>
        <v>30.066445435000002</v>
      </c>
      <c r="M16" s="135">
        <f t="shared" si="1"/>
        <v>0.28034725300001717</v>
      </c>
      <c r="N16" s="135">
        <f t="shared" si="1"/>
        <v>-0.31076199999999998</v>
      </c>
      <c r="O16" s="135">
        <f t="shared" si="1"/>
        <v>-0.30722183599999991</v>
      </c>
      <c r="P16" s="135">
        <f t="shared" si="1"/>
        <v>-0.32028729399999994</v>
      </c>
      <c r="Q16" s="135">
        <f t="shared" si="1"/>
        <v>448.41523933200006</v>
      </c>
    </row>
    <row r="17" spans="2:17">
      <c r="B17" s="118">
        <f t="shared" si="0"/>
        <v>10</v>
      </c>
      <c r="C17" s="113" t="s">
        <v>208</v>
      </c>
      <c r="D17" s="122" t="s">
        <v>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4"/>
    </row>
    <row r="18" spans="2:17">
      <c r="B18" s="118">
        <f t="shared" si="0"/>
        <v>11</v>
      </c>
      <c r="C18" s="113" t="s">
        <v>193</v>
      </c>
      <c r="D18" s="122" t="s">
        <v>197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</row>
    <row r="19" spans="2:17" ht="16.5">
      <c r="B19" s="118">
        <f t="shared" si="0"/>
        <v>12</v>
      </c>
      <c r="C19" s="113" t="s">
        <v>209</v>
      </c>
      <c r="D19" s="122" t="s">
        <v>198</v>
      </c>
      <c r="E19" s="186">
        <v>10.375</v>
      </c>
      <c r="F19" s="186">
        <v>10.375</v>
      </c>
      <c r="G19" s="186">
        <v>10.375</v>
      </c>
      <c r="H19" s="186">
        <v>10.375</v>
      </c>
      <c r="I19" s="186">
        <v>10.375</v>
      </c>
      <c r="J19" s="186">
        <v>10.375</v>
      </c>
      <c r="K19" s="186">
        <v>10.375</v>
      </c>
      <c r="L19" s="186">
        <v>10.375</v>
      </c>
      <c r="M19" s="186">
        <v>10.375</v>
      </c>
      <c r="N19" s="186">
        <v>10.375</v>
      </c>
      <c r="O19" s="186">
        <v>10.375</v>
      </c>
      <c r="P19" s="186">
        <v>10.375</v>
      </c>
      <c r="Q19" s="186">
        <f>SUM(E19:P19)</f>
        <v>124.5</v>
      </c>
    </row>
    <row r="20" spans="2:17" ht="16.5">
      <c r="B20" s="118">
        <f t="shared" si="0"/>
        <v>13</v>
      </c>
      <c r="C20" s="113" t="s">
        <v>324</v>
      </c>
      <c r="D20" s="122" t="s">
        <v>197</v>
      </c>
      <c r="E20" s="187">
        <v>0</v>
      </c>
      <c r="F20" s="187">
        <v>0</v>
      </c>
      <c r="G20" s="187">
        <v>0</v>
      </c>
      <c r="H20" s="187">
        <v>0</v>
      </c>
      <c r="I20" s="187">
        <v>0</v>
      </c>
      <c r="J20" s="187">
        <v>0</v>
      </c>
      <c r="K20" s="187">
        <v>0</v>
      </c>
      <c r="L20" s="187">
        <v>0</v>
      </c>
      <c r="M20" s="187">
        <v>0</v>
      </c>
      <c r="N20" s="187">
        <v>0</v>
      </c>
      <c r="O20" s="187">
        <v>0</v>
      </c>
      <c r="P20" s="187">
        <v>0</v>
      </c>
      <c r="Q20" s="187">
        <v>0</v>
      </c>
    </row>
    <row r="21" spans="2:17" ht="16.5">
      <c r="B21" s="118">
        <f t="shared" si="0"/>
        <v>14</v>
      </c>
      <c r="C21" s="113" t="s">
        <v>194</v>
      </c>
      <c r="D21" s="122" t="s">
        <v>198</v>
      </c>
      <c r="E21" s="186">
        <v>10.375</v>
      </c>
      <c r="F21" s="186">
        <v>10.375</v>
      </c>
      <c r="G21" s="186">
        <v>10.375</v>
      </c>
      <c r="H21" s="186">
        <v>10.375</v>
      </c>
      <c r="I21" s="186">
        <v>10.375</v>
      </c>
      <c r="J21" s="186">
        <v>10.375</v>
      </c>
      <c r="K21" s="186">
        <v>10.375</v>
      </c>
      <c r="L21" s="186">
        <v>10.375</v>
      </c>
      <c r="M21" s="186">
        <v>10.375</v>
      </c>
      <c r="N21" s="186">
        <v>10.375</v>
      </c>
      <c r="O21" s="186">
        <v>10.375</v>
      </c>
      <c r="P21" s="186">
        <v>10.375</v>
      </c>
      <c r="Q21" s="186">
        <f>SUM(E21:P21)</f>
        <v>124.5</v>
      </c>
    </row>
    <row r="22" spans="2:17">
      <c r="B22" s="118">
        <f t="shared" si="0"/>
        <v>15</v>
      </c>
      <c r="C22" s="113" t="s">
        <v>325</v>
      </c>
      <c r="D22" s="122" t="s">
        <v>198</v>
      </c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1"/>
    </row>
    <row r="23" spans="2:17">
      <c r="B23" s="118">
        <f t="shared" si="0"/>
        <v>16</v>
      </c>
      <c r="C23" s="113" t="s">
        <v>210</v>
      </c>
      <c r="D23" s="122" t="s">
        <v>198</v>
      </c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1"/>
    </row>
    <row r="24" spans="2:17">
      <c r="B24" s="118">
        <f t="shared" si="0"/>
        <v>17</v>
      </c>
      <c r="C24" s="113" t="s">
        <v>195</v>
      </c>
      <c r="D24" s="122" t="s">
        <v>198</v>
      </c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1"/>
    </row>
    <row r="25" spans="2:17" ht="16.5">
      <c r="B25" s="118">
        <f t="shared" si="0"/>
        <v>18</v>
      </c>
      <c r="C25" s="127" t="s">
        <v>151</v>
      </c>
      <c r="D25" s="122" t="s">
        <v>198</v>
      </c>
      <c r="E25" s="188">
        <f>E21+E22+E23+E24</f>
        <v>10.375</v>
      </c>
      <c r="F25" s="188">
        <f t="shared" ref="F25:Q25" si="2">F21+F22+F23+F24</f>
        <v>10.375</v>
      </c>
      <c r="G25" s="188">
        <f t="shared" si="2"/>
        <v>10.375</v>
      </c>
      <c r="H25" s="188">
        <f t="shared" si="2"/>
        <v>10.375</v>
      </c>
      <c r="I25" s="188">
        <f t="shared" si="2"/>
        <v>10.375</v>
      </c>
      <c r="J25" s="188">
        <f t="shared" si="2"/>
        <v>10.375</v>
      </c>
      <c r="K25" s="188">
        <f t="shared" si="2"/>
        <v>10.375</v>
      </c>
      <c r="L25" s="188">
        <f t="shared" si="2"/>
        <v>10.375</v>
      </c>
      <c r="M25" s="188">
        <f t="shared" si="2"/>
        <v>10.375</v>
      </c>
      <c r="N25" s="188">
        <f t="shared" si="2"/>
        <v>10.375</v>
      </c>
      <c r="O25" s="188">
        <f t="shared" si="2"/>
        <v>10.375</v>
      </c>
      <c r="P25" s="188">
        <f t="shared" si="2"/>
        <v>10.375</v>
      </c>
      <c r="Q25" s="188">
        <f t="shared" si="2"/>
        <v>124.5</v>
      </c>
    </row>
    <row r="26" spans="2:17" ht="15">
      <c r="B26" s="118">
        <f t="shared" si="0"/>
        <v>19</v>
      </c>
      <c r="C26" s="129" t="s">
        <v>196</v>
      </c>
      <c r="D26" s="122" t="s">
        <v>198</v>
      </c>
      <c r="E26" s="126"/>
      <c r="F26" s="120"/>
      <c r="G26" s="120"/>
      <c r="H26" s="120"/>
      <c r="I26" s="120"/>
      <c r="J26" s="120"/>
      <c r="K26" s="120"/>
      <c r="L26" s="120"/>
      <c r="M26" s="121"/>
      <c r="N26" s="121"/>
      <c r="O26" s="121"/>
      <c r="P26" s="121"/>
      <c r="Q26" s="128"/>
    </row>
    <row r="27" spans="2:17" ht="33">
      <c r="B27" s="189"/>
      <c r="C27" s="190" t="s">
        <v>368</v>
      </c>
      <c r="D27" s="191" t="s">
        <v>198</v>
      </c>
      <c r="E27" s="192"/>
      <c r="F27" s="185"/>
      <c r="G27" s="185"/>
      <c r="H27" s="185"/>
      <c r="I27" s="185"/>
      <c r="J27" s="185"/>
      <c r="K27" s="185"/>
      <c r="L27" s="185"/>
      <c r="M27" s="186"/>
      <c r="N27" s="186"/>
      <c r="O27" s="186"/>
      <c r="P27" s="186"/>
      <c r="Q27" s="193">
        <v>0</v>
      </c>
    </row>
    <row r="28" spans="2:17" ht="33">
      <c r="B28" s="189"/>
      <c r="C28" s="190" t="s">
        <v>369</v>
      </c>
      <c r="D28" s="191" t="s">
        <v>198</v>
      </c>
      <c r="E28" s="192"/>
      <c r="F28" s="185"/>
      <c r="G28" s="185"/>
      <c r="H28" s="185"/>
      <c r="I28" s="185"/>
      <c r="J28" s="185"/>
      <c r="K28" s="185"/>
      <c r="L28" s="185"/>
      <c r="M28" s="186"/>
      <c r="N28" s="186"/>
      <c r="O28" s="186"/>
      <c r="P28" s="186"/>
      <c r="Q28" s="193">
        <v>-16.93</v>
      </c>
    </row>
    <row r="29" spans="2:17" ht="16.5">
      <c r="B29" s="189"/>
      <c r="C29" s="190" t="s">
        <v>93</v>
      </c>
      <c r="D29" s="191" t="s">
        <v>198</v>
      </c>
      <c r="E29" s="192"/>
      <c r="F29" s="185"/>
      <c r="G29" s="185"/>
      <c r="H29" s="185"/>
      <c r="I29" s="185"/>
      <c r="J29" s="185"/>
      <c r="K29" s="185"/>
      <c r="L29" s="185"/>
      <c r="M29" s="186"/>
      <c r="N29" s="186"/>
      <c r="O29" s="186"/>
      <c r="P29" s="186"/>
      <c r="Q29" s="193">
        <v>8.4961227000000008</v>
      </c>
    </row>
    <row r="30" spans="2:17" ht="15">
      <c r="B30" s="122">
        <f>B26+1</f>
        <v>20</v>
      </c>
      <c r="C30" s="112" t="s">
        <v>163</v>
      </c>
      <c r="D30" s="122" t="s">
        <v>198</v>
      </c>
      <c r="E30" s="135">
        <f>E25+E26</f>
        <v>10.375</v>
      </c>
      <c r="F30" s="135">
        <f t="shared" ref="F30:P30" si="3">F25+F26</f>
        <v>10.375</v>
      </c>
      <c r="G30" s="135">
        <f t="shared" si="3"/>
        <v>10.375</v>
      </c>
      <c r="H30" s="135">
        <f t="shared" si="3"/>
        <v>10.375</v>
      </c>
      <c r="I30" s="135">
        <f t="shared" si="3"/>
        <v>10.375</v>
      </c>
      <c r="J30" s="135">
        <f t="shared" si="3"/>
        <v>10.375</v>
      </c>
      <c r="K30" s="135">
        <f t="shared" si="3"/>
        <v>10.375</v>
      </c>
      <c r="L30" s="135">
        <f t="shared" si="3"/>
        <v>10.375</v>
      </c>
      <c r="M30" s="135">
        <f t="shared" si="3"/>
        <v>10.375</v>
      </c>
      <c r="N30" s="135">
        <f t="shared" si="3"/>
        <v>10.375</v>
      </c>
      <c r="O30" s="135">
        <f t="shared" si="3"/>
        <v>10.375</v>
      </c>
      <c r="P30" s="135">
        <f t="shared" si="3"/>
        <v>10.375</v>
      </c>
      <c r="Q30" s="135">
        <f>Q25+Q26+Q27+Q28+Q29</f>
        <v>116.06612269999999</v>
      </c>
    </row>
    <row r="31" spans="2:17" ht="15">
      <c r="B31" s="122">
        <f>B30+1</f>
        <v>21</v>
      </c>
      <c r="C31" s="112" t="s">
        <v>199</v>
      </c>
      <c r="D31" s="122" t="s">
        <v>198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30"/>
    </row>
  </sheetData>
  <mergeCells count="3">
    <mergeCell ref="B3:Q3"/>
    <mergeCell ref="B4:Q4"/>
    <mergeCell ref="F5:K5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24"/>
  <sheetViews>
    <sheetView showGridLines="0" zoomScale="92" zoomScaleNormal="92" workbookViewId="0">
      <selection activeCell="B4" sqref="B4:P4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8" width="12.140625" style="19" customWidth="1"/>
    <col min="9" max="12" width="10.140625" style="19" customWidth="1"/>
    <col min="13" max="15" width="10.85546875" style="19" customWidth="1"/>
    <col min="16" max="16" width="15.7109375" style="19" customWidth="1"/>
    <col min="17" max="16384" width="9.28515625" style="19"/>
  </cols>
  <sheetData>
    <row r="2" spans="2:16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2:16" ht="15.75">
      <c r="B3" s="223" t="s">
        <v>408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</row>
    <row r="4" spans="2:16" s="4" customFormat="1" ht="15.75">
      <c r="B4" s="223" t="s">
        <v>381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</row>
    <row r="5" spans="2:16" ht="15.75">
      <c r="B5" s="223" t="s">
        <v>413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</row>
    <row r="7" spans="2:16" ht="12.75" customHeight="1">
      <c r="B7" s="230" t="s">
        <v>186</v>
      </c>
      <c r="C7" s="233" t="s">
        <v>18</v>
      </c>
      <c r="D7" s="227" t="s">
        <v>39</v>
      </c>
      <c r="E7" s="233" t="s">
        <v>1</v>
      </c>
      <c r="F7" s="237" t="s">
        <v>382</v>
      </c>
      <c r="G7" s="238"/>
      <c r="H7" s="239"/>
      <c r="I7" s="237" t="s">
        <v>383</v>
      </c>
      <c r="J7" s="238"/>
      <c r="K7" s="235" t="s">
        <v>225</v>
      </c>
      <c r="L7" s="235"/>
      <c r="M7" s="235"/>
      <c r="N7" s="235"/>
      <c r="O7" s="235"/>
      <c r="P7" s="235" t="s">
        <v>11</v>
      </c>
    </row>
    <row r="8" spans="2:16" ht="30" customHeight="1">
      <c r="B8" s="231"/>
      <c r="C8" s="233"/>
      <c r="D8" s="228"/>
      <c r="E8" s="233"/>
      <c r="F8" s="21" t="s">
        <v>327</v>
      </c>
      <c r="G8" s="21" t="s">
        <v>233</v>
      </c>
      <c r="H8" s="21" t="s">
        <v>201</v>
      </c>
      <c r="I8" s="21" t="s">
        <v>327</v>
      </c>
      <c r="J8" s="21" t="s">
        <v>237</v>
      </c>
      <c r="K8" s="21" t="s">
        <v>384</v>
      </c>
      <c r="L8" s="21" t="s">
        <v>385</v>
      </c>
      <c r="M8" s="21" t="s">
        <v>386</v>
      </c>
      <c r="N8" s="21" t="s">
        <v>387</v>
      </c>
      <c r="O8" s="21" t="s">
        <v>388</v>
      </c>
      <c r="P8" s="235"/>
    </row>
    <row r="9" spans="2:16" ht="30">
      <c r="B9" s="232"/>
      <c r="C9" s="234"/>
      <c r="D9" s="229"/>
      <c r="E9" s="234"/>
      <c r="F9" s="21" t="s">
        <v>10</v>
      </c>
      <c r="G9" s="21" t="s">
        <v>12</v>
      </c>
      <c r="H9" s="21" t="s">
        <v>234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236"/>
    </row>
    <row r="10" spans="2:16" ht="15">
      <c r="B10" s="28" t="s">
        <v>55</v>
      </c>
      <c r="C10" s="29" t="s">
        <v>240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6" ht="15">
      <c r="B11" s="2">
        <v>1</v>
      </c>
      <c r="C11" s="3" t="s">
        <v>36</v>
      </c>
      <c r="D11" s="2" t="s">
        <v>198</v>
      </c>
      <c r="E11" s="23" t="s">
        <v>275</v>
      </c>
      <c r="F11" s="163">
        <f>'F2'!E14</f>
        <v>28.02393</v>
      </c>
      <c r="G11" s="163">
        <f>'F2'!F14</f>
        <v>49.736087693150708</v>
      </c>
      <c r="H11" s="163">
        <f>'F2'!G14</f>
        <v>49.736087693150708</v>
      </c>
      <c r="I11" s="163">
        <f>'F2'!H14</f>
        <v>29.551500000000001</v>
      </c>
      <c r="J11" s="163">
        <f>'F2'!I14</f>
        <v>51.184256496352319</v>
      </c>
      <c r="K11" s="163">
        <f>'F2'!J14</f>
        <v>43.734832613767239</v>
      </c>
      <c r="L11" s="163">
        <f>'F2'!K14</f>
        <v>46.064931335313595</v>
      </c>
      <c r="M11" s="163">
        <f>'F2'!L14</f>
        <v>48.486794673757807</v>
      </c>
      <c r="N11" s="163">
        <f>'F2'!M14</f>
        <v>51.048143734316099</v>
      </c>
      <c r="O11" s="163">
        <f>'F2'!N14</f>
        <v>53.757020553646832</v>
      </c>
      <c r="P11" s="220"/>
    </row>
    <row r="12" spans="2:16" ht="15">
      <c r="B12" s="2">
        <f t="shared" ref="B12:B17" si="0">B11+1</f>
        <v>2</v>
      </c>
      <c r="C12" s="24" t="s">
        <v>157</v>
      </c>
      <c r="D12" s="2" t="s">
        <v>198</v>
      </c>
      <c r="E12" s="23" t="s">
        <v>23</v>
      </c>
      <c r="F12" s="172">
        <v>20.106000000000002</v>
      </c>
      <c r="G12" s="172">
        <f>H12</f>
        <v>19.667895831471174</v>
      </c>
      <c r="H12" s="163">
        <f>'F4'!K21-'F4'!L21</f>
        <v>19.667895831471174</v>
      </c>
      <c r="I12" s="171">
        <v>13.715999999999999</v>
      </c>
      <c r="J12" s="163">
        <f>'F4'!K38-'F4'!L38</f>
        <v>14.077966719999999</v>
      </c>
      <c r="K12" s="163">
        <f>'F4'!K47-'F4'!L47</f>
        <v>11.156075484530701</v>
      </c>
      <c r="L12" s="163">
        <f>'F4'!K56-'F4'!L56</f>
        <v>11.40149856145378</v>
      </c>
      <c r="M12" s="163">
        <f>'F4'!K65-'F4'!L65</f>
        <v>11.40149856145378</v>
      </c>
      <c r="N12" s="163">
        <f>'F4'!K74-'F4'!L74</f>
        <v>11.40149856145378</v>
      </c>
      <c r="O12" s="163">
        <f>'F4'!K83-'F4'!L83</f>
        <v>11.401498561453781</v>
      </c>
      <c r="P12" s="220"/>
    </row>
    <row r="13" spans="2:16" ht="15">
      <c r="B13" s="2">
        <f t="shared" si="0"/>
        <v>3</v>
      </c>
      <c r="C13" s="3" t="s">
        <v>238</v>
      </c>
      <c r="D13" s="2" t="s">
        <v>198</v>
      </c>
      <c r="E13" s="22" t="s">
        <v>29</v>
      </c>
      <c r="F13" s="163">
        <f>'F5'!D22</f>
        <v>18.670000000000002</v>
      </c>
      <c r="G13" s="163">
        <f>'F5'!E22</f>
        <v>19.083371883870814</v>
      </c>
      <c r="H13" s="163">
        <f>'F5'!F22</f>
        <v>19.083371883870814</v>
      </c>
      <c r="I13" s="163">
        <f>'F5'!G22</f>
        <v>16.86</v>
      </c>
      <c r="J13" s="163">
        <f>'F5'!J22</f>
        <v>17.233847864439124</v>
      </c>
      <c r="K13" s="163">
        <f>'F5'!K22</f>
        <v>16.264989697758061</v>
      </c>
      <c r="L13" s="163">
        <f>'F5'!L22</f>
        <v>15.367666421412856</v>
      </c>
      <c r="M13" s="163">
        <f>'F5'!M22</f>
        <v>14.204713568144573</v>
      </c>
      <c r="N13" s="163">
        <f>'F5'!N22</f>
        <v>13.04176071487629</v>
      </c>
      <c r="O13" s="163">
        <f>'F5'!O22</f>
        <v>11.878807861608006</v>
      </c>
      <c r="P13" s="220"/>
    </row>
    <row r="14" spans="2:16" ht="15">
      <c r="B14" s="2">
        <f t="shared" si="0"/>
        <v>4</v>
      </c>
      <c r="C14" s="24" t="s">
        <v>37</v>
      </c>
      <c r="D14" s="2" t="s">
        <v>198</v>
      </c>
      <c r="E14" s="22" t="s">
        <v>30</v>
      </c>
      <c r="F14" s="163">
        <f>'F6'!D20</f>
        <v>2.2000000000000002</v>
      </c>
      <c r="G14" s="163">
        <f ca="1">'F6'!E20</f>
        <v>3.2139186203297219</v>
      </c>
      <c r="H14" s="163">
        <f ca="1">'F6'!F20</f>
        <v>3.2139186203297219</v>
      </c>
      <c r="I14" s="163">
        <f>'F6'!G20</f>
        <v>2.19</v>
      </c>
      <c r="J14" s="163">
        <f ca="1">'F6'!H20</f>
        <v>3.3691869544439967</v>
      </c>
      <c r="K14" s="163">
        <f ca="1">'F6'!I20</f>
        <v>2.5376416923685055</v>
      </c>
      <c r="L14" s="163">
        <f ca="1">'F6'!J20</f>
        <v>2.5889458296319936</v>
      </c>
      <c r="M14" s="163">
        <f ca="1">'F6'!K20</f>
        <v>2.6256436083939683</v>
      </c>
      <c r="N14" s="163">
        <f ca="1">'F6'!L20</f>
        <v>2.6653037563741955</v>
      </c>
      <c r="O14" s="163">
        <f ca="1">'F6'!M20</f>
        <v>2.7080970687012926</v>
      </c>
      <c r="P14" s="220"/>
    </row>
    <row r="15" spans="2:16" ht="15">
      <c r="B15" s="2">
        <f t="shared" si="0"/>
        <v>5</v>
      </c>
      <c r="C15" s="3" t="s">
        <v>239</v>
      </c>
      <c r="D15" s="2" t="s">
        <v>198</v>
      </c>
      <c r="E15" s="22" t="s">
        <v>31</v>
      </c>
      <c r="F15" s="163">
        <v>38.92</v>
      </c>
      <c r="G15" s="163">
        <f>'F7'!E22</f>
        <v>42.942691781045539</v>
      </c>
      <c r="H15" s="163">
        <f>'F7'!F22</f>
        <v>42.942691781045539</v>
      </c>
      <c r="I15" s="163">
        <v>38.92</v>
      </c>
      <c r="J15" s="163">
        <f>'F7'!H22</f>
        <v>43.023625396299707</v>
      </c>
      <c r="K15" s="163">
        <f>'F7'!I22</f>
        <v>43.300447650649453</v>
      </c>
      <c r="L15" s="163">
        <f>'F7'!J22</f>
        <v>43.520731085543616</v>
      </c>
      <c r="M15" s="163">
        <f>'F7'!K22</f>
        <v>43.520731085543616</v>
      </c>
      <c r="N15" s="163">
        <f>'F7'!L22</f>
        <v>43.520731085543616</v>
      </c>
      <c r="O15" s="163">
        <f>'F7'!M22</f>
        <v>43.520731085543616</v>
      </c>
      <c r="P15" s="220"/>
    </row>
    <row r="16" spans="2:16" ht="15">
      <c r="B16" s="2">
        <f t="shared" si="0"/>
        <v>6</v>
      </c>
      <c r="C16" s="3" t="s">
        <v>38</v>
      </c>
      <c r="D16" s="2" t="s">
        <v>198</v>
      </c>
      <c r="E16" s="22" t="s">
        <v>32</v>
      </c>
      <c r="F16" s="163"/>
      <c r="G16" s="163">
        <f>'F8'!E22</f>
        <v>0.6483310898290594</v>
      </c>
      <c r="H16" s="163">
        <f>'F8'!F22</f>
        <v>0.6483310898290594</v>
      </c>
      <c r="I16" s="163"/>
      <c r="J16" s="163">
        <f>'F8'!H22</f>
        <v>0.16499574660348787</v>
      </c>
      <c r="K16" s="163">
        <f>'F8'!I22</f>
        <v>0.29029588898715558</v>
      </c>
      <c r="L16" s="163">
        <f>'F8'!J22</f>
        <v>0.30190772454664178</v>
      </c>
      <c r="M16" s="163">
        <f>'F8'!K22</f>
        <v>0.31398403352850746</v>
      </c>
      <c r="N16" s="163">
        <f>'F8'!L22</f>
        <v>0.32654339486964773</v>
      </c>
      <c r="O16" s="163">
        <f>'F8'!M22</f>
        <v>0.33960513066443365</v>
      </c>
      <c r="P16" s="220"/>
    </row>
    <row r="17" spans="2:16" ht="15">
      <c r="B17" s="20">
        <f t="shared" si="0"/>
        <v>7</v>
      </c>
      <c r="C17" s="25" t="s">
        <v>240</v>
      </c>
      <c r="D17" s="20" t="s">
        <v>198</v>
      </c>
      <c r="E17" s="22"/>
      <c r="F17" s="163">
        <f>SUM(F11:F15)-F16</f>
        <v>107.91993000000001</v>
      </c>
      <c r="G17" s="163">
        <f t="shared" ref="G17:O17" ca="1" si="1">SUM(G11:G15)-G16</f>
        <v>133.99563472003888</v>
      </c>
      <c r="H17" s="163">
        <f t="shared" ca="1" si="1"/>
        <v>133.99563472003888</v>
      </c>
      <c r="I17" s="163">
        <f t="shared" si="1"/>
        <v>101.2375</v>
      </c>
      <c r="J17" s="163">
        <f t="shared" ca="1" si="1"/>
        <v>128.72388768493164</v>
      </c>
      <c r="K17" s="163">
        <f t="shared" ca="1" si="1"/>
        <v>116.70369125008681</v>
      </c>
      <c r="L17" s="163">
        <f t="shared" ca="1" si="1"/>
        <v>118.6418655088092</v>
      </c>
      <c r="M17" s="163">
        <f t="shared" ca="1" si="1"/>
        <v>119.92539746376524</v>
      </c>
      <c r="N17" s="163">
        <f t="shared" ca="1" si="1"/>
        <v>121.35089445769434</v>
      </c>
      <c r="O17" s="163">
        <f t="shared" ca="1" si="1"/>
        <v>122.9265500002891</v>
      </c>
      <c r="P17" s="220"/>
    </row>
    <row r="18" spans="2:16" ht="15">
      <c r="B18" s="20" t="s">
        <v>59</v>
      </c>
      <c r="C18" s="20" t="s">
        <v>241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220"/>
    </row>
    <row r="19" spans="2:16" ht="15">
      <c r="B19" s="2">
        <v>1</v>
      </c>
      <c r="C19" s="22" t="s">
        <v>242</v>
      </c>
      <c r="D19" s="2" t="s">
        <v>197</v>
      </c>
      <c r="E19" s="22" t="s">
        <v>153</v>
      </c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220"/>
    </row>
    <row r="20" spans="2:16" ht="15">
      <c r="B20" s="2">
        <f>B19+1</f>
        <v>2</v>
      </c>
      <c r="C20" s="22" t="s">
        <v>243</v>
      </c>
      <c r="D20" s="2" t="s">
        <v>42</v>
      </c>
      <c r="E20" s="22" t="s">
        <v>34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220"/>
    </row>
    <row r="21" spans="2:16" ht="15">
      <c r="B21" s="2">
        <f>B20+1</f>
        <v>3</v>
      </c>
      <c r="C21" s="22" t="s">
        <v>241</v>
      </c>
      <c r="D21" s="2" t="s">
        <v>198</v>
      </c>
      <c r="E21" s="22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220"/>
    </row>
    <row r="22" spans="2:16" ht="15">
      <c r="B22" s="20" t="s">
        <v>60</v>
      </c>
      <c r="C22" s="20" t="s">
        <v>362</v>
      </c>
      <c r="D22" s="2" t="s">
        <v>198</v>
      </c>
      <c r="E22" s="3"/>
      <c r="F22" s="163">
        <f>F17+F21</f>
        <v>107.91993000000001</v>
      </c>
      <c r="G22" s="163">
        <f t="shared" ref="G22:O22" ca="1" si="2">G17+G21</f>
        <v>133.99563472003888</v>
      </c>
      <c r="H22" s="163">
        <f t="shared" ca="1" si="2"/>
        <v>133.99563472003888</v>
      </c>
      <c r="I22" s="163">
        <f t="shared" si="2"/>
        <v>101.2375</v>
      </c>
      <c r="J22" s="163">
        <f t="shared" ca="1" si="2"/>
        <v>128.72388768493164</v>
      </c>
      <c r="K22" s="163">
        <f t="shared" ca="1" si="2"/>
        <v>116.70369125008681</v>
      </c>
      <c r="L22" s="163">
        <f t="shared" ca="1" si="2"/>
        <v>118.6418655088092</v>
      </c>
      <c r="M22" s="163">
        <f t="shared" ca="1" si="2"/>
        <v>119.92539746376524</v>
      </c>
      <c r="N22" s="163">
        <f t="shared" ca="1" si="2"/>
        <v>121.35089445769434</v>
      </c>
      <c r="O22" s="163">
        <f t="shared" ca="1" si="2"/>
        <v>122.9265500002891</v>
      </c>
      <c r="P22" s="220"/>
    </row>
    <row r="23" spans="2:16" hidden="1">
      <c r="F23" s="215">
        <f>F17+F16</f>
        <v>107.91993000000001</v>
      </c>
      <c r="G23" s="215">
        <f t="shared" ref="G23:O23" ca="1" si="3">G17+G16</f>
        <v>134.64396580986795</v>
      </c>
      <c r="H23" s="215">
        <f t="shared" ca="1" si="3"/>
        <v>134.64396580986795</v>
      </c>
      <c r="I23" s="215">
        <f t="shared" si="3"/>
        <v>101.2375</v>
      </c>
      <c r="J23" s="215">
        <f t="shared" ca="1" si="3"/>
        <v>128.88888343153513</v>
      </c>
      <c r="K23" s="215">
        <f t="shared" ca="1" si="3"/>
        <v>116.99398713907397</v>
      </c>
      <c r="L23" s="215">
        <f t="shared" ca="1" si="3"/>
        <v>118.94377323335584</v>
      </c>
      <c r="M23" s="215">
        <f t="shared" ca="1" si="3"/>
        <v>120.23938149729375</v>
      </c>
      <c r="N23" s="215">
        <f t="shared" ca="1" si="3"/>
        <v>121.67743785256398</v>
      </c>
      <c r="O23" s="215">
        <f t="shared" ca="1" si="3"/>
        <v>123.26615513095354</v>
      </c>
    </row>
    <row r="24" spans="2:16">
      <c r="G24" s="219"/>
    </row>
  </sheetData>
  <mergeCells count="11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7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zoomScale="80" zoomScaleNormal="80" zoomScaleSheetLayoutView="80" workbookViewId="0">
      <selection activeCell="B4" sqref="B4:P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42"/>
      <c r="D1" s="42"/>
      <c r="E1" s="42"/>
      <c r="F1" s="42"/>
      <c r="G1" s="42"/>
      <c r="I1" s="40"/>
      <c r="J1" s="42"/>
    </row>
    <row r="2" spans="2:14" ht="15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2:14" ht="15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</row>
    <row r="4" spans="2:14" ht="15">
      <c r="B4" s="241" t="s">
        <v>334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2:14" ht="15">
      <c r="B5" s="41"/>
      <c r="C5" s="41"/>
      <c r="D5" s="41"/>
      <c r="E5" s="41"/>
      <c r="F5" s="41"/>
      <c r="G5" s="41"/>
      <c r="H5" s="41"/>
      <c r="I5" s="41"/>
      <c r="J5" s="41"/>
    </row>
    <row r="6" spans="2:14" ht="15">
      <c r="B6" s="245" t="s">
        <v>56</v>
      </c>
      <c r="C6" s="245"/>
      <c r="D6" s="245"/>
      <c r="E6" s="245"/>
      <c r="F6" s="245"/>
      <c r="G6" s="245"/>
      <c r="H6" s="245"/>
      <c r="I6" s="245"/>
      <c r="J6" s="245"/>
    </row>
    <row r="7" spans="2:14" ht="15">
      <c r="N7" s="32" t="s">
        <v>4</v>
      </c>
    </row>
    <row r="8" spans="2:14" ht="13.9" customHeight="1">
      <c r="B8" s="246" t="s">
        <v>186</v>
      </c>
      <c r="C8" s="246" t="s">
        <v>18</v>
      </c>
      <c r="D8" s="242" t="s">
        <v>1</v>
      </c>
      <c r="E8" s="237" t="s">
        <v>382</v>
      </c>
      <c r="F8" s="238"/>
      <c r="G8" s="239"/>
      <c r="H8" s="237" t="s">
        <v>383</v>
      </c>
      <c r="I8" s="238"/>
      <c r="J8" s="247" t="s">
        <v>225</v>
      </c>
      <c r="K8" s="247"/>
      <c r="L8" s="247"/>
      <c r="M8" s="247"/>
      <c r="N8" s="247"/>
    </row>
    <row r="9" spans="2:14" ht="30">
      <c r="B9" s="246"/>
      <c r="C9" s="246"/>
      <c r="D9" s="243"/>
      <c r="E9" s="21" t="s">
        <v>327</v>
      </c>
      <c r="F9" s="21" t="s">
        <v>245</v>
      </c>
      <c r="G9" s="21" t="s">
        <v>201</v>
      </c>
      <c r="H9" s="21" t="s">
        <v>327</v>
      </c>
      <c r="I9" s="21" t="s">
        <v>244</v>
      </c>
      <c r="J9" s="21" t="s">
        <v>384</v>
      </c>
      <c r="K9" s="21" t="s">
        <v>385</v>
      </c>
      <c r="L9" s="21" t="s">
        <v>386</v>
      </c>
      <c r="M9" s="21" t="s">
        <v>387</v>
      </c>
      <c r="N9" s="21" t="s">
        <v>388</v>
      </c>
    </row>
    <row r="10" spans="2:14" ht="15">
      <c r="B10" s="246"/>
      <c r="C10" s="246"/>
      <c r="D10" s="244"/>
      <c r="E10" s="21" t="s">
        <v>10</v>
      </c>
      <c r="F10" s="21" t="s">
        <v>12</v>
      </c>
      <c r="G10" s="21" t="s">
        <v>234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6">
        <v>1</v>
      </c>
      <c r="C11" s="35" t="s">
        <v>57</v>
      </c>
      <c r="D11" s="35" t="s">
        <v>24</v>
      </c>
      <c r="E11" s="168">
        <v>25.216999999999999</v>
      </c>
      <c r="F11" s="183">
        <f>F2.1!G36</f>
        <v>44.858660274506562</v>
      </c>
      <c r="G11" s="183">
        <f>F11</f>
        <v>44.858660274506562</v>
      </c>
      <c r="H11" s="131">
        <v>26.73</v>
      </c>
      <c r="I11" s="183">
        <f>F2.1!H36</f>
        <v>46.480272782653394</v>
      </c>
      <c r="J11" s="183">
        <f>F2.1!I36</f>
        <v>37.688435728360908</v>
      </c>
      <c r="K11" s="183">
        <f>F2.1!J36</f>
        <v>39.874365000605842</v>
      </c>
      <c r="L11" s="183">
        <f>F2.1!K36</f>
        <v>42.18707817064098</v>
      </c>
      <c r="M11" s="183">
        <f>F2.1!L36</f>
        <v>44.633928704538157</v>
      </c>
      <c r="N11" s="183">
        <f>F2.1!M36</f>
        <v>47.222696569401371</v>
      </c>
    </row>
    <row r="12" spans="2:14">
      <c r="B12" s="26">
        <f>B11+1</f>
        <v>2</v>
      </c>
      <c r="C12" s="43" t="s">
        <v>246</v>
      </c>
      <c r="D12" s="43" t="s">
        <v>25</v>
      </c>
      <c r="E12" s="170">
        <v>1.4</v>
      </c>
      <c r="F12" s="184">
        <f>F2.2!G40</f>
        <v>1.7221415884862978</v>
      </c>
      <c r="G12" s="183">
        <f>F12</f>
        <v>1.7221415884862978</v>
      </c>
      <c r="H12" s="131">
        <v>1.43</v>
      </c>
      <c r="I12" s="183">
        <f>F2.2!H40</f>
        <v>2.2095028930812273</v>
      </c>
      <c r="J12" s="183">
        <f>F2.2!I40</f>
        <v>2.123502819187848</v>
      </c>
      <c r="K12" s="183">
        <f>F2.2!J40</f>
        <v>2.2275544573280524</v>
      </c>
      <c r="L12" s="183">
        <f>F2.2!K40</f>
        <v>2.3367046257371267</v>
      </c>
      <c r="M12" s="183">
        <f>F2.2!L40</f>
        <v>2.4512031523982456</v>
      </c>
      <c r="N12" s="183">
        <f>F2.2!M40</f>
        <v>2.5713121068657596</v>
      </c>
    </row>
    <row r="13" spans="2:14">
      <c r="B13" s="26">
        <f>B12+1</f>
        <v>3</v>
      </c>
      <c r="C13" s="35" t="s">
        <v>203</v>
      </c>
      <c r="D13" s="35" t="s">
        <v>276</v>
      </c>
      <c r="E13" s="168">
        <v>1.69</v>
      </c>
      <c r="F13" s="183">
        <f>F2.3!G18</f>
        <v>3.1552858301578506</v>
      </c>
      <c r="G13" s="183">
        <f>F13</f>
        <v>3.1552858301578506</v>
      </c>
      <c r="H13" s="131">
        <v>1.69</v>
      </c>
      <c r="I13" s="183">
        <f>F2.3!H18</f>
        <v>2.4944808206176949</v>
      </c>
      <c r="J13" s="183">
        <f>F2.3!I18</f>
        <v>3.9228940662184835</v>
      </c>
      <c r="K13" s="183">
        <f>F2.3!J18</f>
        <v>3.9630118773796981</v>
      </c>
      <c r="L13" s="183">
        <f>F2.3!K18</f>
        <v>3.9630118773796981</v>
      </c>
      <c r="M13" s="183">
        <f>F2.3!L18</f>
        <v>3.9630118773796981</v>
      </c>
      <c r="N13" s="183">
        <f>F2.3!M18</f>
        <v>3.9630118773796981</v>
      </c>
    </row>
    <row r="14" spans="2:14" ht="15">
      <c r="B14" s="26">
        <f>B13+1</f>
        <v>4</v>
      </c>
      <c r="C14" s="35" t="s">
        <v>58</v>
      </c>
      <c r="D14" s="35"/>
      <c r="E14" s="134">
        <f>SUM(E11:E13)*0.99</f>
        <v>28.02393</v>
      </c>
      <c r="F14" s="134">
        <f t="shared" ref="F14:I14" si="0">SUM(F11:F13)</f>
        <v>49.736087693150708</v>
      </c>
      <c r="G14" s="134">
        <f>SUM(G11:G13)</f>
        <v>49.736087693150708</v>
      </c>
      <c r="H14" s="134">
        <f>SUM(H11:H13)*0.99</f>
        <v>29.551500000000001</v>
      </c>
      <c r="I14" s="134">
        <f t="shared" si="0"/>
        <v>51.184256496352319</v>
      </c>
      <c r="J14" s="134">
        <f>SUM(J11:J13)</f>
        <v>43.734832613767239</v>
      </c>
      <c r="K14" s="134">
        <f t="shared" ref="K14:N14" si="1">SUM(K11:K13)</f>
        <v>46.064931335313595</v>
      </c>
      <c r="L14" s="134">
        <f t="shared" si="1"/>
        <v>48.486794673757807</v>
      </c>
      <c r="M14" s="134">
        <f t="shared" si="1"/>
        <v>51.048143734316099</v>
      </c>
      <c r="N14" s="134">
        <f t="shared" si="1"/>
        <v>53.757020553646832</v>
      </c>
    </row>
    <row r="15" spans="2:14">
      <c r="B15" s="55" t="s">
        <v>247</v>
      </c>
      <c r="C15" s="56"/>
      <c r="D15" s="53"/>
      <c r="E15" s="53"/>
      <c r="F15" s="53"/>
      <c r="G15" s="54"/>
      <c r="H15" s="54"/>
      <c r="I15" s="54"/>
      <c r="J15" s="54"/>
      <c r="K15" s="54"/>
      <c r="L15" s="54"/>
      <c r="M15" s="54"/>
      <c r="N15" s="54"/>
    </row>
    <row r="16" spans="2:14">
      <c r="B16" s="57">
        <v>1</v>
      </c>
      <c r="C16" s="56" t="s">
        <v>248</v>
      </c>
    </row>
  </sheetData>
  <mergeCells count="10">
    <mergeCell ref="B3:N3"/>
    <mergeCell ref="B2:N2"/>
    <mergeCell ref="B4:N4"/>
    <mergeCell ref="E8:G8"/>
    <mergeCell ref="D8:D10"/>
    <mergeCell ref="B6:J6"/>
    <mergeCell ref="B8:B10"/>
    <mergeCell ref="C8:C10"/>
    <mergeCell ref="J8:N8"/>
    <mergeCell ref="H8:I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9"/>
  <sheetViews>
    <sheetView showGridLines="0" zoomScale="80" zoomScaleNormal="80" zoomScaleSheetLayoutView="70" workbookViewId="0">
      <selection activeCell="B4" sqref="B4:P4"/>
    </sheetView>
  </sheetViews>
  <sheetFormatPr defaultColWidth="9.28515625" defaultRowHeight="14.25"/>
  <cols>
    <col min="1" max="1" width="3.85546875" style="19" customWidth="1"/>
    <col min="2" max="2" width="7" style="19" customWidth="1"/>
    <col min="3" max="3" width="47.7109375" style="19" customWidth="1"/>
    <col min="4" max="4" width="13.7109375" style="19" customWidth="1"/>
    <col min="5" max="5" width="14" style="19" customWidth="1"/>
    <col min="6" max="6" width="14.5703125" style="19" customWidth="1"/>
    <col min="7" max="7" width="14" style="19" customWidth="1"/>
    <col min="8" max="8" width="13.425781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2:16" ht="15.75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18"/>
      <c r="O3" s="218"/>
      <c r="P3" s="218"/>
    </row>
    <row r="4" spans="2:16" s="4" customFormat="1" ht="15.75">
      <c r="B4" s="223" t="s">
        <v>414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5" spans="2:16" s="4" customFormat="1" ht="15">
      <c r="C5" s="46"/>
      <c r="D5" s="46"/>
      <c r="E5" s="46"/>
      <c r="F5" s="46"/>
      <c r="G5" s="47"/>
      <c r="H5" s="47"/>
    </row>
    <row r="6" spans="2:16" ht="15">
      <c r="M6" s="32" t="s">
        <v>4</v>
      </c>
    </row>
    <row r="7" spans="2:16" ht="12.75" customHeight="1">
      <c r="B7" s="233" t="s">
        <v>2</v>
      </c>
      <c r="C7" s="233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21" t="s">
        <v>383</v>
      </c>
      <c r="I7" s="247" t="s">
        <v>225</v>
      </c>
      <c r="J7" s="247"/>
      <c r="K7" s="247"/>
      <c r="L7" s="247"/>
      <c r="M7" s="247"/>
    </row>
    <row r="8" spans="2:16" ht="15">
      <c r="B8" s="233"/>
      <c r="C8" s="23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6" ht="15">
      <c r="B9" s="248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2">
        <v>1</v>
      </c>
      <c r="C10" s="48" t="s">
        <v>61</v>
      </c>
      <c r="D10" s="167"/>
      <c r="E10" s="167"/>
      <c r="F10" s="167"/>
      <c r="G10" s="164">
        <v>20.17780561388486</v>
      </c>
      <c r="H10" s="210">
        <v>20.975272212288637</v>
      </c>
      <c r="I10" s="3"/>
      <c r="J10" s="3"/>
      <c r="K10" s="3"/>
      <c r="L10" s="3"/>
      <c r="M10" s="3"/>
    </row>
    <row r="11" spans="2:16">
      <c r="B11" s="2">
        <v>2</v>
      </c>
      <c r="C11" s="48" t="s">
        <v>62</v>
      </c>
      <c r="D11" s="167"/>
      <c r="E11" s="167"/>
      <c r="F11" s="167"/>
      <c r="G11" s="164">
        <v>0.87291845534875023</v>
      </c>
      <c r="H11" s="210">
        <v>1.645693171710878</v>
      </c>
      <c r="I11" s="3"/>
      <c r="J11" s="3"/>
      <c r="K11" s="3"/>
      <c r="L11" s="3"/>
      <c r="M11" s="3"/>
    </row>
    <row r="12" spans="2:16">
      <c r="B12" s="2">
        <v>3</v>
      </c>
      <c r="C12" s="3" t="s">
        <v>63</v>
      </c>
      <c r="D12" s="164"/>
      <c r="E12" s="164"/>
      <c r="F12" s="164"/>
      <c r="G12" s="164">
        <v>1.2096481210436678</v>
      </c>
      <c r="H12" s="210">
        <v>1.1719402334265285</v>
      </c>
      <c r="I12" s="3"/>
      <c r="J12" s="3"/>
      <c r="K12" s="3"/>
      <c r="L12" s="3"/>
      <c r="M12" s="3"/>
    </row>
    <row r="13" spans="2:16">
      <c r="B13" s="2">
        <v>4</v>
      </c>
      <c r="C13" s="48" t="s">
        <v>64</v>
      </c>
      <c r="D13" s="167"/>
      <c r="E13" s="167"/>
      <c r="F13" s="167"/>
      <c r="G13" s="164">
        <v>0.13604515107628021</v>
      </c>
      <c r="H13" s="210">
        <v>0.13858393680145437</v>
      </c>
      <c r="I13" s="3"/>
      <c r="J13" s="3"/>
      <c r="K13" s="3"/>
      <c r="L13" s="3"/>
      <c r="M13" s="3"/>
    </row>
    <row r="14" spans="2:16">
      <c r="B14" s="2">
        <v>5</v>
      </c>
      <c r="C14" s="48" t="s">
        <v>65</v>
      </c>
      <c r="D14" s="167"/>
      <c r="E14" s="167"/>
      <c r="F14" s="167"/>
      <c r="G14" s="164">
        <v>1.0762994772793856E-4</v>
      </c>
      <c r="H14" s="210">
        <v>1.6846124904784079E-4</v>
      </c>
      <c r="I14" s="3"/>
      <c r="J14" s="3"/>
      <c r="K14" s="3"/>
      <c r="L14" s="3"/>
      <c r="M14" s="3"/>
    </row>
    <row r="15" spans="2:16">
      <c r="B15" s="2">
        <v>6</v>
      </c>
      <c r="C15" s="3" t="s">
        <v>66</v>
      </c>
      <c r="D15" s="164"/>
      <c r="E15" s="164"/>
      <c r="F15" s="164"/>
      <c r="G15" s="164">
        <v>8.3135977385309854</v>
      </c>
      <c r="H15" s="210">
        <v>4.8461960874771401</v>
      </c>
      <c r="I15" s="3"/>
      <c r="J15" s="3"/>
      <c r="K15" s="3"/>
      <c r="L15" s="3"/>
      <c r="M15" s="3"/>
    </row>
    <row r="16" spans="2:16">
      <c r="B16" s="2">
        <v>7</v>
      </c>
      <c r="C16" s="48" t="s">
        <v>67</v>
      </c>
      <c r="D16" s="167"/>
      <c r="E16" s="167"/>
      <c r="F16" s="167"/>
      <c r="G16" s="164">
        <v>4.1803505426489513</v>
      </c>
      <c r="H16" s="210">
        <v>3.1062063644290943</v>
      </c>
      <c r="I16" s="3"/>
      <c r="J16" s="3"/>
      <c r="K16" s="3"/>
      <c r="L16" s="3"/>
      <c r="M16" s="3"/>
    </row>
    <row r="17" spans="2:13">
      <c r="B17" s="2">
        <v>8</v>
      </c>
      <c r="C17" s="48" t="s">
        <v>68</v>
      </c>
      <c r="D17" s="167"/>
      <c r="E17" s="167"/>
      <c r="F17" s="167"/>
      <c r="G17" s="164">
        <v>1.7928175595913451</v>
      </c>
      <c r="H17" s="210">
        <v>0.77995121936506318</v>
      </c>
      <c r="I17" s="3"/>
      <c r="J17" s="3"/>
      <c r="K17" s="3"/>
      <c r="L17" s="3"/>
      <c r="M17" s="3"/>
    </row>
    <row r="18" spans="2:13">
      <c r="B18" s="2">
        <v>9</v>
      </c>
      <c r="C18" s="48" t="s">
        <v>69</v>
      </c>
      <c r="D18" s="167"/>
      <c r="E18" s="167"/>
      <c r="F18" s="167"/>
      <c r="G18" s="164">
        <v>0</v>
      </c>
      <c r="H18" s="210">
        <v>0</v>
      </c>
      <c r="I18" s="3"/>
      <c r="J18" s="3"/>
      <c r="K18" s="3"/>
      <c r="L18" s="3"/>
      <c r="M18" s="3"/>
    </row>
    <row r="19" spans="2:13">
      <c r="B19" s="2">
        <v>10</v>
      </c>
      <c r="C19" s="48" t="s">
        <v>70</v>
      </c>
      <c r="D19" s="167"/>
      <c r="E19" s="167"/>
      <c r="F19" s="167"/>
      <c r="G19" s="167">
        <v>0</v>
      </c>
      <c r="H19" s="210">
        <v>0</v>
      </c>
      <c r="I19" s="3"/>
      <c r="J19" s="3"/>
      <c r="K19" s="3"/>
      <c r="L19" s="3"/>
      <c r="M19" s="3"/>
    </row>
    <row r="20" spans="2:13">
      <c r="B20" s="2">
        <v>11</v>
      </c>
      <c r="C20" s="48" t="s">
        <v>71</v>
      </c>
      <c r="D20" s="167"/>
      <c r="E20" s="167"/>
      <c r="F20" s="167"/>
      <c r="G20" s="167">
        <v>0</v>
      </c>
      <c r="H20" s="210">
        <v>1.6182340580023005E-3</v>
      </c>
      <c r="I20" s="3"/>
      <c r="J20" s="3"/>
      <c r="K20" s="3"/>
      <c r="L20" s="3"/>
      <c r="M20" s="3"/>
    </row>
    <row r="21" spans="2:13">
      <c r="B21" s="2">
        <v>12</v>
      </c>
      <c r="C21" s="48" t="s">
        <v>72</v>
      </c>
      <c r="D21" s="167"/>
      <c r="E21" s="167"/>
      <c r="F21" s="167"/>
      <c r="G21" s="167">
        <v>0.48382627353964347</v>
      </c>
      <c r="H21" s="210">
        <v>0.46039315608490483</v>
      </c>
      <c r="I21" s="3"/>
      <c r="J21" s="3"/>
      <c r="K21" s="3"/>
      <c r="L21" s="3"/>
      <c r="M21" s="3"/>
    </row>
    <row r="22" spans="2:13">
      <c r="B22" s="2">
        <v>13</v>
      </c>
      <c r="C22" s="48" t="s">
        <v>73</v>
      </c>
      <c r="D22" s="167"/>
      <c r="E22" s="167"/>
      <c r="F22" s="167"/>
      <c r="G22" s="167">
        <v>0</v>
      </c>
      <c r="H22" s="210">
        <v>0</v>
      </c>
      <c r="I22" s="3"/>
      <c r="J22" s="3"/>
      <c r="K22" s="3"/>
      <c r="L22" s="3"/>
      <c r="M22" s="3"/>
    </row>
    <row r="23" spans="2:13">
      <c r="B23" s="2">
        <v>14</v>
      </c>
      <c r="C23" s="48" t="s">
        <v>74</v>
      </c>
      <c r="D23" s="167"/>
      <c r="E23" s="167"/>
      <c r="F23" s="167"/>
      <c r="G23" s="167">
        <v>0</v>
      </c>
      <c r="H23" s="210">
        <v>0</v>
      </c>
      <c r="I23" s="3"/>
      <c r="J23" s="3"/>
      <c r="K23" s="3"/>
      <c r="L23" s="3"/>
      <c r="M23" s="3"/>
    </row>
    <row r="24" spans="2:13">
      <c r="B24" s="2">
        <v>15</v>
      </c>
      <c r="C24" s="48" t="s">
        <v>75</v>
      </c>
      <c r="D24" s="167"/>
      <c r="E24" s="167"/>
      <c r="F24" s="167"/>
      <c r="G24" s="164">
        <v>0</v>
      </c>
      <c r="H24" s="210">
        <v>0</v>
      </c>
      <c r="I24" s="3"/>
      <c r="J24" s="3"/>
      <c r="K24" s="3"/>
      <c r="L24" s="3"/>
      <c r="M24" s="3"/>
    </row>
    <row r="25" spans="2:13">
      <c r="B25" s="2">
        <v>16</v>
      </c>
      <c r="C25" s="48" t="s">
        <v>76</v>
      </c>
      <c r="D25" s="167"/>
      <c r="E25" s="167"/>
      <c r="F25" s="167"/>
      <c r="G25" s="201">
        <v>0</v>
      </c>
      <c r="H25" s="210">
        <v>0</v>
      </c>
      <c r="I25" s="3"/>
      <c r="J25" s="3"/>
      <c r="K25" s="3"/>
      <c r="L25" s="3"/>
      <c r="M25" s="3"/>
    </row>
    <row r="26" spans="2:13" ht="15">
      <c r="B26" s="2">
        <v>17</v>
      </c>
      <c r="C26" s="48" t="s">
        <v>77</v>
      </c>
      <c r="D26" s="167"/>
      <c r="E26" s="167"/>
      <c r="F26" s="167"/>
      <c r="G26" s="201">
        <v>37.167117085612212</v>
      </c>
      <c r="H26" s="211">
        <v>33.126023076890746</v>
      </c>
      <c r="I26" s="3"/>
      <c r="J26" s="3"/>
      <c r="K26" s="3"/>
      <c r="L26" s="3"/>
      <c r="M26" s="3"/>
    </row>
    <row r="27" spans="2:13">
      <c r="B27" s="2">
        <v>18</v>
      </c>
      <c r="C27" s="48" t="s">
        <v>78</v>
      </c>
      <c r="D27" s="167"/>
      <c r="E27" s="167"/>
      <c r="F27" s="167"/>
      <c r="G27" s="201">
        <v>0</v>
      </c>
      <c r="H27" s="210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8" t="s">
        <v>79</v>
      </c>
      <c r="D28" s="167"/>
      <c r="E28" s="167"/>
      <c r="F28" s="167"/>
      <c r="G28" s="201">
        <v>1.9688485391702311</v>
      </c>
      <c r="H28" s="210">
        <v>2.0516518618270152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8" t="s">
        <v>80</v>
      </c>
      <c r="D29" s="167"/>
      <c r="E29" s="167"/>
      <c r="F29" s="167"/>
      <c r="G29" s="201">
        <v>0</v>
      </c>
      <c r="H29" s="210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8" t="s">
        <v>81</v>
      </c>
      <c r="D30" s="167"/>
      <c r="E30" s="167"/>
      <c r="F30" s="167"/>
      <c r="G30" s="201">
        <v>0</v>
      </c>
      <c r="H30" s="210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8" t="s">
        <v>82</v>
      </c>
      <c r="D31" s="167"/>
      <c r="E31" s="167"/>
      <c r="F31" s="167"/>
      <c r="G31" s="164">
        <v>5.7226946497241213</v>
      </c>
      <c r="H31" s="210">
        <v>11.302597843935628</v>
      </c>
      <c r="I31" s="3"/>
      <c r="J31" s="3"/>
      <c r="K31" s="3"/>
      <c r="L31" s="3"/>
      <c r="M31" s="3"/>
    </row>
    <row r="32" spans="2:13">
      <c r="B32" s="2">
        <v>19</v>
      </c>
      <c r="C32" s="52" t="s">
        <v>361</v>
      </c>
      <c r="D32" s="167"/>
      <c r="E32" s="167"/>
      <c r="F32" s="167"/>
      <c r="G32" s="164">
        <v>0</v>
      </c>
      <c r="H32" s="210">
        <v>0</v>
      </c>
      <c r="I32" s="3"/>
      <c r="J32" s="3"/>
      <c r="K32" s="3"/>
      <c r="L32" s="3"/>
      <c r="M32" s="3"/>
    </row>
    <row r="33" spans="2:13">
      <c r="B33" s="2">
        <v>20</v>
      </c>
      <c r="C33" s="48" t="s">
        <v>83</v>
      </c>
      <c r="D33" s="167"/>
      <c r="E33" s="167"/>
      <c r="F33" s="167"/>
      <c r="G33" s="164">
        <v>0</v>
      </c>
      <c r="H33" s="210">
        <v>0</v>
      </c>
      <c r="I33" s="164">
        <v>37.688435728360908</v>
      </c>
      <c r="J33" s="164">
        <v>39.874365000605842</v>
      </c>
      <c r="K33" s="164">
        <v>42.18707817064098</v>
      </c>
      <c r="L33" s="164">
        <v>44.633928704538157</v>
      </c>
      <c r="M33" s="164">
        <v>47.222696569401371</v>
      </c>
    </row>
    <row r="34" spans="2:13" ht="15">
      <c r="B34" s="20">
        <v>21</v>
      </c>
      <c r="C34" s="49" t="s">
        <v>84</v>
      </c>
      <c r="D34" s="166">
        <f>SUM(D26:D33)</f>
        <v>0</v>
      </c>
      <c r="E34" s="166">
        <f t="shared" ref="E34:H34" si="0">SUM(E26:E33)</f>
        <v>0</v>
      </c>
      <c r="F34" s="166">
        <f t="shared" si="0"/>
        <v>0</v>
      </c>
      <c r="G34" s="166">
        <f t="shared" si="0"/>
        <v>44.858660274506562</v>
      </c>
      <c r="H34" s="166">
        <f t="shared" si="0"/>
        <v>46.480272782653394</v>
      </c>
      <c r="I34" s="166">
        <f t="shared" ref="I34:M34" si="1">SUM(I10:I33)</f>
        <v>37.688435728360908</v>
      </c>
      <c r="J34" s="166">
        <f t="shared" si="1"/>
        <v>39.874365000605842</v>
      </c>
      <c r="K34" s="166">
        <f t="shared" si="1"/>
        <v>42.18707817064098</v>
      </c>
      <c r="L34" s="166">
        <f t="shared" si="1"/>
        <v>44.633928704538157</v>
      </c>
      <c r="M34" s="166">
        <f t="shared" si="1"/>
        <v>47.222696569401371</v>
      </c>
    </row>
    <row r="35" spans="2:13">
      <c r="B35" s="2">
        <v>22</v>
      </c>
      <c r="C35" s="48" t="s">
        <v>17</v>
      </c>
      <c r="D35" s="167"/>
      <c r="E35" s="167"/>
      <c r="F35" s="167"/>
      <c r="G35" s="164"/>
      <c r="H35" s="164"/>
      <c r="I35" s="164"/>
      <c r="J35" s="164"/>
      <c r="K35" s="164"/>
      <c r="L35" s="164"/>
      <c r="M35" s="164"/>
    </row>
    <row r="36" spans="2:13" ht="15">
      <c r="B36" s="20">
        <v>23</v>
      </c>
      <c r="C36" s="25" t="s">
        <v>85</v>
      </c>
      <c r="D36" s="136">
        <v>20.34</v>
      </c>
      <c r="E36" s="136">
        <v>23.65</v>
      </c>
      <c r="F36" s="136">
        <v>23.79</v>
      </c>
      <c r="G36" s="136">
        <f t="shared" ref="G36:M36" si="2">G34-G35</f>
        <v>44.858660274506562</v>
      </c>
      <c r="H36" s="136">
        <f t="shared" si="2"/>
        <v>46.480272782653394</v>
      </c>
      <c r="I36" s="136">
        <f t="shared" si="2"/>
        <v>37.688435728360908</v>
      </c>
      <c r="J36" s="136">
        <f t="shared" si="2"/>
        <v>39.874365000605842</v>
      </c>
      <c r="K36" s="136">
        <f t="shared" si="2"/>
        <v>42.18707817064098</v>
      </c>
      <c r="L36" s="136">
        <f t="shared" si="2"/>
        <v>44.633928704538157</v>
      </c>
      <c r="M36" s="136">
        <f t="shared" si="2"/>
        <v>47.222696569401371</v>
      </c>
    </row>
    <row r="38" spans="2:13" ht="15">
      <c r="B38" s="50"/>
    </row>
    <row r="39" spans="2:13">
      <c r="B39" s="51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40"/>
  <sheetViews>
    <sheetView showGridLines="0" zoomScale="80" zoomScaleNormal="80" zoomScaleSheetLayoutView="70" workbookViewId="0">
      <selection activeCell="B4" sqref="B4:P4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6" ht="15.75">
      <c r="B2" s="223" t="s">
        <v>408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</row>
    <row r="3" spans="2:16" ht="15.75">
      <c r="B3" s="223" t="s">
        <v>381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18"/>
      <c r="O3" s="218"/>
      <c r="P3" s="218"/>
    </row>
    <row r="4" spans="2:16" s="4" customFormat="1" ht="15.75">
      <c r="B4" s="223" t="s">
        <v>415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</row>
    <row r="6" spans="2:16" ht="15">
      <c r="M6" s="32" t="s">
        <v>4</v>
      </c>
    </row>
    <row r="7" spans="2:16" ht="12.75" customHeight="1">
      <c r="B7" s="235" t="s">
        <v>186</v>
      </c>
      <c r="C7" s="233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21" t="s">
        <v>383</v>
      </c>
      <c r="I7" s="247" t="s">
        <v>225</v>
      </c>
      <c r="J7" s="247"/>
      <c r="K7" s="247"/>
      <c r="L7" s="247"/>
      <c r="M7" s="247"/>
    </row>
    <row r="8" spans="2:16" ht="15">
      <c r="B8" s="235"/>
      <c r="C8" s="23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6" ht="15">
      <c r="B9" s="235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6">
      <c r="B10" s="3">
        <v>1</v>
      </c>
      <c r="C10" s="58" t="s">
        <v>86</v>
      </c>
      <c r="D10" s="164">
        <v>9.3843414537583478E-3</v>
      </c>
      <c r="E10" s="164">
        <v>2.1502406254260288E-2</v>
      </c>
      <c r="F10" s="164">
        <v>0.15617890130592355</v>
      </c>
      <c r="G10" s="164">
        <v>3.2809575391946705E-2</v>
      </c>
      <c r="H10" s="212">
        <v>5.6258120125762111E-2</v>
      </c>
      <c r="I10" s="3"/>
      <c r="J10" s="3"/>
      <c r="K10" s="3"/>
      <c r="L10" s="3"/>
      <c r="M10" s="3"/>
    </row>
    <row r="11" spans="2:16">
      <c r="B11" s="3">
        <v>2</v>
      </c>
      <c r="C11" s="59" t="s">
        <v>87</v>
      </c>
      <c r="D11" s="164">
        <v>2.3595776367639166E-3</v>
      </c>
      <c r="E11" s="164">
        <v>1.5173511712906558E-3</v>
      </c>
      <c r="F11" s="164">
        <v>2.4346432641919715E-3</v>
      </c>
      <c r="G11" s="164">
        <v>5.0683420538839971E-3</v>
      </c>
      <c r="H11" s="212">
        <v>4.4164888311339868E-3</v>
      </c>
      <c r="I11" s="3"/>
      <c r="J11" s="3"/>
      <c r="K11" s="3"/>
      <c r="L11" s="3"/>
      <c r="M11" s="3"/>
    </row>
    <row r="12" spans="2:16">
      <c r="B12" s="3">
        <v>3</v>
      </c>
      <c r="C12" s="59" t="s">
        <v>88</v>
      </c>
      <c r="D12" s="164">
        <v>5.6934287134146111E-2</v>
      </c>
      <c r="E12" s="164">
        <v>3.0087447270576623E-2</v>
      </c>
      <c r="F12" s="164">
        <v>4.2686779455901172E-2</v>
      </c>
      <c r="G12" s="164">
        <v>6.7309983099555853E-2</v>
      </c>
      <c r="H12" s="212">
        <v>6.6752975263246195E-2</v>
      </c>
      <c r="I12" s="3"/>
      <c r="J12" s="3"/>
      <c r="K12" s="3"/>
      <c r="L12" s="3"/>
      <c r="M12" s="3"/>
    </row>
    <row r="13" spans="2:16">
      <c r="B13" s="3">
        <v>4</v>
      </c>
      <c r="C13" s="59" t="s">
        <v>89</v>
      </c>
      <c r="D13" s="164">
        <v>6.3772100167890783E-2</v>
      </c>
      <c r="E13" s="164">
        <v>4.661472711009669E-2</v>
      </c>
      <c r="F13" s="164">
        <v>3.8175157950742562E-2</v>
      </c>
      <c r="G13" s="164">
        <v>6.1919843761084475E-2</v>
      </c>
      <c r="H13" s="212">
        <v>4.1574602020582052E-2</v>
      </c>
      <c r="I13" s="3"/>
      <c r="J13" s="3"/>
      <c r="K13" s="3"/>
      <c r="L13" s="3"/>
      <c r="M13" s="3"/>
    </row>
    <row r="14" spans="2:16">
      <c r="B14" s="3">
        <v>5</v>
      </c>
      <c r="C14" s="59" t="s">
        <v>90</v>
      </c>
      <c r="D14" s="164">
        <v>1.4593928075222464E-2</v>
      </c>
      <c r="E14" s="164">
        <v>9.3402101802816037E-3</v>
      </c>
      <c r="F14" s="164">
        <v>2.3061620838024148E-2</v>
      </c>
      <c r="G14" s="164">
        <v>2.3241750012029057E-2</v>
      </c>
      <c r="H14" s="212">
        <v>6.0898361052602358E-3</v>
      </c>
      <c r="I14" s="3"/>
      <c r="J14" s="3"/>
      <c r="K14" s="3"/>
      <c r="L14" s="3"/>
      <c r="M14" s="3"/>
    </row>
    <row r="15" spans="2:16">
      <c r="B15" s="3">
        <v>6</v>
      </c>
      <c r="C15" s="59" t="s">
        <v>91</v>
      </c>
      <c r="D15" s="164">
        <v>7.0243300582298857E-2</v>
      </c>
      <c r="E15" s="164">
        <v>1.9438891146769891E-2</v>
      </c>
      <c r="F15" s="164">
        <v>1.1737484467868545E-2</v>
      </c>
      <c r="G15" s="164">
        <v>3.5001526082229388E-2</v>
      </c>
      <c r="H15" s="212">
        <v>3.7164583584312724E-2</v>
      </c>
      <c r="I15" s="3"/>
      <c r="J15" s="3"/>
      <c r="K15" s="3"/>
      <c r="L15" s="3"/>
      <c r="M15" s="3"/>
    </row>
    <row r="16" spans="2:16">
      <c r="B16" s="3">
        <v>7</v>
      </c>
      <c r="C16" s="59" t="s">
        <v>92</v>
      </c>
      <c r="D16" s="164">
        <v>0.13401629498917728</v>
      </c>
      <c r="E16" s="164">
        <v>0.30806572664543591</v>
      </c>
      <c r="F16" s="164">
        <v>0.70102157297626577</v>
      </c>
      <c r="G16" s="164">
        <v>0.37512953048748515</v>
      </c>
      <c r="H16" s="212">
        <v>0.39309368296961877</v>
      </c>
      <c r="I16" s="3"/>
      <c r="J16" s="3"/>
      <c r="K16" s="3"/>
      <c r="L16" s="3"/>
      <c r="M16" s="3"/>
    </row>
    <row r="17" spans="2:13">
      <c r="B17" s="3">
        <v>8</v>
      </c>
      <c r="C17" s="59" t="s">
        <v>93</v>
      </c>
      <c r="D17" s="164">
        <v>3.4960315916785379E-3</v>
      </c>
      <c r="E17" s="164">
        <v>4.5933981223879221E-3</v>
      </c>
      <c r="F17" s="164">
        <v>1.7661238684206471E-3</v>
      </c>
      <c r="G17" s="164">
        <v>9.2138387258455042E-4</v>
      </c>
      <c r="H17" s="212">
        <v>1.1635579356109085E-2</v>
      </c>
      <c r="I17" s="3"/>
      <c r="J17" s="3"/>
      <c r="K17" s="3"/>
      <c r="L17" s="3"/>
      <c r="M17" s="3"/>
    </row>
    <row r="18" spans="2:13">
      <c r="B18" s="3">
        <v>9</v>
      </c>
      <c r="C18" s="59" t="s">
        <v>94</v>
      </c>
      <c r="D18" s="164">
        <v>0.3750469241221579</v>
      </c>
      <c r="E18" s="164">
        <v>0.38426048232931848</v>
      </c>
      <c r="F18" s="164">
        <v>0.47688090985765619</v>
      </c>
      <c r="G18" s="164">
        <v>0.49184412298847985</v>
      </c>
      <c r="H18" s="212">
        <v>0.49552684804680763</v>
      </c>
      <c r="I18" s="3"/>
      <c r="J18" s="3"/>
      <c r="K18" s="3"/>
      <c r="L18" s="3"/>
      <c r="M18" s="3"/>
    </row>
    <row r="19" spans="2:13">
      <c r="B19" s="3">
        <v>10</v>
      </c>
      <c r="C19" s="59" t="s">
        <v>95</v>
      </c>
      <c r="D19" s="164">
        <v>1.1179552476273287E-2</v>
      </c>
      <c r="E19" s="164">
        <v>6.1486724735129464E-2</v>
      </c>
      <c r="F19" s="164">
        <v>1.1118674644911555E-2</v>
      </c>
      <c r="G19" s="164">
        <v>9.1490642312662893E-3</v>
      </c>
      <c r="H19" s="212">
        <v>8.5034846713932816E-3</v>
      </c>
      <c r="I19" s="3"/>
      <c r="J19" s="3"/>
      <c r="K19" s="3"/>
      <c r="L19" s="3"/>
      <c r="M19" s="3"/>
    </row>
    <row r="20" spans="2:13">
      <c r="B20" s="3">
        <v>11</v>
      </c>
      <c r="C20" s="59" t="s">
        <v>96</v>
      </c>
      <c r="D20" s="164">
        <v>0</v>
      </c>
      <c r="E20" s="164">
        <v>6.8499999999999998E-5</v>
      </c>
      <c r="F20" s="164">
        <v>2.5950000000000002E-4</v>
      </c>
      <c r="G20" s="164">
        <v>3.0268800024674984E-4</v>
      </c>
      <c r="H20" s="212">
        <v>4.5852998646160679E-4</v>
      </c>
      <c r="I20" s="3"/>
      <c r="J20" s="3"/>
      <c r="K20" s="3"/>
      <c r="L20" s="3"/>
      <c r="M20" s="3"/>
    </row>
    <row r="21" spans="2:13">
      <c r="B21" s="3">
        <v>12</v>
      </c>
      <c r="C21" s="59" t="s">
        <v>97</v>
      </c>
      <c r="D21" s="164">
        <v>0</v>
      </c>
      <c r="E21" s="164">
        <v>0</v>
      </c>
      <c r="F21" s="164">
        <v>0</v>
      </c>
      <c r="G21" s="164">
        <v>0</v>
      </c>
      <c r="H21" s="212">
        <v>0</v>
      </c>
      <c r="I21" s="3"/>
      <c r="J21" s="3"/>
      <c r="K21" s="3"/>
      <c r="L21" s="3"/>
      <c r="M21" s="3"/>
    </row>
    <row r="22" spans="2:13">
      <c r="B22" s="3">
        <v>13</v>
      </c>
      <c r="C22" s="59" t="s">
        <v>98</v>
      </c>
      <c r="D22" s="164">
        <v>8.6699006812757853E-3</v>
      </c>
      <c r="E22" s="164">
        <v>7.5502029725645018E-3</v>
      </c>
      <c r="F22" s="164">
        <v>4.7401537848495599E-3</v>
      </c>
      <c r="G22" s="164">
        <v>1.1671342595962555E-2</v>
      </c>
      <c r="H22" s="212">
        <v>1.1610414028273345E-2</v>
      </c>
      <c r="I22" s="3"/>
      <c r="J22" s="3"/>
      <c r="K22" s="3"/>
      <c r="L22" s="3"/>
      <c r="M22" s="3"/>
    </row>
    <row r="23" spans="2:13">
      <c r="B23" s="3">
        <v>14</v>
      </c>
      <c r="C23" s="59" t="s">
        <v>99</v>
      </c>
      <c r="D23" s="164">
        <v>0.3298659484556824</v>
      </c>
      <c r="E23" s="164">
        <v>4.9269226782844719E-2</v>
      </c>
      <c r="F23" s="164">
        <v>2.4699065229616148E-2</v>
      </c>
      <c r="G23" s="164">
        <v>9.7835104668044359E-3</v>
      </c>
      <c r="H23" s="212">
        <v>1.2715348402161207E-2</v>
      </c>
      <c r="I23" s="3"/>
      <c r="J23" s="3"/>
      <c r="K23" s="3"/>
      <c r="L23" s="3"/>
      <c r="M23" s="3"/>
    </row>
    <row r="24" spans="2:13">
      <c r="B24" s="3">
        <v>15</v>
      </c>
      <c r="C24" s="59" t="s">
        <v>100</v>
      </c>
      <c r="D24" s="164">
        <v>0</v>
      </c>
      <c r="E24" s="164">
        <v>0</v>
      </c>
      <c r="F24" s="164">
        <v>0</v>
      </c>
      <c r="G24" s="164">
        <v>0</v>
      </c>
      <c r="H24" s="212">
        <v>0</v>
      </c>
      <c r="I24" s="3"/>
      <c r="J24" s="3"/>
      <c r="K24" s="3"/>
      <c r="L24" s="3"/>
      <c r="M24" s="3"/>
    </row>
    <row r="25" spans="2:13">
      <c r="B25" s="3">
        <v>16</v>
      </c>
      <c r="C25" s="58" t="s">
        <v>101</v>
      </c>
      <c r="D25" s="164">
        <v>0</v>
      </c>
      <c r="E25" s="164">
        <v>0</v>
      </c>
      <c r="F25" s="164">
        <v>0</v>
      </c>
      <c r="G25" s="164">
        <v>0</v>
      </c>
      <c r="H25" s="212">
        <v>0</v>
      </c>
      <c r="I25" s="3"/>
      <c r="J25" s="3"/>
      <c r="K25" s="3"/>
      <c r="L25" s="3"/>
      <c r="M25" s="3"/>
    </row>
    <row r="26" spans="2:13">
      <c r="B26" s="3">
        <v>17</v>
      </c>
      <c r="C26" s="58" t="s">
        <v>102</v>
      </c>
      <c r="D26" s="164">
        <v>0</v>
      </c>
      <c r="E26" s="164">
        <v>0</v>
      </c>
      <c r="F26" s="164">
        <v>0</v>
      </c>
      <c r="G26" s="164">
        <v>0</v>
      </c>
      <c r="H26" s="212">
        <v>0</v>
      </c>
      <c r="I26" s="3"/>
      <c r="J26" s="3"/>
      <c r="K26" s="3"/>
      <c r="L26" s="3"/>
      <c r="M26" s="3"/>
    </row>
    <row r="27" spans="2:13">
      <c r="B27" s="3">
        <v>18</v>
      </c>
      <c r="C27" s="59" t="s">
        <v>103</v>
      </c>
      <c r="D27" s="164">
        <v>3.5326523792046698E-2</v>
      </c>
      <c r="E27" s="164">
        <v>2.6867911436500469E-2</v>
      </c>
      <c r="F27" s="164">
        <v>3.1972785875961938E-2</v>
      </c>
      <c r="G27" s="164">
        <v>3.0697641653871663E-2</v>
      </c>
      <c r="H27" s="212">
        <v>3.4539028510499191E-2</v>
      </c>
      <c r="I27" s="3"/>
      <c r="J27" s="3"/>
      <c r="K27" s="3"/>
      <c r="L27" s="3"/>
      <c r="M27" s="3"/>
    </row>
    <row r="28" spans="2:13">
      <c r="B28" s="3">
        <v>19</v>
      </c>
      <c r="C28" s="59" t="s">
        <v>104</v>
      </c>
      <c r="D28" s="164">
        <v>0.47509704347974213</v>
      </c>
      <c r="E28" s="164">
        <v>0.37269628346291817</v>
      </c>
      <c r="F28" s="164">
        <v>0.49014831987841406</v>
      </c>
      <c r="G28" s="164">
        <v>0.49955240809206858</v>
      </c>
      <c r="H28" s="212">
        <v>0.48885582177356807</v>
      </c>
      <c r="I28" s="3"/>
      <c r="J28" s="3"/>
      <c r="K28" s="3"/>
      <c r="L28" s="3"/>
      <c r="M28" s="3"/>
    </row>
    <row r="29" spans="2:13">
      <c r="B29" s="3">
        <v>20</v>
      </c>
      <c r="C29" s="59" t="s">
        <v>105</v>
      </c>
      <c r="D29" s="164">
        <v>0</v>
      </c>
      <c r="E29" s="164">
        <v>0</v>
      </c>
      <c r="F29" s="164">
        <v>0</v>
      </c>
      <c r="G29" s="164">
        <v>0</v>
      </c>
      <c r="H29" s="212">
        <v>0</v>
      </c>
      <c r="I29" s="3"/>
      <c r="J29" s="3"/>
      <c r="K29" s="3"/>
      <c r="L29" s="3"/>
      <c r="M29" s="3"/>
    </row>
    <row r="30" spans="2:13">
      <c r="B30" s="3">
        <v>21</v>
      </c>
      <c r="C30" s="59" t="s">
        <v>106</v>
      </c>
      <c r="D30" s="164">
        <v>0</v>
      </c>
      <c r="E30" s="164">
        <v>0</v>
      </c>
      <c r="F30" s="164">
        <v>0</v>
      </c>
      <c r="G30" s="164">
        <v>0</v>
      </c>
      <c r="H30" s="212">
        <v>0</v>
      </c>
      <c r="I30" s="3"/>
      <c r="J30" s="3"/>
      <c r="K30" s="3"/>
      <c r="L30" s="3"/>
      <c r="M30" s="3"/>
    </row>
    <row r="31" spans="2:13">
      <c r="B31" s="3">
        <v>22</v>
      </c>
      <c r="C31" s="59" t="s">
        <v>107</v>
      </c>
      <c r="D31" s="164">
        <v>3.9825E-4</v>
      </c>
      <c r="E31" s="164">
        <v>0</v>
      </c>
      <c r="F31" s="164">
        <v>0</v>
      </c>
      <c r="G31" s="164">
        <v>0</v>
      </c>
      <c r="H31" s="212">
        <v>0</v>
      </c>
      <c r="I31" s="3"/>
      <c r="J31" s="3"/>
      <c r="K31" s="3"/>
      <c r="L31" s="3"/>
      <c r="M31" s="3"/>
    </row>
    <row r="32" spans="2:13">
      <c r="B32" s="3">
        <v>23</v>
      </c>
      <c r="C32" s="59" t="s">
        <v>108</v>
      </c>
      <c r="D32" s="164">
        <v>0</v>
      </c>
      <c r="E32" s="164">
        <v>0</v>
      </c>
      <c r="F32" s="164">
        <v>0</v>
      </c>
      <c r="G32" s="164">
        <v>0</v>
      </c>
      <c r="H32" s="212">
        <v>0</v>
      </c>
      <c r="I32" s="3"/>
      <c r="J32" s="3"/>
      <c r="K32" s="3"/>
      <c r="L32" s="3"/>
      <c r="M32" s="3"/>
    </row>
    <row r="33" spans="2:13">
      <c r="B33" s="3">
        <v>24</v>
      </c>
      <c r="C33" s="59" t="s">
        <v>109</v>
      </c>
      <c r="D33" s="164">
        <v>1.9055875617449543E-2</v>
      </c>
      <c r="E33" s="164">
        <v>3.8615322685563594E-3</v>
      </c>
      <c r="F33" s="164">
        <v>2.3481750312138554E-2</v>
      </c>
      <c r="G33" s="164">
        <v>1.3538851149391606E-2</v>
      </c>
      <c r="H33" s="212">
        <v>2.0537984215744622E-2</v>
      </c>
      <c r="I33" s="3"/>
      <c r="J33" s="3"/>
      <c r="K33" s="3"/>
      <c r="L33" s="3"/>
      <c r="M33" s="3"/>
    </row>
    <row r="34" spans="2:13">
      <c r="B34" s="3">
        <v>25</v>
      </c>
      <c r="C34" s="59" t="s">
        <v>110</v>
      </c>
      <c r="D34" s="164">
        <v>0</v>
      </c>
      <c r="E34" s="164">
        <v>0</v>
      </c>
      <c r="F34" s="164">
        <v>0</v>
      </c>
      <c r="G34" s="164">
        <v>0</v>
      </c>
      <c r="H34" s="212">
        <v>0</v>
      </c>
      <c r="I34" s="3"/>
      <c r="J34" s="3"/>
      <c r="K34" s="3"/>
      <c r="L34" s="3"/>
      <c r="M34" s="3"/>
    </row>
    <row r="35" spans="2:13">
      <c r="B35" s="3">
        <v>26</v>
      </c>
      <c r="C35" s="59" t="s">
        <v>111</v>
      </c>
      <c r="D35" s="164">
        <v>0</v>
      </c>
      <c r="E35" s="164">
        <v>0</v>
      </c>
      <c r="F35" s="164">
        <v>0</v>
      </c>
      <c r="G35" s="164">
        <v>0</v>
      </c>
      <c r="H35" s="212">
        <v>0</v>
      </c>
      <c r="I35" s="3"/>
      <c r="J35" s="3"/>
      <c r="K35" s="3"/>
      <c r="L35" s="3"/>
      <c r="M35" s="3"/>
    </row>
    <row r="36" spans="2:13">
      <c r="B36" s="3">
        <v>27</v>
      </c>
      <c r="C36" s="59" t="s">
        <v>112</v>
      </c>
      <c r="D36" s="164">
        <v>2.8384058054132058E-3</v>
      </c>
      <c r="E36" s="164">
        <v>5.2090874783708345E-3</v>
      </c>
      <c r="F36" s="164">
        <v>7.9730782366639417E-3</v>
      </c>
      <c r="G36" s="164">
        <v>4.8948999656092413E-3</v>
      </c>
      <c r="H36" s="212">
        <v>0</v>
      </c>
      <c r="I36" s="3"/>
      <c r="J36" s="3"/>
      <c r="K36" s="3"/>
      <c r="L36" s="3"/>
      <c r="M36" s="3"/>
    </row>
    <row r="37" spans="2:13">
      <c r="B37" s="3">
        <v>28</v>
      </c>
      <c r="C37" s="59" t="s">
        <v>83</v>
      </c>
      <c r="D37" s="164">
        <v>3.3335308832099966E-2</v>
      </c>
      <c r="E37" s="164">
        <v>0.13125461359177554</v>
      </c>
      <c r="F37" s="164">
        <v>8.8783716955184055E-2</v>
      </c>
      <c r="G37" s="164">
        <v>4.9305124581797567E-2</v>
      </c>
      <c r="H37" s="212">
        <v>0.51976956519029294</v>
      </c>
      <c r="I37" s="164">
        <v>2.123502819187848</v>
      </c>
      <c r="J37" s="164">
        <v>2.2275544573280524</v>
      </c>
      <c r="K37" s="164">
        <v>2.3367046257371267</v>
      </c>
      <c r="L37" s="164">
        <v>2.4512031523982456</v>
      </c>
      <c r="M37" s="164">
        <v>2.5713121068657596</v>
      </c>
    </row>
    <row r="38" spans="2:13" ht="15">
      <c r="B38" s="3">
        <v>29</v>
      </c>
      <c r="C38" s="60" t="s">
        <v>113</v>
      </c>
      <c r="D38" s="136">
        <f>SUM(D10:D37)</f>
        <v>1.645613594893077</v>
      </c>
      <c r="E38" s="136">
        <f t="shared" ref="E38:M38" si="0">SUM(E10:E37)</f>
        <v>1.4836847229590782</v>
      </c>
      <c r="F38" s="136">
        <f t="shared" si="0"/>
        <v>2.1371202389027344</v>
      </c>
      <c r="G38" s="136">
        <f t="shared" si="0"/>
        <v>1.7221415884862978</v>
      </c>
      <c r="H38" s="136">
        <f t="shared" si="0"/>
        <v>2.2095028930812273</v>
      </c>
      <c r="I38" s="136">
        <f t="shared" si="0"/>
        <v>2.123502819187848</v>
      </c>
      <c r="J38" s="136">
        <f t="shared" si="0"/>
        <v>2.2275544573280524</v>
      </c>
      <c r="K38" s="136">
        <f t="shared" si="0"/>
        <v>2.3367046257371267</v>
      </c>
      <c r="L38" s="136">
        <f t="shared" si="0"/>
        <v>2.4512031523982456</v>
      </c>
      <c r="M38" s="136">
        <f t="shared" si="0"/>
        <v>2.5713121068657596</v>
      </c>
    </row>
    <row r="39" spans="2:13">
      <c r="B39" s="3">
        <v>30</v>
      </c>
      <c r="C39" s="48" t="s">
        <v>17</v>
      </c>
      <c r="D39" s="164"/>
      <c r="E39" s="164"/>
      <c r="F39" s="164"/>
      <c r="G39" s="164"/>
      <c r="H39" s="164"/>
      <c r="I39" s="164"/>
      <c r="J39" s="164"/>
      <c r="K39" s="164"/>
      <c r="L39" s="164"/>
      <c r="M39" s="164"/>
    </row>
    <row r="40" spans="2:13" ht="15">
      <c r="B40" s="3">
        <v>31</v>
      </c>
      <c r="C40" s="25" t="s">
        <v>114</v>
      </c>
      <c r="D40" s="136">
        <f>D38-D39</f>
        <v>1.645613594893077</v>
      </c>
      <c r="E40" s="136">
        <f t="shared" ref="E40:M40" si="1">E38-E39</f>
        <v>1.4836847229590782</v>
      </c>
      <c r="F40" s="136">
        <f t="shared" si="1"/>
        <v>2.1371202389027344</v>
      </c>
      <c r="G40" s="136">
        <f t="shared" si="1"/>
        <v>1.7221415884862978</v>
      </c>
      <c r="H40" s="136">
        <f t="shared" si="1"/>
        <v>2.2095028930812273</v>
      </c>
      <c r="I40" s="136">
        <f t="shared" si="1"/>
        <v>2.123502819187848</v>
      </c>
      <c r="J40" s="136">
        <f t="shared" si="1"/>
        <v>2.2275544573280524</v>
      </c>
      <c r="K40" s="136">
        <f t="shared" si="1"/>
        <v>2.3367046257371267</v>
      </c>
      <c r="L40" s="136">
        <f t="shared" si="1"/>
        <v>2.4512031523982456</v>
      </c>
      <c r="M40" s="136">
        <f t="shared" si="1"/>
        <v>2.5713121068657596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B4" sqref="B4:P4"/>
    </sheetView>
  </sheetViews>
  <sheetFormatPr defaultColWidth="9.28515625" defaultRowHeight="14.25"/>
  <cols>
    <col min="1" max="1" width="4.5703125" style="19" customWidth="1"/>
    <col min="2" max="2" width="8.7109375" style="61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  <c r="I2" s="5"/>
      <c r="J2" s="5"/>
    </row>
    <row r="3" spans="2:13" ht="15">
      <c r="B3" s="240" t="s">
        <v>409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2:13" s="4" customFormat="1" ht="15">
      <c r="B4" s="240" t="s">
        <v>381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</row>
    <row r="5" spans="2:13" ht="15">
      <c r="B5" s="241" t="s">
        <v>410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2:13" ht="15">
      <c r="M6" s="32" t="s">
        <v>4</v>
      </c>
    </row>
    <row r="7" spans="2:13" ht="12.75" customHeight="1">
      <c r="B7" s="235" t="s">
        <v>186</v>
      </c>
      <c r="C7" s="233" t="s">
        <v>18</v>
      </c>
      <c r="D7" s="21" t="s">
        <v>389</v>
      </c>
      <c r="E7" s="21" t="s">
        <v>390</v>
      </c>
      <c r="F7" s="21" t="s">
        <v>391</v>
      </c>
      <c r="G7" s="21" t="s">
        <v>382</v>
      </c>
      <c r="H7" s="21" t="s">
        <v>383</v>
      </c>
      <c r="I7" s="247" t="s">
        <v>225</v>
      </c>
      <c r="J7" s="247"/>
      <c r="K7" s="247"/>
      <c r="L7" s="247"/>
      <c r="M7" s="247"/>
    </row>
    <row r="8" spans="2:13" ht="15">
      <c r="B8" s="235"/>
      <c r="C8" s="233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ht="15">
      <c r="B9" s="235"/>
      <c r="C9" s="233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9" t="s">
        <v>115</v>
      </c>
      <c r="D10" s="164">
        <v>1.9778570565632831</v>
      </c>
      <c r="E10" s="164">
        <v>1.0469885234076617</v>
      </c>
      <c r="F10" s="164">
        <v>5.9052319555623205</v>
      </c>
      <c r="G10" s="164">
        <v>2.0468688328560445</v>
      </c>
      <c r="H10" s="212">
        <v>1.3840907120356332</v>
      </c>
      <c r="I10" s="3"/>
      <c r="J10" s="3"/>
      <c r="K10" s="3"/>
      <c r="L10" s="3"/>
      <c r="M10" s="3"/>
    </row>
    <row r="11" spans="2:13">
      <c r="B11" s="2">
        <v>2</v>
      </c>
      <c r="C11" s="59" t="s">
        <v>116</v>
      </c>
      <c r="D11" s="164">
        <v>4.2414563500000002E-2</v>
      </c>
      <c r="E11" s="164">
        <v>3.4324480185401664E-2</v>
      </c>
      <c r="F11" s="164">
        <v>4.9985000000000003E-4</v>
      </c>
      <c r="G11" s="164">
        <v>2.5230452970158693E-2</v>
      </c>
      <c r="H11" s="212">
        <v>1.4724585E-2</v>
      </c>
      <c r="I11" s="3"/>
      <c r="J11" s="3"/>
      <c r="K11" s="3"/>
      <c r="L11" s="3"/>
      <c r="M11" s="3"/>
    </row>
    <row r="12" spans="2:13">
      <c r="B12" s="2">
        <v>3</v>
      </c>
      <c r="C12" s="59" t="s">
        <v>117</v>
      </c>
      <c r="D12" s="164">
        <v>0.45657412269309627</v>
      </c>
      <c r="E12" s="164">
        <v>0.46488820618364357</v>
      </c>
      <c r="F12" s="164">
        <v>0.42293418649523462</v>
      </c>
      <c r="G12" s="164">
        <v>0.8983773104686319</v>
      </c>
      <c r="H12" s="212">
        <v>0.83437865082227847</v>
      </c>
      <c r="I12" s="3"/>
      <c r="J12" s="3"/>
      <c r="K12" s="3"/>
      <c r="L12" s="3"/>
      <c r="M12" s="3"/>
    </row>
    <row r="13" spans="2:13">
      <c r="B13" s="2">
        <v>4</v>
      </c>
      <c r="C13" s="59" t="s">
        <v>118</v>
      </c>
      <c r="D13" s="164">
        <v>6.0462050000000003E-2</v>
      </c>
      <c r="E13" s="164">
        <v>3.827315E-3</v>
      </c>
      <c r="F13" s="164">
        <v>1.762E-4</v>
      </c>
      <c r="G13" s="164">
        <v>0</v>
      </c>
      <c r="H13" s="212">
        <v>2.4011235500000002E-2</v>
      </c>
      <c r="I13" s="3"/>
      <c r="J13" s="3"/>
      <c r="K13" s="3"/>
      <c r="L13" s="3"/>
      <c r="M13" s="3"/>
    </row>
    <row r="14" spans="2:13">
      <c r="B14" s="2">
        <v>5</v>
      </c>
      <c r="C14" s="59" t="s">
        <v>119</v>
      </c>
      <c r="D14" s="164">
        <v>0.12664577727464241</v>
      </c>
      <c r="E14" s="164">
        <v>4.6270800561062871E-2</v>
      </c>
      <c r="F14" s="164">
        <v>0.31726503082440666</v>
      </c>
      <c r="G14" s="164">
        <v>7.8515780094350979E-2</v>
      </c>
      <c r="H14" s="212">
        <v>0.13491014227816464</v>
      </c>
      <c r="I14" s="3"/>
      <c r="J14" s="3"/>
      <c r="K14" s="3"/>
      <c r="L14" s="3"/>
      <c r="M14" s="3"/>
    </row>
    <row r="15" spans="2:13">
      <c r="B15" s="2">
        <v>6</v>
      </c>
      <c r="C15" s="59" t="s">
        <v>120</v>
      </c>
      <c r="D15" s="164">
        <v>1.0205549999999999E-4</v>
      </c>
      <c r="E15" s="164">
        <v>8.0000000000000004E-4</v>
      </c>
      <c r="F15" s="164">
        <v>1.5355500000000001E-3</v>
      </c>
      <c r="G15" s="164">
        <v>2.7600000000000004E-4</v>
      </c>
      <c r="H15" s="212">
        <v>5.8990390183971024E-3</v>
      </c>
      <c r="I15" s="3"/>
      <c r="J15" s="3"/>
      <c r="K15" s="3"/>
      <c r="L15" s="3"/>
      <c r="M15" s="3"/>
    </row>
    <row r="16" spans="2:13">
      <c r="B16" s="2">
        <v>7</v>
      </c>
      <c r="C16" s="59" t="s">
        <v>121</v>
      </c>
      <c r="D16" s="164">
        <v>5.0817978276557552E-5</v>
      </c>
      <c r="E16" s="164">
        <v>2.3768348164026959E-4</v>
      </c>
      <c r="F16" s="164">
        <v>0</v>
      </c>
      <c r="G16" s="164">
        <v>0</v>
      </c>
      <c r="H16" s="212">
        <v>0</v>
      </c>
      <c r="I16" s="3"/>
      <c r="J16" s="3"/>
      <c r="K16" s="3"/>
      <c r="L16" s="3"/>
      <c r="M16" s="3"/>
    </row>
    <row r="17" spans="2:13">
      <c r="B17" s="2">
        <v>8</v>
      </c>
      <c r="C17" s="59" t="s">
        <v>122</v>
      </c>
      <c r="D17" s="164">
        <v>5.3829343889994996E-2</v>
      </c>
      <c r="E17" s="164">
        <v>0.14765616813136345</v>
      </c>
      <c r="F17" s="164">
        <v>0.17176388449599803</v>
      </c>
      <c r="G17" s="164">
        <v>0.10601745376866431</v>
      </c>
      <c r="H17" s="212">
        <v>9.6466455963221204E-2</v>
      </c>
      <c r="I17" s="164">
        <v>3.9228940662184835</v>
      </c>
      <c r="J17" s="164">
        <v>3.9630118773796981</v>
      </c>
      <c r="K17" s="164">
        <v>3.9630118773796981</v>
      </c>
      <c r="L17" s="164">
        <v>3.9630118773796981</v>
      </c>
      <c r="M17" s="164">
        <v>3.9630118773796981</v>
      </c>
    </row>
    <row r="18" spans="2:13" ht="15">
      <c r="B18" s="2">
        <v>9</v>
      </c>
      <c r="C18" s="60" t="s">
        <v>123</v>
      </c>
      <c r="D18" s="136">
        <f>SUM(D10:D17)</f>
        <v>2.7179357873992935</v>
      </c>
      <c r="E18" s="136">
        <f t="shared" ref="E18:M18" si="0">SUM(E10:E17)</f>
        <v>1.7449931769507736</v>
      </c>
      <c r="F18" s="136">
        <f t="shared" si="0"/>
        <v>6.8194066573779599</v>
      </c>
      <c r="G18" s="136">
        <f t="shared" si="0"/>
        <v>3.1552858301578506</v>
      </c>
      <c r="H18" s="136">
        <f t="shared" si="0"/>
        <v>2.4944808206176949</v>
      </c>
      <c r="I18" s="136">
        <f t="shared" si="0"/>
        <v>3.9228940662184835</v>
      </c>
      <c r="J18" s="136">
        <f t="shared" si="0"/>
        <v>3.9630118773796981</v>
      </c>
      <c r="K18" s="136">
        <f t="shared" si="0"/>
        <v>3.9630118773796981</v>
      </c>
      <c r="L18" s="136">
        <f t="shared" si="0"/>
        <v>3.9630118773796981</v>
      </c>
      <c r="M18" s="136">
        <f t="shared" si="0"/>
        <v>3.9630118773796981</v>
      </c>
    </row>
    <row r="19" spans="2:13">
      <c r="B19" s="2"/>
      <c r="C19" s="58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2" t="s">
        <v>124</v>
      </c>
      <c r="D20" s="164">
        <v>690.68</v>
      </c>
      <c r="E20" s="3">
        <v>680.68</v>
      </c>
      <c r="F20" s="3">
        <v>680.68</v>
      </c>
      <c r="G20" s="136">
        <f>'F4'!F21</f>
        <v>690.68</v>
      </c>
      <c r="H20" s="136">
        <f>'F4'!F38</f>
        <v>691.47103768200009</v>
      </c>
      <c r="I20" s="136">
        <f>'F4'!F47</f>
        <v>693.29103768200002</v>
      </c>
      <c r="J20" s="136">
        <f>'F4'!F56</f>
        <v>700.38103768200006</v>
      </c>
      <c r="K20" s="136">
        <f>'F4'!F65</f>
        <v>700.38103768200006</v>
      </c>
      <c r="L20" s="136">
        <f>'F4'!F74</f>
        <v>700.38103768200006</v>
      </c>
      <c r="M20" s="136">
        <f>'F4'!F83</f>
        <v>700.38103768200006</v>
      </c>
    </row>
    <row r="21" spans="2:13" ht="28.5">
      <c r="B21" s="2">
        <v>11</v>
      </c>
      <c r="C21" s="62" t="s">
        <v>125</v>
      </c>
      <c r="D21" s="165">
        <f>IFERROR(D18/D20,0)</f>
        <v>3.9351592450907712E-3</v>
      </c>
      <c r="E21" s="165">
        <f t="shared" ref="E21:M21" si="1">IFERROR(E18/E20,0)</f>
        <v>2.5636028338584557E-3</v>
      </c>
      <c r="F21" s="165">
        <f t="shared" si="1"/>
        <v>1.0018520681345067E-2</v>
      </c>
      <c r="G21" s="165">
        <f t="shared" si="1"/>
        <v>4.5683758472199153E-3</v>
      </c>
      <c r="H21" s="165">
        <f t="shared" si="1"/>
        <v>3.607498629269964E-3</v>
      </c>
      <c r="I21" s="165">
        <f t="shared" si="1"/>
        <v>5.6583654670260483E-3</v>
      </c>
      <c r="J21" s="165">
        <f t="shared" si="1"/>
        <v>5.6583654670260474E-3</v>
      </c>
      <c r="K21" s="165">
        <f t="shared" si="1"/>
        <v>5.6583654670260474E-3</v>
      </c>
      <c r="L21" s="165">
        <f t="shared" si="1"/>
        <v>5.6583654670260474E-3</v>
      </c>
      <c r="M21" s="165">
        <f t="shared" si="1"/>
        <v>5.6583654670260474E-3</v>
      </c>
    </row>
    <row r="22" spans="2:13">
      <c r="B22" s="2"/>
      <c r="C22" s="58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3:M3"/>
    <mergeCell ref="B4:M4"/>
    <mergeCell ref="B5:M5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B4" sqref="B4:P4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3"/>
    </row>
    <row r="2" spans="2:13" ht="15">
      <c r="B2" s="240" t="s">
        <v>409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2:13" ht="15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2:13" ht="15">
      <c r="B4" s="241" t="s">
        <v>411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</row>
    <row r="5" spans="2:13" ht="15">
      <c r="B5" s="42"/>
      <c r="C5" s="64"/>
      <c r="D5" s="64"/>
      <c r="E5" s="64"/>
      <c r="F5" s="64"/>
      <c r="G5" s="64"/>
      <c r="H5" s="64"/>
      <c r="I5" s="64"/>
      <c r="J5" s="64"/>
    </row>
    <row r="6" spans="2:13" ht="15">
      <c r="M6" s="32" t="s">
        <v>4</v>
      </c>
    </row>
    <row r="7" spans="2:13" s="19" customFormat="1" ht="15" customHeight="1">
      <c r="B7" s="230" t="s">
        <v>186</v>
      </c>
      <c r="C7" s="233" t="s">
        <v>18</v>
      </c>
      <c r="D7" s="237" t="s">
        <v>382</v>
      </c>
      <c r="E7" s="238"/>
      <c r="F7" s="239"/>
      <c r="G7" s="237" t="s">
        <v>383</v>
      </c>
      <c r="H7" s="238"/>
      <c r="I7" s="247" t="s">
        <v>225</v>
      </c>
      <c r="J7" s="247"/>
      <c r="K7" s="247"/>
      <c r="L7" s="247"/>
      <c r="M7" s="247"/>
    </row>
    <row r="8" spans="2:13" s="19" customFormat="1" ht="45">
      <c r="B8" s="231"/>
      <c r="C8" s="233"/>
      <c r="D8" s="21" t="s">
        <v>327</v>
      </c>
      <c r="E8" s="21" t="s">
        <v>245</v>
      </c>
      <c r="F8" s="21" t="s">
        <v>201</v>
      </c>
      <c r="G8" s="21" t="s">
        <v>327</v>
      </c>
      <c r="H8" s="21" t="s">
        <v>244</v>
      </c>
      <c r="I8" s="21" t="s">
        <v>384</v>
      </c>
      <c r="J8" s="21" t="s">
        <v>385</v>
      </c>
      <c r="K8" s="21" t="s">
        <v>386</v>
      </c>
      <c r="L8" s="21" t="s">
        <v>387</v>
      </c>
      <c r="M8" s="21" t="s">
        <v>388</v>
      </c>
    </row>
    <row r="9" spans="2:13" s="19" customFormat="1" ht="15">
      <c r="B9" s="232"/>
      <c r="C9" s="234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7">
        <v>1</v>
      </c>
      <c r="C10" s="33" t="s">
        <v>249</v>
      </c>
      <c r="D10" s="2"/>
      <c r="E10" s="33">
        <v>7.0000000000000007E-2</v>
      </c>
      <c r="F10" s="33">
        <v>7.0000000000000007E-2</v>
      </c>
      <c r="G10" s="133"/>
      <c r="H10" s="133">
        <f>E13</f>
        <v>-3.9318799999998877E-3</v>
      </c>
      <c r="I10" s="133">
        <f>H13</f>
        <v>0</v>
      </c>
      <c r="J10" s="133">
        <f>I13</f>
        <v>0</v>
      </c>
      <c r="K10" s="133">
        <f>J13</f>
        <v>0</v>
      </c>
      <c r="L10" s="133">
        <f>K13</f>
        <v>0</v>
      </c>
      <c r="M10" s="133">
        <f>L13</f>
        <v>0</v>
      </c>
    </row>
    <row r="11" spans="2:13" s="5" customFormat="1">
      <c r="B11" s="26">
        <v>2</v>
      </c>
      <c r="C11" s="33" t="s">
        <v>279</v>
      </c>
      <c r="D11" s="2"/>
      <c r="E11" s="131">
        <f>F3.1!G17</f>
        <v>0.7112342960000001</v>
      </c>
      <c r="F11" s="131">
        <f>E11</f>
        <v>0.7112342960000001</v>
      </c>
      <c r="G11" s="27"/>
      <c r="H11" s="133">
        <f>F3.1!G28</f>
        <v>1.8197475000000001</v>
      </c>
      <c r="I11" s="133">
        <f>F3.1!G34</f>
        <v>7.09</v>
      </c>
      <c r="J11" s="133">
        <f>F3.1!G40</f>
        <v>0</v>
      </c>
      <c r="K11" s="133">
        <f>F3.1!G46</f>
        <v>0</v>
      </c>
      <c r="L11" s="133">
        <f>F3.1!G52</f>
        <v>0</v>
      </c>
      <c r="M11" s="133">
        <f>F3.1!G58</f>
        <v>0</v>
      </c>
    </row>
    <row r="12" spans="2:13" s="5" customFormat="1" ht="15">
      <c r="B12" s="26">
        <v>3</v>
      </c>
      <c r="C12" s="35" t="s">
        <v>216</v>
      </c>
      <c r="D12" s="161"/>
      <c r="E12" s="171">
        <f>F3.1!H17</f>
        <v>0.78516617599999994</v>
      </c>
      <c r="F12" s="171">
        <f>E12</f>
        <v>0.78516617599999994</v>
      </c>
      <c r="G12" s="161"/>
      <c r="H12" s="174">
        <f>F3.1!H28</f>
        <v>1.8197475000000001</v>
      </c>
      <c r="I12" s="174">
        <f>F3.1!H34</f>
        <v>7.09</v>
      </c>
      <c r="J12" s="174">
        <f>F3.1!H40</f>
        <v>0</v>
      </c>
      <c r="K12" s="174">
        <f>F3.1!H46</f>
        <v>0</v>
      </c>
      <c r="L12" s="174">
        <f>F3.1!H52</f>
        <v>0</v>
      </c>
      <c r="M12" s="174">
        <f>F3.1!H58</f>
        <v>0</v>
      </c>
    </row>
    <row r="13" spans="2:13" s="5" customFormat="1" ht="15">
      <c r="B13" s="26">
        <v>4</v>
      </c>
      <c r="C13" s="33" t="s">
        <v>250</v>
      </c>
      <c r="D13" s="163">
        <f>D10+D11-D12</f>
        <v>0</v>
      </c>
      <c r="E13" s="163">
        <f>E10+E11-E12</f>
        <v>-3.9318799999998877E-3</v>
      </c>
      <c r="F13" s="163">
        <f t="shared" ref="F13:M13" si="0">F10+F11-F12</f>
        <v>-3.9318799999998877E-3</v>
      </c>
      <c r="G13" s="163">
        <f t="shared" si="0"/>
        <v>0</v>
      </c>
      <c r="H13" s="162">
        <v>0</v>
      </c>
      <c r="I13" s="163">
        <f t="shared" si="0"/>
        <v>0</v>
      </c>
      <c r="J13" s="163">
        <f t="shared" si="0"/>
        <v>0</v>
      </c>
      <c r="K13" s="163">
        <f t="shared" si="0"/>
        <v>0</v>
      </c>
      <c r="L13" s="163">
        <f t="shared" si="0"/>
        <v>0</v>
      </c>
      <c r="M13" s="163">
        <f t="shared" si="0"/>
        <v>0</v>
      </c>
    </row>
    <row r="14" spans="2:13" s="39" customFormat="1" ht="15">
      <c r="B14" s="68"/>
      <c r="C14" s="55"/>
      <c r="D14" s="65"/>
      <c r="E14" s="65"/>
      <c r="F14" s="65"/>
      <c r="G14" s="66"/>
      <c r="H14" s="30"/>
      <c r="I14" s="30"/>
      <c r="J14" s="30"/>
      <c r="K14" s="30"/>
    </row>
    <row r="16" spans="2:13">
      <c r="B16" s="69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9"/>
  <sheetViews>
    <sheetView showGridLines="0" zoomScale="66" zoomScaleNormal="66" zoomScaleSheetLayoutView="90" workbookViewId="0">
      <selection activeCell="B4" sqref="B4:P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22" ht="15">
      <c r="B1" s="30"/>
    </row>
    <row r="2" spans="1:22" ht="15">
      <c r="B2" s="240" t="s">
        <v>408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22" ht="15">
      <c r="B3" s="240" t="s">
        <v>381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22" ht="15">
      <c r="B4" s="241" t="s">
        <v>277</v>
      </c>
      <c r="C4" s="241"/>
      <c r="D4" s="241"/>
      <c r="E4" s="241"/>
      <c r="F4" s="241"/>
      <c r="G4" s="241"/>
      <c r="H4" s="241"/>
      <c r="I4" s="241"/>
      <c r="J4" s="241"/>
      <c r="K4" s="241"/>
      <c r="L4" s="241"/>
    </row>
    <row r="5" spans="1:22" ht="15">
      <c r="K5" s="41"/>
    </row>
    <row r="6" spans="1:22" ht="60">
      <c r="B6" s="21" t="s">
        <v>186</v>
      </c>
      <c r="C6" s="29" t="s">
        <v>251</v>
      </c>
      <c r="D6" s="37" t="s">
        <v>253</v>
      </c>
      <c r="E6" s="29" t="s">
        <v>252</v>
      </c>
      <c r="F6" s="37" t="s">
        <v>255</v>
      </c>
      <c r="G6" s="37" t="s">
        <v>258</v>
      </c>
      <c r="H6" s="37" t="s">
        <v>259</v>
      </c>
      <c r="I6" s="37" t="s">
        <v>272</v>
      </c>
      <c r="J6" s="29" t="s">
        <v>254</v>
      </c>
      <c r="K6" s="37" t="s">
        <v>260</v>
      </c>
      <c r="L6" s="37" t="s">
        <v>175</v>
      </c>
      <c r="M6" s="31"/>
      <c r="N6" s="31"/>
      <c r="O6" s="31"/>
      <c r="P6" s="31"/>
    </row>
    <row r="7" spans="1:22" s="39" customFormat="1" ht="15">
      <c r="B7" s="26"/>
      <c r="C7" s="37" t="s">
        <v>382</v>
      </c>
      <c r="D7" s="36"/>
      <c r="E7" s="36"/>
      <c r="F7" s="36"/>
      <c r="G7" s="36"/>
      <c r="H7" s="36"/>
      <c r="I7" s="36"/>
      <c r="J7" s="36"/>
      <c r="K7" s="37"/>
      <c r="L7" s="38"/>
      <c r="M7" s="30"/>
      <c r="N7" s="30"/>
      <c r="O7" s="30"/>
      <c r="P7" s="30"/>
      <c r="Q7" s="30"/>
    </row>
    <row r="8" spans="1:22" s="39" customFormat="1" ht="15">
      <c r="B8" s="26">
        <v>1</v>
      </c>
      <c r="C8" s="202" t="s">
        <v>400</v>
      </c>
      <c r="D8" s="36"/>
      <c r="E8" s="36"/>
      <c r="F8" s="36"/>
      <c r="G8" s="203">
        <v>0.16</v>
      </c>
      <c r="H8" s="204">
        <v>0.16022642600000001</v>
      </c>
      <c r="I8" s="202" t="s">
        <v>400</v>
      </c>
      <c r="J8" s="36"/>
      <c r="K8" s="37"/>
      <c r="L8" s="38"/>
      <c r="M8" s="30"/>
      <c r="N8" s="30"/>
      <c r="O8" s="30"/>
      <c r="P8" s="30"/>
      <c r="Q8" s="30"/>
    </row>
    <row r="9" spans="1:22" s="39" customFormat="1" ht="15">
      <c r="B9" s="26">
        <v>2</v>
      </c>
      <c r="C9" s="202" t="s">
        <v>401</v>
      </c>
      <c r="D9" s="36"/>
      <c r="E9" s="36"/>
      <c r="F9" s="36"/>
      <c r="G9" s="203">
        <v>0.1</v>
      </c>
      <c r="H9" s="204">
        <v>0.10493975</v>
      </c>
      <c r="I9" s="202" t="s">
        <v>401</v>
      </c>
      <c r="J9" s="36"/>
      <c r="K9" s="37"/>
      <c r="L9" s="38"/>
      <c r="M9" s="30"/>
      <c r="N9" s="30"/>
      <c r="O9" s="30"/>
      <c r="P9" s="30"/>
      <c r="Q9" s="30"/>
    </row>
    <row r="10" spans="1:22" ht="15">
      <c r="A10" s="205"/>
      <c r="B10" s="26">
        <v>3</v>
      </c>
      <c r="C10" s="202" t="s">
        <v>402</v>
      </c>
      <c r="D10" s="33"/>
      <c r="E10" s="33" t="s">
        <v>403</v>
      </c>
      <c r="F10" s="33"/>
      <c r="G10" s="203">
        <v>0.33036500600000002</v>
      </c>
      <c r="H10" s="206">
        <v>0.33</v>
      </c>
      <c r="I10" s="33" t="s">
        <v>404</v>
      </c>
      <c r="J10" s="33"/>
      <c r="K10" s="33"/>
      <c r="L10" s="33"/>
      <c r="R10" s="205"/>
      <c r="S10" s="205"/>
      <c r="T10" s="205"/>
      <c r="U10" s="205"/>
      <c r="V10" s="205"/>
    </row>
    <row r="11" spans="1:22" ht="15">
      <c r="A11" s="205"/>
      <c r="B11" s="26">
        <v>4</v>
      </c>
      <c r="C11" s="202" t="s">
        <v>405</v>
      </c>
      <c r="D11" s="33"/>
      <c r="E11" s="33" t="s">
        <v>403</v>
      </c>
      <c r="F11" s="33"/>
      <c r="G11" s="203">
        <v>1.57599E-3</v>
      </c>
      <c r="H11" s="33">
        <v>0.19</v>
      </c>
      <c r="I11" s="33" t="s">
        <v>404</v>
      </c>
      <c r="J11" s="33"/>
      <c r="K11" s="33"/>
      <c r="L11" s="33"/>
      <c r="R11" s="205"/>
      <c r="S11" s="205"/>
      <c r="T11" s="205"/>
      <c r="U11" s="205"/>
      <c r="V11" s="205"/>
    </row>
    <row r="12" spans="1:22" ht="15">
      <c r="A12" s="205"/>
      <c r="B12" s="26">
        <v>5</v>
      </c>
      <c r="C12" s="202" t="s">
        <v>406</v>
      </c>
      <c r="D12" s="33"/>
      <c r="E12" s="33"/>
      <c r="F12" s="33"/>
      <c r="G12" s="203">
        <v>0.1192933</v>
      </c>
      <c r="H12" s="33"/>
      <c r="I12" s="33"/>
      <c r="J12" s="33"/>
      <c r="K12" s="33"/>
      <c r="L12" s="33"/>
      <c r="R12" s="205"/>
      <c r="S12" s="205"/>
      <c r="T12" s="205"/>
      <c r="U12" s="205"/>
      <c r="V12" s="205"/>
    </row>
    <row r="13" spans="1:22">
      <c r="B13" s="26">
        <v>1</v>
      </c>
      <c r="C13" s="26"/>
      <c r="D13" s="33"/>
      <c r="E13" s="33"/>
      <c r="F13" s="33"/>
      <c r="G13" s="33"/>
      <c r="H13" s="33"/>
      <c r="I13" s="33"/>
      <c r="J13" s="33"/>
      <c r="K13" s="33"/>
      <c r="L13" s="33"/>
    </row>
    <row r="14" spans="1:22">
      <c r="B14" s="26">
        <v>2</v>
      </c>
      <c r="C14" s="26"/>
      <c r="D14" s="33"/>
      <c r="E14" s="33"/>
      <c r="F14" s="33"/>
      <c r="G14" s="33"/>
      <c r="H14" s="33"/>
      <c r="I14" s="33"/>
      <c r="J14" s="33"/>
      <c r="K14" s="33"/>
      <c r="L14" s="33"/>
    </row>
    <row r="15" spans="1:22">
      <c r="B15" s="26">
        <v>3</v>
      </c>
      <c r="C15" s="26"/>
      <c r="D15" s="33"/>
      <c r="E15" s="33"/>
      <c r="F15" s="33"/>
      <c r="G15" s="33"/>
      <c r="H15" s="33"/>
      <c r="I15" s="33"/>
      <c r="J15" s="33"/>
      <c r="K15" s="33"/>
      <c r="L15" s="33"/>
    </row>
    <row r="16" spans="1:22">
      <c r="B16" s="33"/>
      <c r="C16" s="33" t="s">
        <v>9</v>
      </c>
      <c r="D16" s="33"/>
      <c r="E16" s="33"/>
      <c r="F16" s="33"/>
      <c r="G16" s="33"/>
      <c r="H16" s="33"/>
      <c r="I16" s="33"/>
      <c r="J16" s="33"/>
      <c r="K16" s="33"/>
      <c r="L16" s="33"/>
    </row>
    <row r="17" spans="1:22" ht="15">
      <c r="B17" s="33"/>
      <c r="C17" s="29" t="s">
        <v>127</v>
      </c>
      <c r="D17" s="175"/>
      <c r="E17" s="160"/>
      <c r="F17" s="137">
        <f>SUM(F8:F16)</f>
        <v>0</v>
      </c>
      <c r="G17" s="137">
        <f t="shared" ref="G17:H17" si="0">SUM(G8:G16)</f>
        <v>0.7112342960000001</v>
      </c>
      <c r="H17" s="137">
        <f t="shared" si="0"/>
        <v>0.78516617599999994</v>
      </c>
      <c r="I17" s="33"/>
      <c r="J17" s="33"/>
      <c r="K17" s="33"/>
      <c r="L17" s="33"/>
    </row>
    <row r="18" spans="1:22" ht="15">
      <c r="B18" s="26"/>
      <c r="C18" s="37" t="s">
        <v>383</v>
      </c>
      <c r="D18" s="160"/>
      <c r="E18" s="160"/>
      <c r="F18" s="160"/>
      <c r="G18" s="160"/>
      <c r="H18" s="160"/>
      <c r="I18" s="33"/>
      <c r="J18" s="33"/>
      <c r="K18" s="33"/>
      <c r="L18" s="33"/>
    </row>
    <row r="19" spans="1:22" ht="15">
      <c r="A19" s="205"/>
      <c r="B19" s="33">
        <v>1</v>
      </c>
      <c r="C19" s="202" t="s">
        <v>400</v>
      </c>
      <c r="D19" s="33"/>
      <c r="E19" s="33"/>
      <c r="F19" s="33"/>
      <c r="G19" s="207">
        <v>1.208</v>
      </c>
      <c r="H19" s="207">
        <v>1.208</v>
      </c>
      <c r="I19" s="202" t="s">
        <v>400</v>
      </c>
      <c r="J19" s="33"/>
      <c r="K19" s="33"/>
      <c r="L19" s="33"/>
      <c r="R19" s="205"/>
      <c r="S19" s="205"/>
      <c r="T19" s="205"/>
      <c r="U19" s="205"/>
      <c r="V19" s="205"/>
    </row>
    <row r="20" spans="1:22" ht="15">
      <c r="A20" s="205"/>
      <c r="B20" s="33">
        <v>2</v>
      </c>
      <c r="C20" s="202" t="s">
        <v>401</v>
      </c>
      <c r="D20" s="33"/>
      <c r="E20" s="33"/>
      <c r="F20" s="33"/>
      <c r="G20" s="207">
        <v>1.7474999999999999E-3</v>
      </c>
      <c r="H20" s="207">
        <v>1.7474999999999999E-3</v>
      </c>
      <c r="I20" s="202" t="s">
        <v>401</v>
      </c>
      <c r="J20" s="33"/>
      <c r="K20" s="33"/>
      <c r="L20" s="33"/>
      <c r="R20" s="205"/>
      <c r="S20" s="205"/>
      <c r="T20" s="205"/>
      <c r="U20" s="205"/>
      <c r="V20" s="205"/>
    </row>
    <row r="21" spans="1:22" ht="15">
      <c r="A21" s="205"/>
      <c r="B21" s="33">
        <v>3</v>
      </c>
      <c r="C21" s="26" t="s">
        <v>405</v>
      </c>
      <c r="D21" s="33"/>
      <c r="E21" s="26"/>
      <c r="F21" s="33"/>
      <c r="G21" s="207">
        <v>0.11</v>
      </c>
      <c r="H21" s="207">
        <v>0.11</v>
      </c>
      <c r="I21" s="33" t="s">
        <v>404</v>
      </c>
      <c r="J21" s="33"/>
      <c r="K21" s="33"/>
      <c r="L21" s="33"/>
      <c r="R21" s="205"/>
      <c r="S21" s="205"/>
      <c r="T21" s="205"/>
      <c r="U21" s="205"/>
      <c r="V21" s="205"/>
    </row>
    <row r="22" spans="1:22" ht="15">
      <c r="A22" s="205"/>
      <c r="B22" s="33"/>
      <c r="C22" s="209" t="s">
        <v>3</v>
      </c>
      <c r="D22" s="33"/>
      <c r="E22" s="26"/>
      <c r="F22" s="33"/>
      <c r="G22" s="208">
        <f>+G19+G20+G21</f>
        <v>1.3197475000000001</v>
      </c>
      <c r="H22" s="208">
        <f>+H19+H20+H21</f>
        <v>1.3197475000000001</v>
      </c>
      <c r="I22" s="33"/>
      <c r="J22" s="33"/>
      <c r="K22" s="33"/>
      <c r="L22" s="33"/>
      <c r="R22" s="205"/>
      <c r="S22" s="205"/>
      <c r="T22" s="205"/>
      <c r="U22" s="205"/>
      <c r="V22" s="205"/>
    </row>
    <row r="23" spans="1:22" ht="15">
      <c r="A23" s="205"/>
      <c r="B23" s="33"/>
      <c r="C23" s="108" t="s">
        <v>5</v>
      </c>
      <c r="D23" s="33"/>
      <c r="E23" s="33"/>
      <c r="F23" s="33"/>
      <c r="G23" s="207"/>
      <c r="H23" s="207"/>
      <c r="I23" s="33"/>
      <c r="J23" s="33"/>
      <c r="K23" s="33"/>
      <c r="L23" s="33"/>
      <c r="R23" s="205"/>
      <c r="S23" s="205"/>
      <c r="T23" s="205"/>
      <c r="U23" s="205"/>
      <c r="V23" s="205"/>
    </row>
    <row r="24" spans="1:22">
      <c r="B24" s="26">
        <v>1</v>
      </c>
      <c r="C24" s="26"/>
      <c r="D24" s="160"/>
      <c r="E24" s="160"/>
      <c r="F24" s="160"/>
      <c r="G24" s="160"/>
      <c r="H24" s="160"/>
      <c r="I24" s="33"/>
      <c r="J24" s="33"/>
      <c r="K24" s="33"/>
      <c r="L24" s="33"/>
    </row>
    <row r="25" spans="1:22">
      <c r="B25" s="26">
        <v>2</v>
      </c>
      <c r="C25" s="26"/>
      <c r="D25" s="160"/>
      <c r="E25" s="160"/>
      <c r="F25" s="160"/>
      <c r="G25" s="160"/>
      <c r="H25" s="160"/>
      <c r="I25" s="33"/>
      <c r="J25" s="33"/>
      <c r="K25" s="33"/>
      <c r="L25" s="33"/>
    </row>
    <row r="26" spans="1:22">
      <c r="B26" s="26">
        <v>3</v>
      </c>
      <c r="C26" s="26"/>
      <c r="D26" s="160"/>
      <c r="E26" s="160"/>
      <c r="F26" s="160"/>
      <c r="G26" s="160"/>
      <c r="H26" s="160"/>
      <c r="I26" s="33"/>
      <c r="J26" s="33"/>
      <c r="K26" s="33"/>
      <c r="L26" s="33"/>
    </row>
    <row r="27" spans="1:22">
      <c r="B27" s="33"/>
      <c r="C27" s="33" t="s">
        <v>9</v>
      </c>
      <c r="D27" s="160"/>
      <c r="E27" s="160"/>
      <c r="F27" s="160"/>
      <c r="G27" s="160">
        <v>0.5</v>
      </c>
      <c r="H27" s="160">
        <v>0.5</v>
      </c>
      <c r="I27" s="33"/>
      <c r="J27" s="33"/>
      <c r="K27" s="33"/>
      <c r="L27" s="33"/>
    </row>
    <row r="28" spans="1:22" ht="15">
      <c r="B28" s="33"/>
      <c r="C28" s="29" t="s">
        <v>127</v>
      </c>
      <c r="D28" s="175"/>
      <c r="E28" s="160"/>
      <c r="F28" s="137">
        <f>SUM(F22:F27)</f>
        <v>0</v>
      </c>
      <c r="G28" s="137">
        <f t="shared" ref="G28:H28" si="1">SUM(G22:G27)</f>
        <v>1.8197475000000001</v>
      </c>
      <c r="H28" s="137">
        <f t="shared" si="1"/>
        <v>1.8197475000000001</v>
      </c>
      <c r="I28" s="33"/>
      <c r="J28" s="33"/>
      <c r="K28" s="33"/>
      <c r="L28" s="33"/>
    </row>
    <row r="29" spans="1:22" ht="15">
      <c r="B29" s="26"/>
      <c r="C29" s="37" t="s">
        <v>384</v>
      </c>
      <c r="D29" s="160"/>
      <c r="E29" s="160"/>
      <c r="F29" s="160"/>
      <c r="G29" s="160"/>
      <c r="H29" s="160"/>
      <c r="I29" s="33"/>
      <c r="J29" s="33"/>
      <c r="K29" s="33"/>
      <c r="L29" s="33"/>
    </row>
    <row r="30" spans="1:22">
      <c r="B30" s="26">
        <v>1</v>
      </c>
      <c r="C30" s="26"/>
      <c r="D30" s="160"/>
      <c r="E30" s="160"/>
      <c r="F30" s="160"/>
      <c r="G30" s="160"/>
      <c r="H30" s="160"/>
      <c r="I30" s="33"/>
      <c r="J30" s="33"/>
      <c r="K30" s="33"/>
      <c r="L30" s="33"/>
    </row>
    <row r="31" spans="1:22">
      <c r="B31" s="26">
        <v>2</v>
      </c>
      <c r="C31" s="26"/>
      <c r="D31" s="160"/>
      <c r="E31" s="160"/>
      <c r="F31" s="160"/>
      <c r="G31" s="160"/>
      <c r="H31" s="160"/>
      <c r="I31" s="33"/>
      <c r="J31" s="33"/>
      <c r="K31" s="33"/>
      <c r="L31" s="33"/>
    </row>
    <row r="32" spans="1:22" ht="15">
      <c r="B32" s="26">
        <v>3</v>
      </c>
      <c r="C32" s="26"/>
      <c r="D32" s="160"/>
      <c r="E32" s="175" t="s">
        <v>407</v>
      </c>
      <c r="F32" s="160"/>
      <c r="G32" s="160">
        <v>1.0900000000000001</v>
      </c>
      <c r="H32" s="160">
        <v>1.0900000000000001</v>
      </c>
      <c r="I32" s="33"/>
      <c r="J32" s="33"/>
      <c r="K32" s="33"/>
      <c r="L32" s="33"/>
    </row>
    <row r="33" spans="2:12">
      <c r="B33" s="33"/>
      <c r="C33" s="33" t="s">
        <v>9</v>
      </c>
      <c r="D33" s="160"/>
      <c r="E33" s="160"/>
      <c r="F33" s="160"/>
      <c r="G33" s="160">
        <v>6</v>
      </c>
      <c r="H33" s="160">
        <v>6</v>
      </c>
      <c r="I33" s="33"/>
      <c r="J33" s="33"/>
      <c r="K33" s="33"/>
      <c r="L33" s="33"/>
    </row>
    <row r="34" spans="2:12" ht="15">
      <c r="B34" s="33"/>
      <c r="C34" s="29" t="s">
        <v>127</v>
      </c>
      <c r="D34" s="175"/>
      <c r="E34" s="160"/>
      <c r="F34" s="137">
        <f>SUM(F30:F33)</f>
        <v>0</v>
      </c>
      <c r="G34" s="137">
        <f>SUM(G30:G33)</f>
        <v>7.09</v>
      </c>
      <c r="H34" s="137">
        <f>SUM(H30:H33)</f>
        <v>7.09</v>
      </c>
      <c r="I34" s="33"/>
      <c r="J34" s="33"/>
      <c r="K34" s="33"/>
      <c r="L34" s="33"/>
    </row>
    <row r="35" spans="2:12" ht="15">
      <c r="B35" s="26"/>
      <c r="C35" s="37" t="s">
        <v>385</v>
      </c>
      <c r="D35" s="160"/>
      <c r="E35" s="160"/>
      <c r="F35" s="160"/>
      <c r="G35" s="160"/>
      <c r="H35" s="160"/>
      <c r="I35" s="33"/>
      <c r="J35" s="33"/>
      <c r="K35" s="33"/>
      <c r="L35" s="33"/>
    </row>
    <row r="36" spans="2:12">
      <c r="B36" s="26">
        <v>1</v>
      </c>
      <c r="C36" s="26"/>
      <c r="D36" s="160"/>
      <c r="E36" s="160"/>
      <c r="F36" s="160"/>
      <c r="G36" s="160"/>
      <c r="H36" s="160"/>
      <c r="I36" s="33"/>
      <c r="J36" s="33"/>
      <c r="K36" s="33"/>
      <c r="L36" s="33"/>
    </row>
    <row r="37" spans="2:12">
      <c r="B37" s="26">
        <v>2</v>
      </c>
      <c r="C37" s="26"/>
      <c r="D37" s="160"/>
      <c r="E37" s="160"/>
      <c r="F37" s="160"/>
      <c r="G37" s="160"/>
      <c r="H37" s="160"/>
      <c r="I37" s="33"/>
      <c r="J37" s="33"/>
      <c r="K37" s="33"/>
      <c r="L37" s="33"/>
    </row>
    <row r="38" spans="2:12">
      <c r="B38" s="26">
        <v>3</v>
      </c>
      <c r="C38" s="26"/>
      <c r="D38" s="160"/>
      <c r="E38" s="160"/>
      <c r="F38" s="160"/>
      <c r="G38" s="160"/>
      <c r="H38" s="160"/>
      <c r="I38" s="33"/>
      <c r="J38" s="33"/>
      <c r="K38" s="33"/>
      <c r="L38" s="33"/>
    </row>
    <row r="39" spans="2:12">
      <c r="B39" s="33"/>
      <c r="C39" s="33" t="s">
        <v>9</v>
      </c>
      <c r="D39" s="160"/>
      <c r="E39" s="160"/>
      <c r="F39" s="160"/>
      <c r="G39" s="160"/>
      <c r="H39" s="160"/>
      <c r="I39" s="33"/>
      <c r="J39" s="33"/>
      <c r="K39" s="33"/>
      <c r="L39" s="33"/>
    </row>
    <row r="40" spans="2:12" ht="15">
      <c r="B40" s="33"/>
      <c r="C40" s="29" t="s">
        <v>127</v>
      </c>
      <c r="D40" s="175"/>
      <c r="E40" s="160"/>
      <c r="F40" s="137">
        <f>SUM(F36:F39)</f>
        <v>0</v>
      </c>
      <c r="G40" s="137">
        <f>SUM(G36:G39)</f>
        <v>0</v>
      </c>
      <c r="H40" s="137">
        <f>SUM(H36:H39)</f>
        <v>0</v>
      </c>
      <c r="I40" s="33"/>
      <c r="J40" s="33"/>
      <c r="K40" s="33"/>
      <c r="L40" s="33"/>
    </row>
    <row r="41" spans="2:12" ht="15">
      <c r="B41" s="26"/>
      <c r="C41" s="37" t="s">
        <v>386</v>
      </c>
      <c r="D41" s="160"/>
      <c r="E41" s="160"/>
      <c r="F41" s="160"/>
      <c r="G41" s="160"/>
      <c r="H41" s="160"/>
      <c r="I41" s="33"/>
      <c r="J41" s="33"/>
      <c r="K41" s="33"/>
      <c r="L41" s="33"/>
    </row>
    <row r="42" spans="2:12">
      <c r="B42" s="26">
        <v>1</v>
      </c>
      <c r="C42" s="26"/>
      <c r="D42" s="160"/>
      <c r="E42" s="160"/>
      <c r="F42" s="160"/>
      <c r="G42" s="160"/>
      <c r="H42" s="160"/>
      <c r="I42" s="33"/>
      <c r="J42" s="33"/>
      <c r="K42" s="33"/>
      <c r="L42" s="33"/>
    </row>
    <row r="43" spans="2:12">
      <c r="B43" s="26">
        <v>2</v>
      </c>
      <c r="C43" s="26"/>
      <c r="D43" s="160"/>
      <c r="E43" s="160"/>
      <c r="F43" s="160"/>
      <c r="G43" s="160"/>
      <c r="H43" s="160"/>
      <c r="I43" s="33"/>
      <c r="J43" s="33"/>
      <c r="K43" s="33"/>
      <c r="L43" s="33"/>
    </row>
    <row r="44" spans="2:12">
      <c r="B44" s="26">
        <v>3</v>
      </c>
      <c r="C44" s="26"/>
      <c r="D44" s="160"/>
      <c r="E44" s="160"/>
      <c r="F44" s="160"/>
      <c r="G44" s="160"/>
      <c r="H44" s="160"/>
      <c r="I44" s="33"/>
      <c r="J44" s="33"/>
      <c r="K44" s="33"/>
      <c r="L44" s="33"/>
    </row>
    <row r="45" spans="2:12">
      <c r="B45" s="33"/>
      <c r="C45" s="33" t="s">
        <v>9</v>
      </c>
      <c r="D45" s="160"/>
      <c r="E45" s="160"/>
      <c r="F45" s="160"/>
      <c r="G45" s="160"/>
      <c r="H45" s="160"/>
      <c r="I45" s="33"/>
      <c r="J45" s="33"/>
      <c r="K45" s="33"/>
      <c r="L45" s="33"/>
    </row>
    <row r="46" spans="2:12" ht="15">
      <c r="B46" s="33"/>
      <c r="C46" s="29" t="s">
        <v>127</v>
      </c>
      <c r="D46" s="175"/>
      <c r="E46" s="160"/>
      <c r="F46" s="137">
        <f>SUM(F42:F45)</f>
        <v>0</v>
      </c>
      <c r="G46" s="137">
        <f>SUM(G42:G45)</f>
        <v>0</v>
      </c>
      <c r="H46" s="137">
        <f>SUM(H42:H45)</f>
        <v>0</v>
      </c>
      <c r="I46" s="33"/>
      <c r="J46" s="33"/>
      <c r="K46" s="33"/>
      <c r="L46" s="33"/>
    </row>
    <row r="47" spans="2:12" ht="15">
      <c r="B47" s="26"/>
      <c r="C47" s="37" t="s">
        <v>387</v>
      </c>
      <c r="D47" s="160"/>
      <c r="E47" s="160"/>
      <c r="F47" s="160"/>
      <c r="G47" s="160"/>
      <c r="H47" s="160"/>
      <c r="I47" s="33"/>
      <c r="J47" s="33"/>
      <c r="K47" s="33"/>
      <c r="L47" s="33"/>
    </row>
    <row r="48" spans="2:12">
      <c r="B48" s="26">
        <v>1</v>
      </c>
      <c r="C48" s="26"/>
      <c r="D48" s="160"/>
      <c r="E48" s="160"/>
      <c r="F48" s="160"/>
      <c r="G48" s="160"/>
      <c r="H48" s="160"/>
      <c r="I48" s="33"/>
      <c r="J48" s="33"/>
      <c r="K48" s="33"/>
      <c r="L48" s="33"/>
    </row>
    <row r="49" spans="2:12">
      <c r="B49" s="26">
        <v>2</v>
      </c>
      <c r="C49" s="26"/>
      <c r="D49" s="160"/>
      <c r="E49" s="160"/>
      <c r="F49" s="160"/>
      <c r="G49" s="160"/>
      <c r="H49" s="160"/>
      <c r="I49" s="33"/>
      <c r="J49" s="33"/>
      <c r="K49" s="33"/>
      <c r="L49" s="33"/>
    </row>
    <row r="50" spans="2:12">
      <c r="B50" s="26">
        <v>3</v>
      </c>
      <c r="C50" s="26"/>
      <c r="D50" s="160"/>
      <c r="E50" s="160"/>
      <c r="F50" s="160"/>
      <c r="G50" s="160"/>
      <c r="H50" s="160"/>
      <c r="I50" s="33"/>
      <c r="J50" s="33"/>
      <c r="K50" s="33"/>
      <c r="L50" s="33"/>
    </row>
    <row r="51" spans="2:12">
      <c r="B51" s="33"/>
      <c r="C51" s="33" t="s">
        <v>9</v>
      </c>
      <c r="D51" s="160"/>
      <c r="E51" s="160"/>
      <c r="F51" s="160"/>
      <c r="G51" s="160"/>
      <c r="H51" s="160"/>
      <c r="I51" s="33"/>
      <c r="J51" s="33"/>
      <c r="K51" s="33"/>
      <c r="L51" s="33"/>
    </row>
    <row r="52" spans="2:12" ht="15">
      <c r="B52" s="33"/>
      <c r="C52" s="29" t="s">
        <v>127</v>
      </c>
      <c r="D52" s="175"/>
      <c r="E52" s="160"/>
      <c r="F52" s="137">
        <f>SUM(F48:F51)</f>
        <v>0</v>
      </c>
      <c r="G52" s="137">
        <f>SUM(G48:G51)</f>
        <v>0</v>
      </c>
      <c r="H52" s="137">
        <f>SUM(H48:H51)</f>
        <v>0</v>
      </c>
      <c r="I52" s="33"/>
      <c r="J52" s="33"/>
      <c r="K52" s="33"/>
      <c r="L52" s="33"/>
    </row>
    <row r="53" spans="2:12" ht="15">
      <c r="B53" s="26"/>
      <c r="C53" s="37" t="s">
        <v>388</v>
      </c>
      <c r="D53" s="160"/>
      <c r="E53" s="160"/>
      <c r="F53" s="160"/>
      <c r="G53" s="160"/>
      <c r="H53" s="160"/>
      <c r="I53" s="33"/>
      <c r="J53" s="33"/>
      <c r="K53" s="33"/>
      <c r="L53" s="33"/>
    </row>
    <row r="54" spans="2:12">
      <c r="B54" s="26">
        <v>1</v>
      </c>
      <c r="C54" s="26"/>
      <c r="D54" s="160"/>
      <c r="E54" s="160"/>
      <c r="F54" s="160"/>
      <c r="G54" s="160"/>
      <c r="H54" s="160"/>
      <c r="I54" s="33"/>
      <c r="J54" s="33"/>
      <c r="K54" s="33"/>
      <c r="L54" s="33"/>
    </row>
    <row r="55" spans="2:12">
      <c r="B55" s="26">
        <v>2</v>
      </c>
      <c r="C55" s="26"/>
      <c r="D55" s="160"/>
      <c r="E55" s="160"/>
      <c r="F55" s="160"/>
      <c r="G55" s="160"/>
      <c r="H55" s="160"/>
      <c r="I55" s="33"/>
      <c r="J55" s="33"/>
      <c r="K55" s="33"/>
      <c r="L55" s="33"/>
    </row>
    <row r="56" spans="2:12">
      <c r="B56" s="26">
        <v>3</v>
      </c>
      <c r="C56" s="26"/>
      <c r="D56" s="160"/>
      <c r="E56" s="160"/>
      <c r="F56" s="160"/>
      <c r="G56" s="160"/>
      <c r="H56" s="160"/>
      <c r="I56" s="33"/>
      <c r="J56" s="33"/>
      <c r="K56" s="33"/>
      <c r="L56" s="33"/>
    </row>
    <row r="57" spans="2:12">
      <c r="B57" s="33"/>
      <c r="C57" s="33" t="s">
        <v>9</v>
      </c>
      <c r="D57" s="160"/>
      <c r="E57" s="160"/>
      <c r="F57" s="160"/>
      <c r="G57" s="160"/>
      <c r="H57" s="160"/>
      <c r="I57" s="33"/>
      <c r="J57" s="33"/>
      <c r="K57" s="33"/>
      <c r="L57" s="33"/>
    </row>
    <row r="58" spans="2:12" ht="15">
      <c r="B58" s="33"/>
      <c r="C58" s="29" t="s">
        <v>127</v>
      </c>
      <c r="D58" s="137">
        <f>SUM(D54:D57)</f>
        <v>0</v>
      </c>
      <c r="E58" s="160"/>
      <c r="F58" s="137">
        <f>SUM(F54:F57)</f>
        <v>0</v>
      </c>
      <c r="G58" s="137">
        <f>SUM(G54:G57)</f>
        <v>0</v>
      </c>
      <c r="H58" s="137">
        <f>SUM(H54:H57)</f>
        <v>0</v>
      </c>
      <c r="I58" s="33"/>
      <c r="J58" s="33"/>
      <c r="K58" s="33"/>
      <c r="L58" s="33"/>
    </row>
    <row r="59" spans="2:12">
      <c r="B59" s="68" t="s">
        <v>256</v>
      </c>
      <c r="C59" s="56" t="s">
        <v>257</v>
      </c>
    </row>
  </sheetData>
  <mergeCells count="3">
    <mergeCell ref="B2:L2"/>
    <mergeCell ref="B3:L3"/>
    <mergeCell ref="B4:L4"/>
  </mergeCells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H25" sqref="H25"/>
    </sheetView>
  </sheetViews>
  <sheetFormatPr defaultColWidth="9.28515625" defaultRowHeight="14.25"/>
  <cols>
    <col min="1" max="2" width="9.28515625" style="109"/>
    <col min="3" max="3" width="23.7109375" style="109" customWidth="1"/>
    <col min="4" max="4" width="13" style="109" customWidth="1"/>
    <col min="5" max="5" width="11.140625" style="109" customWidth="1"/>
    <col min="6" max="6" width="12.5703125" style="109" customWidth="1"/>
    <col min="7" max="7" width="14.140625" style="109" customWidth="1"/>
    <col min="8" max="10" width="15.7109375" style="109" customWidth="1"/>
    <col min="11" max="16384" width="9.28515625" style="109"/>
  </cols>
  <sheetData>
    <row r="2" spans="2:10" ht="14.25" customHeight="1">
      <c r="B2" s="240" t="s">
        <v>408</v>
      </c>
      <c r="C2" s="240"/>
      <c r="D2" s="240"/>
      <c r="E2" s="240"/>
      <c r="F2" s="240"/>
      <c r="G2" s="240"/>
      <c r="H2" s="240"/>
      <c r="I2" s="240"/>
      <c r="J2" s="240"/>
    </row>
    <row r="3" spans="2:10" ht="14.25" customHeight="1">
      <c r="B3" s="240" t="s">
        <v>381</v>
      </c>
      <c r="C3" s="240"/>
      <c r="D3" s="240"/>
      <c r="E3" s="240"/>
      <c r="F3" s="240"/>
      <c r="G3" s="240"/>
      <c r="H3" s="240"/>
      <c r="I3" s="240"/>
      <c r="J3" s="240"/>
    </row>
    <row r="4" spans="2:10" ht="14.25" customHeight="1">
      <c r="B4" s="241" t="s">
        <v>308</v>
      </c>
      <c r="C4" s="241"/>
      <c r="D4" s="241"/>
      <c r="E4" s="241"/>
      <c r="F4" s="241"/>
      <c r="G4" s="241"/>
      <c r="H4" s="241"/>
      <c r="I4" s="241"/>
      <c r="J4" s="241"/>
    </row>
    <row r="6" spans="2:10" ht="15" customHeight="1">
      <c r="B6" s="235" t="s">
        <v>186</v>
      </c>
      <c r="C6" s="247" t="s">
        <v>18</v>
      </c>
      <c r="D6" s="235" t="s">
        <v>382</v>
      </c>
      <c r="E6" s="217" t="s">
        <v>383</v>
      </c>
      <c r="F6" s="235" t="s">
        <v>225</v>
      </c>
      <c r="G6" s="235"/>
      <c r="H6" s="235"/>
      <c r="I6" s="235"/>
      <c r="J6" s="235"/>
    </row>
    <row r="7" spans="2:10" ht="15">
      <c r="B7" s="235"/>
      <c r="C7" s="247"/>
      <c r="D7" s="235"/>
      <c r="E7" s="21" t="s">
        <v>244</v>
      </c>
      <c r="F7" s="21" t="s">
        <v>384</v>
      </c>
      <c r="G7" s="21" t="s">
        <v>385</v>
      </c>
      <c r="H7" s="21" t="s">
        <v>386</v>
      </c>
      <c r="I7" s="21" t="s">
        <v>387</v>
      </c>
      <c r="J7" s="21" t="s">
        <v>388</v>
      </c>
    </row>
    <row r="8" spans="2:10" ht="15">
      <c r="B8" s="235"/>
      <c r="C8" s="247"/>
      <c r="D8" s="110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11">
        <v>1</v>
      </c>
      <c r="C9" s="34" t="s">
        <v>309</v>
      </c>
      <c r="D9" s="132">
        <f>F3.1!H17</f>
        <v>0.78516617599999994</v>
      </c>
      <c r="E9" s="132">
        <f>F3.1!H28</f>
        <v>1.8197475000000001</v>
      </c>
      <c r="F9" s="132">
        <f>F3.1!H34</f>
        <v>7.09</v>
      </c>
      <c r="G9" s="132">
        <f>F3.1!H40</f>
        <v>0</v>
      </c>
      <c r="H9" s="132">
        <f>F3.1!H46</f>
        <v>0</v>
      </c>
      <c r="I9" s="132">
        <f>F3.1!H52</f>
        <v>0</v>
      </c>
      <c r="J9" s="132">
        <f>F3.1!H58</f>
        <v>0</v>
      </c>
    </row>
    <row r="10" spans="2:10">
      <c r="B10" s="34"/>
      <c r="C10" s="34"/>
      <c r="D10" s="121"/>
      <c r="E10" s="121"/>
      <c r="F10" s="121"/>
      <c r="G10" s="121"/>
      <c r="H10" s="121"/>
      <c r="I10" s="121"/>
      <c r="J10" s="121"/>
    </row>
    <row r="11" spans="2:10" ht="15">
      <c r="B11" s="111">
        <v>2</v>
      </c>
      <c r="C11" s="112" t="s">
        <v>176</v>
      </c>
      <c r="D11" s="121"/>
      <c r="E11" s="121"/>
      <c r="F11" s="121"/>
      <c r="G11" s="121"/>
      <c r="H11" s="121"/>
      <c r="I11" s="121"/>
      <c r="J11" s="121"/>
    </row>
    <row r="12" spans="2:10">
      <c r="B12" s="34"/>
      <c r="C12" s="34" t="s">
        <v>185</v>
      </c>
      <c r="D12" s="121"/>
      <c r="E12" s="121"/>
      <c r="F12" s="121"/>
      <c r="G12" s="121"/>
      <c r="H12" s="121"/>
      <c r="I12" s="121"/>
      <c r="J12" s="121"/>
    </row>
    <row r="13" spans="2:10">
      <c r="B13" s="34"/>
      <c r="C13" s="34" t="s">
        <v>184</v>
      </c>
      <c r="D13" s="121"/>
      <c r="E13" s="121"/>
      <c r="F13" s="121"/>
      <c r="G13" s="121"/>
      <c r="H13" s="121"/>
      <c r="I13" s="121"/>
      <c r="J13" s="121"/>
    </row>
    <row r="14" spans="2:10">
      <c r="B14" s="34"/>
      <c r="C14" s="34" t="s">
        <v>9</v>
      </c>
      <c r="D14" s="121"/>
      <c r="E14" s="121"/>
      <c r="F14" s="121"/>
      <c r="G14" s="121"/>
      <c r="H14" s="121"/>
      <c r="I14" s="121"/>
      <c r="J14" s="121"/>
    </row>
    <row r="15" spans="2:10" ht="15">
      <c r="B15" s="34"/>
      <c r="C15" s="112" t="s">
        <v>174</v>
      </c>
      <c r="D15" s="132">
        <f>SUM(D12:D14)</f>
        <v>0</v>
      </c>
      <c r="E15" s="132">
        <f>SUM(E12:E14)</f>
        <v>0</v>
      </c>
      <c r="F15" s="132">
        <f t="shared" ref="F15:J15" si="0">SUM(F12:F14)</f>
        <v>0</v>
      </c>
      <c r="G15" s="132">
        <f t="shared" si="0"/>
        <v>0</v>
      </c>
      <c r="H15" s="132">
        <f t="shared" si="0"/>
        <v>0</v>
      </c>
      <c r="I15" s="132">
        <f t="shared" si="0"/>
        <v>0</v>
      </c>
      <c r="J15" s="132">
        <f t="shared" si="0"/>
        <v>0</v>
      </c>
    </row>
    <row r="16" spans="2:10">
      <c r="B16" s="34"/>
      <c r="C16" s="34"/>
      <c r="D16" s="121"/>
      <c r="E16" s="121"/>
      <c r="F16" s="121"/>
      <c r="G16" s="121"/>
      <c r="H16" s="121"/>
      <c r="I16" s="121"/>
      <c r="J16" s="121"/>
    </row>
    <row r="17" spans="2:10">
      <c r="B17" s="111">
        <v>3</v>
      </c>
      <c r="C17" s="34" t="s">
        <v>0</v>
      </c>
      <c r="D17" s="121">
        <f>D9*30%</f>
        <v>0.23554985279999996</v>
      </c>
      <c r="E17" s="121">
        <f>E9*30%</f>
        <v>0.54592425</v>
      </c>
      <c r="F17" s="121">
        <f>F9*25%</f>
        <v>1.7725</v>
      </c>
      <c r="G17" s="121"/>
      <c r="H17" s="121"/>
      <c r="I17" s="121"/>
      <c r="J17" s="121"/>
    </row>
    <row r="18" spans="2:10">
      <c r="B18" s="111">
        <v>4</v>
      </c>
      <c r="C18" s="34" t="s">
        <v>177</v>
      </c>
      <c r="D18" s="121">
        <f>D9*70%</f>
        <v>0.54961632319999987</v>
      </c>
      <c r="E18" s="121">
        <f>E9*70%</f>
        <v>1.27382325</v>
      </c>
      <c r="F18" s="121">
        <f>F9*75%</f>
        <v>5.3174999999999999</v>
      </c>
      <c r="G18" s="121"/>
      <c r="H18" s="121"/>
      <c r="I18" s="121"/>
      <c r="J18" s="121"/>
    </row>
    <row r="19" spans="2:10">
      <c r="B19" s="111">
        <v>5</v>
      </c>
      <c r="C19" s="34" t="s">
        <v>310</v>
      </c>
      <c r="D19" s="121"/>
      <c r="E19" s="121"/>
      <c r="F19" s="121"/>
      <c r="G19" s="121"/>
      <c r="H19" s="121"/>
      <c r="I19" s="121"/>
      <c r="J19" s="121"/>
    </row>
    <row r="20" spans="2:10" ht="15">
      <c r="B20" s="34"/>
      <c r="C20" s="34"/>
      <c r="D20" s="128"/>
      <c r="E20" s="128"/>
      <c r="F20" s="128"/>
      <c r="G20" s="128"/>
      <c r="H20" s="128"/>
      <c r="I20" s="128"/>
      <c r="J20" s="128"/>
    </row>
    <row r="21" spans="2:10" ht="15">
      <c r="B21" s="111">
        <v>6</v>
      </c>
      <c r="C21" s="112" t="s">
        <v>311</v>
      </c>
      <c r="D21" s="132">
        <f>D15+D17+D18+D19</f>
        <v>0.78516617599999983</v>
      </c>
      <c r="E21" s="132">
        <f>E15+E17+E18+E19</f>
        <v>1.8197475000000001</v>
      </c>
      <c r="F21" s="132">
        <f t="shared" ref="F21:J21" si="1">F15+F17+F18+F19</f>
        <v>7.09</v>
      </c>
      <c r="G21" s="132">
        <f t="shared" si="1"/>
        <v>0</v>
      </c>
      <c r="H21" s="132">
        <f t="shared" si="1"/>
        <v>0</v>
      </c>
      <c r="I21" s="132">
        <f t="shared" si="1"/>
        <v>0</v>
      </c>
      <c r="J21" s="132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2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2024-09-21T06:10:49Z</cp:lastPrinted>
  <dcterms:created xsi:type="dcterms:W3CDTF">2004-07-28T05:30:50Z</dcterms:created>
  <dcterms:modified xsi:type="dcterms:W3CDTF">2024-09-22T12:50:34Z</dcterms:modified>
</cp:coreProperties>
</file>