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140" yWindow="0" windowWidth="10455" windowHeight="10905" tabRatio="713" activeTab="6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4" sheetId="72" r:id="rId17"/>
    <sheet name="F15" sheetId="91" r:id="rId18"/>
    <sheet name="Sheet1" sheetId="110" r:id="rId19"/>
  </sheets>
  <externalReferences>
    <externalReference r:id="rId20"/>
    <externalReference r:id="rId21"/>
    <externalReference r:id="rId22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5725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09"/>
  <c r="H54" i="101" l="1"/>
  <c r="G54"/>
  <c r="M11" i="93" s="1"/>
  <c r="F54" i="101"/>
  <c r="D54"/>
  <c r="H48"/>
  <c r="G48"/>
  <c r="L11" i="93" s="1"/>
  <c r="F48" i="101"/>
  <c r="H42"/>
  <c r="G42"/>
  <c r="K11" i="93" s="1"/>
  <c r="F42" i="101"/>
  <c r="H36"/>
  <c r="G9" i="109" s="1"/>
  <c r="G36" i="101"/>
  <c r="J11" i="93" s="1"/>
  <c r="F36" i="101"/>
  <c r="H30"/>
  <c r="G30"/>
  <c r="I11" i="93" s="1"/>
  <c r="F30" i="101"/>
  <c r="G27"/>
  <c r="H22"/>
  <c r="G22"/>
  <c r="F22"/>
  <c r="H15"/>
  <c r="G15"/>
  <c r="F15"/>
  <c r="H8"/>
  <c r="G8"/>
  <c r="D71" i="71"/>
  <c r="E71"/>
  <c r="F71"/>
  <c r="G71"/>
  <c r="H71"/>
  <c r="I71"/>
  <c r="J71"/>
  <c r="K71"/>
  <c r="L71"/>
  <c r="M71"/>
  <c r="N71"/>
  <c r="C71"/>
  <c r="D61"/>
  <c r="E61"/>
  <c r="F61"/>
  <c r="G61"/>
  <c r="H61"/>
  <c r="I61"/>
  <c r="J61"/>
  <c r="K61"/>
  <c r="L61"/>
  <c r="M61"/>
  <c r="N61"/>
  <c r="C61"/>
  <c r="D51"/>
  <c r="E51"/>
  <c r="F51"/>
  <c r="G51"/>
  <c r="H51"/>
  <c r="I51"/>
  <c r="J51"/>
  <c r="K51"/>
  <c r="L51"/>
  <c r="M51"/>
  <c r="N51"/>
  <c r="C51"/>
  <c r="D41"/>
  <c r="E41"/>
  <c r="F41"/>
  <c r="G41"/>
  <c r="H41"/>
  <c r="I41"/>
  <c r="J41"/>
  <c r="K41"/>
  <c r="L41"/>
  <c r="M41"/>
  <c r="N41"/>
  <c r="C41"/>
  <c r="D31"/>
  <c r="E31"/>
  <c r="F31"/>
  <c r="G31"/>
  <c r="H31"/>
  <c r="I31"/>
  <c r="J31"/>
  <c r="K31"/>
  <c r="L31"/>
  <c r="M31"/>
  <c r="N31"/>
  <c r="C31"/>
  <c r="D22"/>
  <c r="E22"/>
  <c r="F22"/>
  <c r="G22"/>
  <c r="H22"/>
  <c r="C22"/>
  <c r="D12"/>
  <c r="E12"/>
  <c r="F12"/>
  <c r="G12"/>
  <c r="H12"/>
  <c r="I12"/>
  <c r="J12"/>
  <c r="K12"/>
  <c r="L12"/>
  <c r="M12"/>
  <c r="N12"/>
  <c r="C12"/>
  <c r="F14" i="58"/>
  <c r="I12" i="93" l="1"/>
  <c r="F9" i="109"/>
  <c r="F18" s="1"/>
  <c r="J14" i="103"/>
  <c r="J12" i="93"/>
  <c r="K14" i="103"/>
  <c r="K12" i="93"/>
  <c r="L14" i="103"/>
  <c r="L12" i="93"/>
  <c r="M14" i="103"/>
  <c r="M12" i="93"/>
  <c r="I11" i="105"/>
  <c r="I12" s="1"/>
  <c r="I14" i="103"/>
  <c r="B27" i="102"/>
  <c r="B28" s="1"/>
  <c r="B29" s="1"/>
  <c r="B30" s="1"/>
  <c r="B31" s="1"/>
  <c r="B32" s="1"/>
  <c r="B33" s="1"/>
  <c r="B34" s="1"/>
  <c r="B35" s="1"/>
  <c r="B36" s="1"/>
  <c r="N20" i="71"/>
  <c r="M20"/>
  <c r="L20"/>
  <c r="K20"/>
  <c r="J20"/>
  <c r="I20"/>
  <c r="N18"/>
  <c r="M18"/>
  <c r="L18"/>
  <c r="K18"/>
  <c r="J18"/>
  <c r="I18"/>
  <c r="O69"/>
  <c r="O67"/>
  <c r="O59"/>
  <c r="O57"/>
  <c r="O49"/>
  <c r="O47"/>
  <c r="O39"/>
  <c r="O37"/>
  <c r="O29"/>
  <c r="O27"/>
  <c r="O10"/>
  <c r="O8"/>
  <c r="G15" i="103"/>
  <c r="K12" i="102"/>
  <c r="J12"/>
  <c r="F12"/>
  <c r="O51" i="71" l="1"/>
  <c r="O71"/>
  <c r="O61"/>
  <c r="O41"/>
  <c r="O31"/>
  <c r="L22"/>
  <c r="O12"/>
  <c r="K22"/>
  <c r="J22"/>
  <c r="N22"/>
  <c r="I22"/>
  <c r="M22"/>
  <c r="O20"/>
  <c r="O18"/>
  <c r="H14" i="66"/>
  <c r="G13" i="104" s="1"/>
  <c r="E14" i="66"/>
  <c r="D12" i="105"/>
  <c r="O22" i="71" l="1"/>
  <c r="L83" i="102"/>
  <c r="H83"/>
  <c r="G83"/>
  <c r="L74"/>
  <c r="H74"/>
  <c r="G74"/>
  <c r="L65"/>
  <c r="H65"/>
  <c r="G65"/>
  <c r="L56"/>
  <c r="H56"/>
  <c r="G56"/>
  <c r="L47"/>
  <c r="H47"/>
  <c r="H14" i="103"/>
  <c r="L21" i="102" l="1"/>
  <c r="G21"/>
  <c r="H21"/>
  <c r="F21"/>
  <c r="D14" i="103" l="1"/>
  <c r="E14" s="1"/>
  <c r="D10" i="105"/>
  <c r="E10"/>
  <c r="F10" s="1"/>
  <c r="D10" i="103"/>
  <c r="I12" i="102"/>
  <c r="F29" s="1"/>
  <c r="I29" s="1"/>
  <c r="N11"/>
  <c r="I11"/>
  <c r="F28" s="1"/>
  <c r="I28" s="1"/>
  <c r="N10"/>
  <c r="M10"/>
  <c r="I10"/>
  <c r="F27" s="1"/>
  <c r="I27" s="1"/>
  <c r="N9"/>
  <c r="I9"/>
  <c r="F26" s="1"/>
  <c r="N16"/>
  <c r="M16"/>
  <c r="I16"/>
  <c r="F33" s="1"/>
  <c r="I33" s="1"/>
  <c r="N15"/>
  <c r="I15"/>
  <c r="F32" s="1"/>
  <c r="I32" s="1"/>
  <c r="N14"/>
  <c r="M14"/>
  <c r="I14"/>
  <c r="F31" s="1"/>
  <c r="I31" s="1"/>
  <c r="N13"/>
  <c r="I13"/>
  <c r="H34" i="67"/>
  <c r="I34"/>
  <c r="E34"/>
  <c r="F34"/>
  <c r="G34"/>
  <c r="D34"/>
  <c r="G22" i="106"/>
  <c r="Q15" i="91"/>
  <c r="Q14"/>
  <c r="M13" i="102" l="1"/>
  <c r="O13" s="1"/>
  <c r="F30"/>
  <c r="I30" s="1"/>
  <c r="E10" i="103"/>
  <c r="H10" s="1"/>
  <c r="I10" s="1"/>
  <c r="F10"/>
  <c r="G10"/>
  <c r="M9" i="102"/>
  <c r="O9" s="1"/>
  <c r="O10"/>
  <c r="M11"/>
  <c r="O11" s="1"/>
  <c r="O16"/>
  <c r="O14"/>
  <c r="M15"/>
  <c r="O15" s="1"/>
  <c r="P25" i="91"/>
  <c r="O25"/>
  <c r="N25"/>
  <c r="M25"/>
  <c r="L25"/>
  <c r="K25"/>
  <c r="J25"/>
  <c r="I25"/>
  <c r="H25"/>
  <c r="G25"/>
  <c r="F25"/>
  <c r="E25"/>
  <c r="Q21"/>
  <c r="Q25" s="1"/>
  <c r="Q30" s="1"/>
  <c r="Q19"/>
  <c r="G12" i="105" l="1"/>
  <c r="D38" i="68" l="1"/>
  <c r="D40" s="1"/>
  <c r="D18" i="69"/>
  <c r="D21" s="1"/>
  <c r="D15" i="109"/>
  <c r="D54" i="103"/>
  <c r="D15"/>
  <c r="D17" s="1"/>
  <c r="D14" i="105"/>
  <c r="G10" s="1"/>
  <c r="G12" i="103"/>
  <c r="N17" i="102"/>
  <c r="I17"/>
  <c r="F34" s="1"/>
  <c r="I34" s="1"/>
  <c r="D22" i="106"/>
  <c r="N18" i="72"/>
  <c r="J18"/>
  <c r="G18"/>
  <c r="C18"/>
  <c r="E30" i="91"/>
  <c r="E16"/>
  <c r="M17" i="102" l="1"/>
  <c r="O17" l="1"/>
  <c r="D13" i="104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6" i="67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H11"/>
  <c r="J15" i="109"/>
  <c r="J21" s="1"/>
  <c r="I15"/>
  <c r="I21" s="1"/>
  <c r="H15"/>
  <c r="H21" s="1"/>
  <c r="G15"/>
  <c r="G21" s="1"/>
  <c r="F15"/>
  <c r="F21" s="1"/>
  <c r="J61" i="103"/>
  <c r="I61"/>
  <c r="H61"/>
  <c r="G61"/>
  <c r="F61"/>
  <c r="E61"/>
  <c r="D61"/>
  <c r="J56"/>
  <c r="I56"/>
  <c r="H56"/>
  <c r="G56"/>
  <c r="F56"/>
  <c r="E56"/>
  <c r="D56"/>
  <c r="J55"/>
  <c r="I55"/>
  <c r="H55"/>
  <c r="G55"/>
  <c r="F55"/>
  <c r="E55"/>
  <c r="D55"/>
  <c r="J54"/>
  <c r="I54"/>
  <c r="H54"/>
  <c r="G54"/>
  <c r="F54"/>
  <c r="E54"/>
  <c r="J46"/>
  <c r="J47" s="1"/>
  <c r="J49" s="1"/>
  <c r="J51" s="1"/>
  <c r="I46"/>
  <c r="I47" s="1"/>
  <c r="I49" s="1"/>
  <c r="I51" s="1"/>
  <c r="H46"/>
  <c r="H47" s="1"/>
  <c r="H49" s="1"/>
  <c r="H51" s="1"/>
  <c r="G46"/>
  <c r="G47" s="1"/>
  <c r="G49" s="1"/>
  <c r="G51" s="1"/>
  <c r="F46"/>
  <c r="F47" s="1"/>
  <c r="F49" s="1"/>
  <c r="F51" s="1"/>
  <c r="E46"/>
  <c r="E47" s="1"/>
  <c r="E49" s="1"/>
  <c r="E51" s="1"/>
  <c r="D46"/>
  <c r="J36"/>
  <c r="J37" s="1"/>
  <c r="J39" s="1"/>
  <c r="I36"/>
  <c r="I37" s="1"/>
  <c r="I39" s="1"/>
  <c r="H36"/>
  <c r="H37" s="1"/>
  <c r="H39" s="1"/>
  <c r="G36"/>
  <c r="G37" s="1"/>
  <c r="G39" s="1"/>
  <c r="F36"/>
  <c r="F37" s="1"/>
  <c r="F39" s="1"/>
  <c r="E36"/>
  <c r="E37" s="1"/>
  <c r="E39" s="1"/>
  <c r="D36"/>
  <c r="D37" s="1"/>
  <c r="D39" s="1"/>
  <c r="D41" s="1"/>
  <c r="G17"/>
  <c r="D18" i="105"/>
  <c r="M18"/>
  <c r="L18"/>
  <c r="K18"/>
  <c r="J18"/>
  <c r="I18"/>
  <c r="H18"/>
  <c r="G18"/>
  <c r="F18"/>
  <c r="E18"/>
  <c r="G14"/>
  <c r="L38" i="102"/>
  <c r="H38"/>
  <c r="N20"/>
  <c r="I20"/>
  <c r="N19"/>
  <c r="I19"/>
  <c r="F36" s="1"/>
  <c r="I36" s="1"/>
  <c r="N18"/>
  <c r="I18"/>
  <c r="N27" l="1"/>
  <c r="F35"/>
  <c r="I35" s="1"/>
  <c r="M20"/>
  <c r="F37"/>
  <c r="M18"/>
  <c r="I21"/>
  <c r="F38" s="1"/>
  <c r="L14" i="66"/>
  <c r="I14"/>
  <c r="H13" i="104" s="1"/>
  <c r="D47" i="103"/>
  <c r="D49" s="1"/>
  <c r="H57"/>
  <c r="H58" s="1"/>
  <c r="J11" i="105"/>
  <c r="J12" s="1"/>
  <c r="D9" i="109"/>
  <c r="D18" s="1"/>
  <c r="D21" s="1"/>
  <c r="E12" i="93"/>
  <c r="F12" s="1"/>
  <c r="E11" i="105"/>
  <c r="E12" s="1"/>
  <c r="F14" i="66"/>
  <c r="E13" i="104" s="1"/>
  <c r="E57" i="103"/>
  <c r="E58" s="1"/>
  <c r="J10"/>
  <c r="G46" i="102"/>
  <c r="G47" s="1"/>
  <c r="J9" i="109"/>
  <c r="M11" i="105"/>
  <c r="M12" s="1"/>
  <c r="D20"/>
  <c r="D21" s="1"/>
  <c r="D22" s="1"/>
  <c r="E9" i="109"/>
  <c r="E18" s="1"/>
  <c r="E21" s="1"/>
  <c r="H12" i="93"/>
  <c r="G38" i="102" s="1"/>
  <c r="H11" i="105"/>
  <c r="H12" s="1"/>
  <c r="I9" i="109"/>
  <c r="L11" i="105"/>
  <c r="L12" s="1"/>
  <c r="M12" i="66"/>
  <c r="M14" s="1"/>
  <c r="G14"/>
  <c r="F13" i="104" s="1"/>
  <c r="H9" i="109"/>
  <c r="K11" i="105"/>
  <c r="K12" s="1"/>
  <c r="F11" i="93"/>
  <c r="J14" i="66"/>
  <c r="N14"/>
  <c r="K14"/>
  <c r="I11" i="58"/>
  <c r="G14" i="104" s="1"/>
  <c r="I57" i="103"/>
  <c r="I58" s="1"/>
  <c r="M19" i="102"/>
  <c r="O19" s="1"/>
  <c r="G57" i="103"/>
  <c r="G58" s="1"/>
  <c r="F57"/>
  <c r="F58" s="1"/>
  <c r="G20" i="69"/>
  <c r="F11" i="58"/>
  <c r="D14" i="104" s="1"/>
  <c r="H60" i="103"/>
  <c r="H41"/>
  <c r="G41"/>
  <c r="G60"/>
  <c r="I41"/>
  <c r="I60"/>
  <c r="J60"/>
  <c r="J41"/>
  <c r="F60"/>
  <c r="F41"/>
  <c r="E41"/>
  <c r="E60"/>
  <c r="D57"/>
  <c r="D58" s="1"/>
  <c r="J57"/>
  <c r="J58" s="1"/>
  <c r="F13" i="58"/>
  <c r="G16" i="103"/>
  <c r="G18" s="1"/>
  <c r="G20" s="1"/>
  <c r="I13" i="58" s="1"/>
  <c r="E20" i="105"/>
  <c r="F20"/>
  <c r="G20"/>
  <c r="N26" i="102"/>
  <c r="N28"/>
  <c r="I26"/>
  <c r="F45"/>
  <c r="I45" s="1"/>
  <c r="F54" s="1"/>
  <c r="I54" s="1"/>
  <c r="F63" s="1"/>
  <c r="O20"/>
  <c r="O18"/>
  <c r="K10" i="103" l="1"/>
  <c r="L10" s="1"/>
  <c r="M10" s="1"/>
  <c r="H59"/>
  <c r="J11" i="58"/>
  <c r="H14" i="104" s="1"/>
  <c r="F13" i="93"/>
  <c r="H20" i="69"/>
  <c r="H21" s="1"/>
  <c r="M11" i="58"/>
  <c r="K13" i="104" s="1"/>
  <c r="H11" i="58"/>
  <c r="F14" i="104" s="1"/>
  <c r="N11" i="58"/>
  <c r="L13" i="104" s="1"/>
  <c r="D51" i="103"/>
  <c r="D60"/>
  <c r="D59" s="1"/>
  <c r="F14"/>
  <c r="G59"/>
  <c r="G11" i="58"/>
  <c r="E14" i="104" s="1"/>
  <c r="E13" i="93"/>
  <c r="H10" s="1"/>
  <c r="H13" s="1"/>
  <c r="I10" s="1"/>
  <c r="I13" s="1"/>
  <c r="J10" s="1"/>
  <c r="J13" s="1"/>
  <c r="K10" s="1"/>
  <c r="K13" s="1"/>
  <c r="E14" i="105"/>
  <c r="F11"/>
  <c r="E59" i="103"/>
  <c r="J59"/>
  <c r="F59"/>
  <c r="I59"/>
  <c r="I63" i="102"/>
  <c r="F72" s="1"/>
  <c r="N63"/>
  <c r="K45"/>
  <c r="M45" s="1"/>
  <c r="O45" s="1"/>
  <c r="G21" i="69"/>
  <c r="L11" i="58"/>
  <c r="J13" i="104" s="1"/>
  <c r="N54" i="102"/>
  <c r="N37"/>
  <c r="I37"/>
  <c r="N45"/>
  <c r="K11" i="58"/>
  <c r="I13" i="104" s="1"/>
  <c r="M26" i="102"/>
  <c r="O26" s="1"/>
  <c r="F43"/>
  <c r="M27"/>
  <c r="O27" s="1"/>
  <c r="F44"/>
  <c r="O11" i="58"/>
  <c r="M13" i="104" s="1"/>
  <c r="F62" i="103"/>
  <c r="I62"/>
  <c r="G62"/>
  <c r="J62"/>
  <c r="E62"/>
  <c r="H62"/>
  <c r="G21" i="105"/>
  <c r="G22" s="1"/>
  <c r="I15" i="58" s="1"/>
  <c r="F15"/>
  <c r="K54" i="102"/>
  <c r="M54" s="1"/>
  <c r="O54" s="1"/>
  <c r="M28"/>
  <c r="O28" s="1"/>
  <c r="K63" l="1"/>
  <c r="M63" s="1"/>
  <c r="O63" s="1"/>
  <c r="F12" i="105"/>
  <c r="F14" s="1"/>
  <c r="F21" s="1"/>
  <c r="F22" s="1"/>
  <c r="H15" i="58" s="1"/>
  <c r="I38" i="102"/>
  <c r="E21" i="105"/>
  <c r="E22" s="1"/>
  <c r="G15" i="58" s="1"/>
  <c r="H10" i="105"/>
  <c r="L10" i="93"/>
  <c r="L13" s="1"/>
  <c r="D62" i="103"/>
  <c r="E21" i="102"/>
  <c r="H12" i="58"/>
  <c r="F15" i="103" s="1"/>
  <c r="N72" i="102"/>
  <c r="I72"/>
  <c r="F81" s="1"/>
  <c r="I44"/>
  <c r="F53" s="1"/>
  <c r="N44"/>
  <c r="I43"/>
  <c r="N43"/>
  <c r="F46"/>
  <c r="K37"/>
  <c r="M37" s="1"/>
  <c r="O37" s="1"/>
  <c r="F47" l="1"/>
  <c r="F17" i="103"/>
  <c r="G12" i="58"/>
  <c r="E15" i="103" s="1"/>
  <c r="H20" i="105"/>
  <c r="H14"/>
  <c r="I10" s="1"/>
  <c r="M10" i="93"/>
  <c r="M13" s="1"/>
  <c r="E38" i="102"/>
  <c r="K44"/>
  <c r="M44" s="1"/>
  <c r="O44" s="1"/>
  <c r="F52"/>
  <c r="K43"/>
  <c r="N53"/>
  <c r="I53"/>
  <c r="F62" s="1"/>
  <c r="N46"/>
  <c r="I46"/>
  <c r="K72"/>
  <c r="M72" s="1"/>
  <c r="O72" s="1"/>
  <c r="I81"/>
  <c r="N81"/>
  <c r="I47" l="1"/>
  <c r="I14" i="104"/>
  <c r="E17" i="103"/>
  <c r="J12" i="58"/>
  <c r="H15" i="103" s="1"/>
  <c r="I20" i="105"/>
  <c r="I14"/>
  <c r="J10" s="1"/>
  <c r="H21"/>
  <c r="H22" s="1"/>
  <c r="J15" i="58" s="1"/>
  <c r="I20" i="69"/>
  <c r="I21" s="1"/>
  <c r="K53" i="102"/>
  <c r="M53" s="1"/>
  <c r="O53" s="1"/>
  <c r="M43"/>
  <c r="N62"/>
  <c r="I62"/>
  <c r="N52"/>
  <c r="I52"/>
  <c r="K52" s="1"/>
  <c r="F55"/>
  <c r="K81"/>
  <c r="M81" s="1"/>
  <c r="O81" s="1"/>
  <c r="K46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M18" i="72"/>
  <c r="L18"/>
  <c r="K18"/>
  <c r="F18"/>
  <c r="E18"/>
  <c r="D18"/>
  <c r="Q16" i="91"/>
  <c r="P16"/>
  <c r="O16"/>
  <c r="N16"/>
  <c r="M16"/>
  <c r="L16"/>
  <c r="K16"/>
  <c r="J16"/>
  <c r="I16"/>
  <c r="H16"/>
  <c r="G16"/>
  <c r="F16"/>
  <c r="P30"/>
  <c r="O30"/>
  <c r="N30"/>
  <c r="M30"/>
  <c r="L30"/>
  <c r="K30"/>
  <c r="J30"/>
  <c r="I30"/>
  <c r="H30"/>
  <c r="G30"/>
  <c r="F30"/>
  <c r="F56" i="102" l="1"/>
  <c r="I21" i="105"/>
  <c r="I22" s="1"/>
  <c r="K15" i="58" s="1"/>
  <c r="H17" i="103"/>
  <c r="M46" i="102"/>
  <c r="O46" s="1"/>
  <c r="J20" i="105"/>
  <c r="J14"/>
  <c r="K10" s="1"/>
  <c r="O43" i="102"/>
  <c r="M52"/>
  <c r="O52" s="1"/>
  <c r="K62"/>
  <c r="M62" s="1"/>
  <c r="O62" s="1"/>
  <c r="F71"/>
  <c r="N55"/>
  <c r="I55"/>
  <c r="F64" s="1"/>
  <c r="F61"/>
  <c r="J20" i="69" l="1"/>
  <c r="J21" s="1"/>
  <c r="I56" i="102"/>
  <c r="J14" i="104"/>
  <c r="K20" i="105"/>
  <c r="K14"/>
  <c r="L10" s="1"/>
  <c r="J21"/>
  <c r="J22" s="1"/>
  <c r="L15" i="58" s="1"/>
  <c r="E47" i="102"/>
  <c r="K12" i="58"/>
  <c r="I15" i="103" s="1"/>
  <c r="K55" i="102"/>
  <c r="I61"/>
  <c r="N61"/>
  <c r="N64"/>
  <c r="I64"/>
  <c r="F73" s="1"/>
  <c r="I71"/>
  <c r="F80" s="1"/>
  <c r="N71"/>
  <c r="F65" l="1"/>
  <c r="K14" i="104" s="1"/>
  <c r="K21" i="105"/>
  <c r="K22" s="1"/>
  <c r="M15" i="58" s="1"/>
  <c r="K71" i="102"/>
  <c r="M71" s="1"/>
  <c r="O71" s="1"/>
  <c r="M55"/>
  <c r="O55" s="1"/>
  <c r="L20" i="105"/>
  <c r="L14"/>
  <c r="M10" s="1"/>
  <c r="I17" i="103"/>
  <c r="L12" i="58"/>
  <c r="J15" i="103" s="1"/>
  <c r="I73" i="102"/>
  <c r="N73"/>
  <c r="F70"/>
  <c r="N80"/>
  <c r="I80"/>
  <c r="K80" s="1"/>
  <c r="M80" s="1"/>
  <c r="O80" s="1"/>
  <c r="K64"/>
  <c r="K61"/>
  <c r="B20" i="58"/>
  <c r="B21" s="1"/>
  <c r="K20" i="69" l="1"/>
  <c r="K21" s="1"/>
  <c r="I65" i="102"/>
  <c r="F74" s="1"/>
  <c r="L21" i="105"/>
  <c r="L22" s="1"/>
  <c r="N15" i="58" s="1"/>
  <c r="M64" i="102"/>
  <c r="O64" s="1"/>
  <c r="E56"/>
  <c r="M20" i="105"/>
  <c r="M14"/>
  <c r="J17" i="103"/>
  <c r="M61" i="102"/>
  <c r="F82"/>
  <c r="N70"/>
  <c r="I70"/>
  <c r="K70" s="1"/>
  <c r="K73"/>
  <c r="I74" l="1"/>
  <c r="L14" i="104"/>
  <c r="M73" i="102"/>
  <c r="O73" s="1"/>
  <c r="M21" i="105"/>
  <c r="M22" s="1"/>
  <c r="O15" i="58" s="1"/>
  <c r="L20" i="69"/>
  <c r="L21" s="1"/>
  <c r="E65" i="102"/>
  <c r="M12" i="58"/>
  <c r="K15" i="103" s="1"/>
  <c r="M70" i="102"/>
  <c r="F79"/>
  <c r="N82"/>
  <c r="I82"/>
  <c r="K82" s="1"/>
  <c r="O61"/>
  <c r="F83" l="1"/>
  <c r="M82"/>
  <c r="O82" s="1"/>
  <c r="K17" i="103"/>
  <c r="N12" i="58"/>
  <c r="L15" i="103" s="1"/>
  <c r="E74" i="102"/>
  <c r="N79"/>
  <c r="I79"/>
  <c r="O70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I83" i="102" l="1"/>
  <c r="M14" i="104"/>
  <c r="L17" i="103"/>
  <c r="M20" i="69"/>
  <c r="M21" s="1"/>
  <c r="K79" i="102"/>
  <c r="B21" i="105"/>
  <c r="B22" s="1"/>
  <c r="B12" i="58"/>
  <c r="B13" s="1"/>
  <c r="B14" s="1"/>
  <c r="B15" s="1"/>
  <c r="B16" s="1"/>
  <c r="B17" s="1"/>
  <c r="M79" i="102" l="1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E83" i="102" l="1"/>
  <c r="O12" i="58"/>
  <c r="M15" i="103" s="1"/>
  <c r="O79" i="102"/>
  <c r="B9" i="57"/>
  <c r="B10" s="1"/>
  <c r="B11" s="1"/>
  <c r="B12" s="1"/>
  <c r="M17" i="103" l="1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F17" i="58"/>
  <c r="I14"/>
  <c r="M12" i="102"/>
  <c r="O12" s="1"/>
  <c r="N12"/>
  <c r="J21"/>
  <c r="D11" i="103" s="1"/>
  <c r="E11" s="1"/>
  <c r="D15" i="104" l="1"/>
  <c r="D18" s="1"/>
  <c r="F23" i="58"/>
  <c r="D12" i="103"/>
  <c r="D16" s="1"/>
  <c r="D18" s="1"/>
  <c r="D20" s="1"/>
  <c r="F11"/>
  <c r="F12" s="1"/>
  <c r="F16" s="1"/>
  <c r="F18" s="1"/>
  <c r="F20" s="1"/>
  <c r="F22" s="1"/>
  <c r="H13" i="58" s="1"/>
  <c r="F22"/>
  <c r="M21" i="102"/>
  <c r="O21" s="1"/>
  <c r="N21"/>
  <c r="I17" i="58"/>
  <c r="I23" s="1"/>
  <c r="H11" i="103"/>
  <c r="E12"/>
  <c r="I22" i="58" l="1"/>
  <c r="G15" i="104"/>
  <c r="G18" s="1"/>
  <c r="J38" i="102"/>
  <c r="N38" s="1"/>
  <c r="I11" i="103"/>
  <c r="H12"/>
  <c r="E16"/>
  <c r="E18" s="1"/>
  <c r="E20" s="1"/>
  <c r="E22" s="1"/>
  <c r="G13" i="58" s="1"/>
  <c r="M38" i="102" l="1"/>
  <c r="J47" s="1"/>
  <c r="H16" i="103"/>
  <c r="H18" s="1"/>
  <c r="H20" s="1"/>
  <c r="H22" s="1"/>
  <c r="J13" i="58" s="1"/>
  <c r="J11" i="103"/>
  <c r="I12"/>
  <c r="O38" i="102" l="1"/>
  <c r="M47"/>
  <c r="N47"/>
  <c r="K11" i="103"/>
  <c r="J12"/>
  <c r="I16"/>
  <c r="I18" s="1"/>
  <c r="I20" s="1"/>
  <c r="I22" s="1"/>
  <c r="K13" i="58" s="1"/>
  <c r="O47" i="102" l="1"/>
  <c r="J56"/>
  <c r="L11" i="103"/>
  <c r="K12"/>
  <c r="J16"/>
  <c r="J18" s="1"/>
  <c r="J20" s="1"/>
  <c r="J22" s="1"/>
  <c r="L13" i="58" s="1"/>
  <c r="M56" i="102" l="1"/>
  <c r="N56"/>
  <c r="K16" i="103"/>
  <c r="K18" s="1"/>
  <c r="K20" s="1"/>
  <c r="K22" s="1"/>
  <c r="M13" i="58" s="1"/>
  <c r="M11" i="103"/>
  <c r="M12" s="1"/>
  <c r="L12"/>
  <c r="O56" i="102" l="1"/>
  <c r="J65"/>
  <c r="L16" i="103"/>
  <c r="L18" s="1"/>
  <c r="L20" s="1"/>
  <c r="L22" s="1"/>
  <c r="N13" i="58" s="1"/>
  <c r="M16" i="103"/>
  <c r="M18" s="1"/>
  <c r="M20" s="1"/>
  <c r="M22" s="1"/>
  <c r="O13" i="58" s="1"/>
  <c r="M65" i="102" l="1"/>
  <c r="N65"/>
  <c r="O65" l="1"/>
  <c r="J74"/>
  <c r="M74" l="1"/>
  <c r="N74"/>
  <c r="O74" l="1"/>
  <c r="J83"/>
  <c r="M83" l="1"/>
  <c r="O83" s="1"/>
  <c r="N83"/>
  <c r="G14" i="58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<sst xmlns="http://schemas.openxmlformats.org/spreadsheetml/2006/main" count="1151" uniqueCount="416">
  <si>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</si>
  <si>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</si>
  <si>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</si>
  <si>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</si>
  <si>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</si>
  <si>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</si>
  <si>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</si>
  <si>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</si>
  <si>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</si>
  <si>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</si>
  <si>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</si>
  <si>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</si>
  <si>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</si>
  <si>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</si>
  <si>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</si>
  <si>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</si>
  <si>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</si>
  <si>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</si>
  <si>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</si>
  <si>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</si>
  <si>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</si>
  <si>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</si>
  <si>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</si>
  <si>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</si>
  <si>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</si>
  <si>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</si>
  <si>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</si>
  <si>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</si>
  <si>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</si>
  <si>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</si>
  <si>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</si>
  <si>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</si>
  <si>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</si>
  <si>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</si>
  <si>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</si>
  <si>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</si>
  <si>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</si>
  <si>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</si>
  <si>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</si>
  <si>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</si>
  <si>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</si>
  <si>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</si>
  <si>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</si>
  <si>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</si>
  <si>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</si>
  <si>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</si>
  <si>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</si>
  <si>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</si>
  <si>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</si>
  <si>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</si>
  <si>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</si>
  <si>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</si>
  <si>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</si>
  <si>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</si>
  <si>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</si>
  <si>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</si>
  <si>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</si>
  <si>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</si>
  <si>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</si>
  <si>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</si>
  <si>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</si>
  <si>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</si>
  <si>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</si>
  <si>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</si>
  <si>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</si>
  <si>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</si>
  <si>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</si>
  <si>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</si>
  <si>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</si>
  <si>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</si>
  <si>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</si>
  <si>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</si>
  <si>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</si>
  <si>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</si>
  <si>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</si>
  <si>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</si>
  <si>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</si>
  <si>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</si>
  <si>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</si>
  <si>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</si>
  <si>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</si>
  <si>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</si>
  <si>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</si>
  <si>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</si>
  <si>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</si>
  <si>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</si>
  <si>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</si>
  <si>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</si>
  <si>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</si>
  <si>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</si>
  <si>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</si>
  <si>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</si>
  <si>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</si>
  <si>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</si>
  <si>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</si>
  <si>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</si>
  <si>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</si>
  <si>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</si>
  <si>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</si>
  <si>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</si>
  <si>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</si>
  <si>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</si>
  <si>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</si>
  <si>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</si>
  <si>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</si>
  <si>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</si>
  <si>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</si>
  <si>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</si>
  <si>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</si>
  <si>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</si>
  <si>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</si>
  <si>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</si>
  <si>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</si>
  <si>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</si>
  <si>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</si>
  <si>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</si>
  <si>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</si>
  <si>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</si>
  <si>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</si>
  <si>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</si>
  <si>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</si>
  <si>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</si>
  <si>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</si>
  <si>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</si>
  <si>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</si>
  <si>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</si>
  <si>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</si>
  <si>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</si>
  <si>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</si>
  <si>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</si>
  <si>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</si>
  <si>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</si>
  <si>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</si>
  <si>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</si>
  <si>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</si>
  <si>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</si>
  <si>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</si>
  <si>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</si>
  <si>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</si>
  <si>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</si>
  <si>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</si>
  <si>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</si>
  <si>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</si>
  <si>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</si>
  <si>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</si>
  <si>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</si>
  <si>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</si>
  <si>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</si>
  <si>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</si>
  <si>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</si>
  <si>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</si>
  <si>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</si>
  <si>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</si>
  <si>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</si>
  <si>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</si>
  <si>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</si>
  <si>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</si>
  <si>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</si>
  <si>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</si>
  <si>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</si>
  <si>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</si>
  <si>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</si>
  <si>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</si>
  <si>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</si>
  <si>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</si>
  <si>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</si>
  <si>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</si>
  <si>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</si>
  <si>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</si>
  <si>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</si>
  <si>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</si>
  <si>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</si>
  <si>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</si>
  <si>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</si>
  <si>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</si>
  <si>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</si>
  <si>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</si>
  <si>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</si>
  <si>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</si>
  <si>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</si>
  <si>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</si>
  <si>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</si>
  <si>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</si>
  <si>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</si>
  <si>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</si>
  <si>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</si>
  <si>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</si>
  <si>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</si>
  <si>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</si>
  <si>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</si>
  <si>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</si>
  <si>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</si>
  <si>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</si>
  <si>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</si>
  <si>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</si>
  <si>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</si>
  <si>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</si>
  <si>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</si>
  <si>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</si>
  <si>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</si>
  <si>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</si>
  <si>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</si>
  <si>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</si>
  <si>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</si>
  <si>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</si>
  <si>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</si>
  <si>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</si>
  <si>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</si>
  <si>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</si>
  <si>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</si>
  <si>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</si>
  <si>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</si>
  <si>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Land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</si>
  <si>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</si>
  <si>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</si>
  <si>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</si>
  <si>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</si>
  <si>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</si>
  <si>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</si>
  <si>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</si>
  <si>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</si>
  <si>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</si>
  <si>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</si>
  <si>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</si>
  <si>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</si>
  <si>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</si>
  <si>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</si>
  <si>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</si>
  <si>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</si>
  <si>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</si>
  <si>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</si>
  <si>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</si>
  <si>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</si>
  <si>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</si>
  <si>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</si>
  <si>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</si>
  <si>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</si>
  <si>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</si>
  <si>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</si>
  <si>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</si>
  <si>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</si>
  <si>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</si>
  <si>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</si>
  <si>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</si>
  <si>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</si>
  <si>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</si>
  <si>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</si>
  <si>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</si>
  <si>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</si>
  <si>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</si>
  <si>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</si>
  <si>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</si>
  <si>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</si>
  <si>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</si>
  <si>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</si>
  <si>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</si>
  <si>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</si>
  <si>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</si>
  <si>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</si>
  <si>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</si>
  <si>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</si>
  <si>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</si>
  <si>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</si>
  <si>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</si>
  <si>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</si>
  <si>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</si>
  <si>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</si>
  <si>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</si>
  <si>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</si>
  <si>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</si>
  <si>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</si>
  <si>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>Civil works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</si>
  <si>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</si>
  <si>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</si>
  <si>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</si>
  <si>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</si>
  <si>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</si>
  <si>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</si>
  <si>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</si>
  <si>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</si>
  <si>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</si>
  <si>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</si>
  <si>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</si>
  <si>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</si>
  <si>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</si>
  <si>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</si>
  <si>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</si>
  <si>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</si>
  <si>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</si>
  <si>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</si>
  <si>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</si>
  <si>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</si>
  <si>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</si>
  <si>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</si>
  <si>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</si>
  <si>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</si>
  <si>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</si>
  <si>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</si>
  <si>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</si>
  <si>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</si>
  <si>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</si>
  <si>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</si>
  <si>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</si>
  <si>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</si>
  <si>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</si>
  <si>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</si>
  <si>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</si>
  <si>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</si>
  <si>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</si>
  <si>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</si>
  <si>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</si>
  <si>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</si>
  <si>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</si>
  <si>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</si>
  <si>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</si>
  <si>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</si>
  <si>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Ensuing Year (n+1)</t>
  </si>
  <si>
    <t>Ensuing Year (n+2)</t>
  </si>
  <si>
    <t>Ensuing Year (n+3)</t>
  </si>
  <si>
    <t>Ensuing Year (n+4)</t>
  </si>
  <si>
    <t>Ensuing Year (n+5)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</si>
  <si>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</si>
  <si>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</si>
  <si>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</si>
  <si>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</si>
  <si>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</si>
  <si>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</si>
  <si>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</si>
  <si>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</si>
  <si>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</si>
  <si>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</si>
  <si>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</si>
  <si>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</si>
  <si>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</si>
  <si>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</si>
  <si>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</si>
  <si>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</si>
  <si>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</si>
  <si>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</si>
  <si>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</si>
  <si>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</si>
  <si>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</si>
  <si>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</si>
  <si>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</si>
  <si>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</si>
  <si>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</si>
  <si>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</si>
  <si>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</si>
  <si>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</si>
  <si>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</si>
  <si>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</si>
  <si>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</si>
  <si>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</si>
  <si>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</si>
  <si>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</si>
  <si>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</si>
  <si>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</si>
  <si>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</si>
  <si>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</si>
  <si>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</si>
  <si>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</si>
  <si>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</si>
  <si>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</si>
  <si>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</si>
  <si>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</si>
  <si>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</si>
  <si>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</si>
  <si>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2022-2023</t>
  </si>
  <si>
    <t>2023-2024</t>
  </si>
  <si>
    <t>2024-2025</t>
  </si>
  <si>
    <t>2025-2026</t>
  </si>
  <si>
    <t>2026-2027</t>
  </si>
  <si>
    <t>2027-2028</t>
  </si>
  <si>
    <t>2028-2029</t>
  </si>
  <si>
    <t>TSSPDCL(70.55%)</t>
  </si>
  <si>
    <t>TSNPDCL(29.45%)</t>
  </si>
  <si>
    <t>Srisalam LB HES</t>
  </si>
  <si>
    <t>Srisailam LB HES</t>
  </si>
  <si>
    <t>FY 2024-25</t>
  </si>
  <si>
    <t>FY 2025-26</t>
  </si>
  <si>
    <t>FY 2026-27</t>
  </si>
  <si>
    <t>FY 2027-28</t>
  </si>
  <si>
    <t>FY 2028-29</t>
  </si>
  <si>
    <t>FY 2022-23</t>
  </si>
  <si>
    <t>FY 2023-24</t>
  </si>
  <si>
    <t>FY 2019-20</t>
  </si>
  <si>
    <t>FY 2020-21</t>
  </si>
  <si>
    <t>FY 2021-22</t>
  </si>
  <si>
    <t>Land &amp; Land Rights</t>
  </si>
  <si>
    <t>Capital Spares</t>
  </si>
  <si>
    <t>Hydralic Works</t>
  </si>
  <si>
    <t>Other Civil Works</t>
  </si>
  <si>
    <t>Furniture&amp; Fixtures</t>
  </si>
  <si>
    <t>Computers</t>
  </si>
  <si>
    <t>PLANT &amp; MACHINERY</t>
  </si>
  <si>
    <t>FURNITURE&amp; FIXTURES</t>
  </si>
  <si>
    <t>OFFICE EQUIPMENT</t>
  </si>
  <si>
    <t>Apr-Sep Actual</t>
  </si>
  <si>
    <t>Oct-Mar  Estimated</t>
  </si>
  <si>
    <t>Lines &amp; Cable Network</t>
  </si>
  <si>
    <t>Addition of Normative Loan due to capitalisation during the year1</t>
  </si>
  <si>
    <t>TGGENCO</t>
  </si>
  <si>
    <t>2023-24</t>
  </si>
  <si>
    <t>SLBHES</t>
  </si>
  <si>
    <t>Replacement of exisitng GIS system and Replacement &amp; Mod. Of outdated equipments</t>
  </si>
  <si>
    <t xml:space="preserve">Approved Rs. 95 Cr. in BP &amp; CIP 2024-29 order Dt. 29.12.2023 </t>
  </si>
  <si>
    <t>IT Initiatives</t>
  </si>
  <si>
    <t>Procurement of 1No. GT and Replacement of 400KV Power Cable.</t>
  </si>
  <si>
    <t>&lt;TGGENCO&gt;</t>
  </si>
  <si>
    <t>&lt;SLBHES&gt;</t>
  </si>
  <si>
    <t>2.2  Administration &amp; General Expenses</t>
  </si>
  <si>
    <t>Form 2.3: Repair &amp; Maintenance Expenses</t>
  </si>
  <si>
    <t>Form 3:  Summary of Capital Expenditure and Capitalisation</t>
  </si>
  <si>
    <t>Form 5:  Interest and finance charges on loan</t>
  </si>
  <si>
    <t>2.1 Employee Expenses</t>
  </si>
  <si>
    <t>&lt;SLBHES Complex&gt;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</si>
</sst>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0000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3">
    <xf numFmtId="0" fontId="0" fillId="0" borderId="0"/>
    <xf numFmtId="0" fontId="9" fillId="0" borderId="0" applyNumberFormat="0" applyFill="0" applyBorder="0" applyAlignment="0" applyProtection="0"/>
    <xf numFmtId="0" fontId="10" fillId="0" borderId="1"/>
    <xf numFmtId="0" fontId="10" fillId="0" borderId="1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3" borderId="4" applyNumberFormat="0" applyBorder="0" applyAlignment="0" applyProtection="0"/>
    <xf numFmtId="37" fontId="13" fillId="0" borderId="0"/>
    <xf numFmtId="166" fontId="1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>
      <alignment vertical="center"/>
    </xf>
    <xf numFmtId="167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Border="0" applyProtection="0"/>
    <xf numFmtId="167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0">
    <xf numFmtId="0" fontId="0" fillId="0" borderId="0" xfId="0"/>
    <xf numFmtId="0" fontId="7" fillId="0" borderId="0" xfId="10" applyFont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4" xfId="14" applyFont="1" applyBorder="1">
      <alignment vertical="center"/>
    </xf>
    <xf numFmtId="0" fontId="15" fillId="0" borderId="0" xfId="10" applyFont="1"/>
    <xf numFmtId="0" fontId="15" fillId="0" borderId="0" xfId="10" applyFont="1" applyAlignment="1">
      <alignment vertical="center"/>
    </xf>
    <xf numFmtId="0" fontId="7" fillId="0" borderId="0" xfId="14" applyFont="1">
      <alignment vertical="center"/>
    </xf>
    <xf numFmtId="0" fontId="12" fillId="0" borderId="0" xfId="14" applyFont="1" applyAlignment="1">
      <alignment horizontal="right" vertical="center"/>
    </xf>
    <xf numFmtId="0" fontId="7" fillId="0" borderId="4" xfId="14" applyFont="1" applyBorder="1" applyAlignment="1">
      <alignment horizontal="center" vertical="center"/>
    </xf>
    <xf numFmtId="0" fontId="7" fillId="0" borderId="4" xfId="14" applyFont="1" applyBorder="1">
      <alignment vertical="center"/>
    </xf>
    <xf numFmtId="0" fontId="7" fillId="0" borderId="4" xfId="14" applyFont="1" applyBorder="1" applyAlignment="1">
      <alignment horizontal="left" vertical="center"/>
    </xf>
    <xf numFmtId="0" fontId="7" fillId="0" borderId="4" xfId="14" applyFont="1" applyBorder="1" applyAlignment="1">
      <alignment vertical="top" wrapText="1"/>
    </xf>
    <xf numFmtId="0" fontId="7" fillId="6" borderId="4" xfId="14" applyFont="1" applyFill="1" applyBorder="1" applyAlignment="1">
      <alignment horizontal="center" vertical="center"/>
    </xf>
    <xf numFmtId="0" fontId="12" fillId="6" borderId="4" xfId="14" applyFont="1" applyFill="1" applyBorder="1">
      <alignment vertical="center"/>
    </xf>
    <xf numFmtId="0" fontId="7" fillId="6" borderId="4" xfId="14" applyFont="1" applyFill="1" applyBorder="1" applyAlignment="1">
      <alignment horizontal="left" vertical="center"/>
    </xf>
    <xf numFmtId="0" fontId="7" fillId="0" borderId="0" xfId="10" applyFont="1"/>
    <xf numFmtId="0" fontId="7" fillId="5" borderId="0" xfId="14" applyFont="1" applyFill="1">
      <alignment vertical="center"/>
    </xf>
    <xf numFmtId="0" fontId="12" fillId="0" borderId="8" xfId="14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20" fillId="0" borderId="4" xfId="14" applyFont="1" applyBorder="1">
      <alignment vertical="center"/>
    </xf>
    <xf numFmtId="0" fontId="15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horizontal="right" vertical="center"/>
    </xf>
    <xf numFmtId="0" fontId="20" fillId="0" borderId="0" xfId="14" applyFont="1" applyAlignment="1">
      <alignment horizontal="right" vertical="center"/>
    </xf>
    <xf numFmtId="0" fontId="15" fillId="0" borderId="4" xfId="1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10" applyFont="1" applyBorder="1" applyAlignment="1">
      <alignment horizontal="left" vertical="center"/>
    </xf>
    <xf numFmtId="0" fontId="20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4" applyFont="1" applyAlignment="1">
      <alignment horizontal="center" vertical="center"/>
    </xf>
    <xf numFmtId="0" fontId="15" fillId="0" borderId="0" xfId="10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4" applyFont="1">
      <alignment vertical="center"/>
    </xf>
    <xf numFmtId="0" fontId="15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vertical="center"/>
    </xf>
    <xf numFmtId="0" fontId="15" fillId="0" borderId="4" xfId="10" applyFont="1" applyBorder="1"/>
    <xf numFmtId="0" fontId="20" fillId="0" borderId="4" xfId="10" applyFont="1" applyBorder="1"/>
    <xf numFmtId="0" fontId="20" fillId="0" borderId="0" xfId="10" applyFont="1" applyAlignment="1">
      <alignment horizontal="justify" vertical="top" wrapText="1"/>
    </xf>
    <xf numFmtId="0" fontId="15" fillId="0" borderId="0" xfId="10" applyFont="1" applyAlignment="1">
      <alignment horizontal="left"/>
    </xf>
    <xf numFmtId="0" fontId="15" fillId="0" borderId="4" xfId="10" applyFont="1" applyBorder="1" applyAlignment="1">
      <alignment wrapText="1"/>
    </xf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0" applyFont="1" applyAlignment="1">
      <alignment horizontal="center" vertical="center"/>
    </xf>
    <xf numFmtId="0" fontId="15" fillId="0" borderId="4" xfId="10" quotePrefix="1" applyFont="1" applyBorder="1" applyAlignment="1">
      <alignment horizontal="left" vertical="top" wrapText="1"/>
    </xf>
    <xf numFmtId="0" fontId="15" fillId="0" borderId="4" xfId="10" applyFont="1" applyBorder="1" applyAlignment="1">
      <alignment horizontal="left"/>
    </xf>
    <xf numFmtId="0" fontId="20" fillId="0" borderId="4" xfId="10" applyFont="1" applyBorder="1" applyAlignment="1">
      <alignment horizontal="left"/>
    </xf>
    <xf numFmtId="0" fontId="15" fillId="0" borderId="0" xfId="14" applyFont="1" applyAlignment="1">
      <alignment horizontal="center" vertical="center"/>
    </xf>
    <xf numFmtId="0" fontId="15" fillId="0" borderId="4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right"/>
    </xf>
    <xf numFmtId="0" fontId="20" fillId="0" borderId="0" xfId="10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15" fillId="0" borderId="7" xfId="10" applyFont="1" applyBorder="1" applyAlignment="1">
      <alignment horizontal="center" vertical="center"/>
    </xf>
    <xf numFmtId="0" fontId="21" fillId="0" borderId="0" xfId="10" applyFont="1" applyAlignment="1">
      <alignment horizontal="right" vertical="center"/>
    </xf>
    <xf numFmtId="0" fontId="15" fillId="0" borderId="0" xfId="10" applyFont="1" applyAlignment="1">
      <alignment horizontal="center"/>
    </xf>
    <xf numFmtId="0" fontId="15" fillId="4" borderId="15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4" xfId="68" applyFont="1" applyFill="1" applyBorder="1" applyAlignment="1">
      <alignment horizontal="center" vertical="center" wrapText="1"/>
    </xf>
    <xf numFmtId="0" fontId="15" fillId="4" borderId="16" xfId="68" applyFont="1" applyFill="1" applyBorder="1" applyAlignment="1">
      <alignment horizontal="left" vertical="center"/>
    </xf>
    <xf numFmtId="0" fontId="20" fillId="4" borderId="16" xfId="68" applyFont="1" applyFill="1" applyBorder="1" applyAlignment="1">
      <alignment horizontal="center" vertical="center"/>
    </xf>
    <xf numFmtId="10" fontId="15" fillId="4" borderId="16" xfId="68" applyNumberFormat="1" applyFont="1" applyFill="1" applyBorder="1" applyAlignment="1">
      <alignment horizontal="center" vertical="center"/>
    </xf>
    <xf numFmtId="2" fontId="15" fillId="4" borderId="16" xfId="68" applyNumberFormat="1" applyFont="1" applyFill="1" applyBorder="1" applyAlignment="1">
      <alignment horizontal="center" vertical="center"/>
    </xf>
    <xf numFmtId="2" fontId="15" fillId="0" borderId="16" xfId="68" applyNumberFormat="1" applyFont="1" applyBorder="1" applyAlignment="1">
      <alignment horizontal="center" vertical="center"/>
    </xf>
    <xf numFmtId="0" fontId="15" fillId="4" borderId="5" xfId="68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 wrapText="1"/>
    </xf>
    <xf numFmtId="0" fontId="20" fillId="4" borderId="4" xfId="68" applyFont="1" applyFill="1" applyBorder="1" applyAlignment="1">
      <alignment horizontal="center" vertical="center"/>
    </xf>
    <xf numFmtId="10" fontId="15" fillId="4" borderId="4" xfId="39" applyNumberFormat="1" applyFont="1" applyFill="1" applyBorder="1" applyAlignment="1">
      <alignment horizontal="center" vertical="center"/>
    </xf>
    <xf numFmtId="2" fontId="15" fillId="4" borderId="4" xfId="68" applyNumberFormat="1" applyFont="1" applyFill="1" applyBorder="1" applyAlignment="1">
      <alignment horizontal="center" vertical="center"/>
    </xf>
    <xf numFmtId="2" fontId="15" fillId="0" borderId="4" xfId="68" applyNumberFormat="1" applyFont="1" applyBorder="1" applyAlignment="1">
      <alignment horizontal="center" vertical="center"/>
    </xf>
    <xf numFmtId="2" fontId="15" fillId="4" borderId="4" xfId="19" applyNumberFormat="1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/>
    </xf>
    <xf numFmtId="10" fontId="22" fillId="0" borderId="4" xfId="39" applyNumberFormat="1" applyFont="1" applyFill="1" applyBorder="1" applyAlignment="1">
      <alignment horizontal="center" vertical="center"/>
    </xf>
    <xf numFmtId="0" fontId="15" fillId="4" borderId="12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15" fillId="0" borderId="4" xfId="10" applyFont="1" applyBorder="1" applyAlignment="1">
      <alignment vertical="center" wrapText="1"/>
    </xf>
    <xf numFmtId="0" fontId="15" fillId="0" borderId="9" xfId="14" applyFont="1" applyBorder="1">
      <alignment vertical="center"/>
    </xf>
    <xf numFmtId="0" fontId="20" fillId="0" borderId="4" xfId="10" applyFont="1" applyBorder="1" applyAlignment="1">
      <alignment vertical="center" wrapText="1"/>
    </xf>
    <xf numFmtId="0" fontId="20" fillId="4" borderId="4" xfId="14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20" fillId="4" borderId="4" xfId="10" quotePrefix="1" applyFont="1" applyFill="1" applyBorder="1" applyAlignment="1">
      <alignment horizontal="center" vertical="center" wrapText="1"/>
    </xf>
    <xf numFmtId="0" fontId="20" fillId="4" borderId="4" xfId="10" applyFont="1" applyFill="1" applyBorder="1" applyAlignment="1">
      <alignment horizontal="left" vertical="center" wrapText="1"/>
    </xf>
    <xf numFmtId="0" fontId="20" fillId="4" borderId="4" xfId="10" applyFont="1" applyFill="1" applyBorder="1" applyAlignment="1">
      <alignment horizontal="center" vertical="center"/>
    </xf>
    <xf numFmtId="0" fontId="15" fillId="4" borderId="4" xfId="14" applyFont="1" applyFill="1" applyBorder="1">
      <alignment vertical="center"/>
    </xf>
    <xf numFmtId="0" fontId="15" fillId="4" borderId="4" xfId="10" applyFont="1" applyFill="1" applyBorder="1" applyAlignment="1">
      <alignment horizontal="center" vertical="center"/>
    </xf>
    <xf numFmtId="0" fontId="15" fillId="4" borderId="4" xfId="10" applyFont="1" applyFill="1" applyBorder="1" applyAlignment="1">
      <alignment vertical="center" wrapText="1"/>
    </xf>
    <xf numFmtId="0" fontId="20" fillId="4" borderId="4" xfId="10" applyFont="1" applyFill="1" applyBorder="1" applyAlignment="1">
      <alignment vertical="center" wrapText="1"/>
    </xf>
    <xf numFmtId="0" fontId="15" fillId="4" borderId="4" xfId="10" applyFont="1" applyFill="1" applyBorder="1" applyAlignment="1">
      <alignment vertical="center"/>
    </xf>
    <xf numFmtId="0" fontId="20" fillId="4" borderId="0" xfId="10" applyFont="1" applyFill="1" applyAlignment="1">
      <alignment vertical="center"/>
    </xf>
    <xf numFmtId="0" fontId="15" fillId="4" borderId="0" xfId="10" applyFont="1" applyFill="1" applyAlignment="1">
      <alignment vertical="center"/>
    </xf>
    <xf numFmtId="166" fontId="15" fillId="0" borderId="0" xfId="10" applyNumberFormat="1" applyFont="1" applyAlignment="1">
      <alignment vertical="center"/>
    </xf>
    <xf numFmtId="0" fontId="15" fillId="0" borderId="4" xfId="14" applyFont="1" applyBorder="1" applyAlignment="1">
      <alignment horizontal="center" vertical="center" wrapText="1"/>
    </xf>
    <xf numFmtId="0" fontId="23" fillId="0" borderId="0" xfId="10" applyFont="1" applyAlignment="1">
      <alignment horizontal="left" vertical="center"/>
    </xf>
    <xf numFmtId="0" fontId="15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4" fillId="0" borderId="0" xfId="10" applyFont="1" applyAlignment="1">
      <alignment vertical="center"/>
    </xf>
    <xf numFmtId="16" fontId="20" fillId="0" borderId="4" xfId="1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/>
    </xf>
    <xf numFmtId="169" fontId="15" fillId="0" borderId="4" xfId="0" applyNumberFormat="1" applyFont="1" applyBorder="1" applyAlignment="1">
      <alignment vertical="center"/>
    </xf>
    <xf numFmtId="168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0" fontId="20" fillId="0" borderId="9" xfId="0" applyFont="1" applyBorder="1" applyAlignment="1">
      <alignment vertical="center" wrapText="1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center" vertical="center"/>
    </xf>
    <xf numFmtId="2" fontId="20" fillId="6" borderId="4" xfId="0" applyNumberFormat="1" applyFont="1" applyFill="1" applyBorder="1" applyAlignment="1">
      <alignment vertical="center"/>
    </xf>
    <xf numFmtId="2" fontId="15" fillId="0" borderId="4" xfId="10" applyNumberFormat="1" applyFont="1" applyBorder="1" applyAlignment="1">
      <alignment horizontal="center" vertical="center" wrapText="1"/>
    </xf>
    <xf numFmtId="2" fontId="20" fillId="6" borderId="4" xfId="10" applyNumberFormat="1" applyFont="1" applyFill="1" applyBorder="1" applyAlignment="1">
      <alignment horizontal="center" vertical="center"/>
    </xf>
    <xf numFmtId="2" fontId="20" fillId="6" borderId="4" xfId="0" applyNumberFormat="1" applyFont="1" applyFill="1" applyBorder="1" applyAlignment="1">
      <alignment horizontal="right" vertical="center"/>
    </xf>
    <xf numFmtId="2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 applyAlignment="1">
      <alignment vertical="center"/>
    </xf>
    <xf numFmtId="0" fontId="20" fillId="0" borderId="9" xfId="14" applyFont="1" applyBorder="1">
      <alignment vertical="center"/>
    </xf>
    <xf numFmtId="2" fontId="20" fillId="6" borderId="9" xfId="14" applyNumberFormat="1" applyFont="1" applyFill="1" applyBorder="1">
      <alignment vertical="center"/>
    </xf>
    <xf numFmtId="2" fontId="20" fillId="6" borderId="16" xfId="68" applyNumberFormat="1" applyFont="1" applyFill="1" applyBorder="1" applyAlignment="1">
      <alignment horizontal="center" vertical="center"/>
    </xf>
    <xf numFmtId="2" fontId="15" fillId="4" borderId="22" xfId="68" applyNumberFormat="1" applyFont="1" applyFill="1" applyBorder="1" applyAlignment="1">
      <alignment horizontal="center" vertical="center"/>
    </xf>
    <xf numFmtId="2" fontId="20" fillId="6" borderId="7" xfId="19" applyNumberFormat="1" applyFont="1" applyFill="1" applyBorder="1" applyAlignment="1">
      <alignment horizontal="center" vertical="center"/>
    </xf>
    <xf numFmtId="2" fontId="15" fillId="4" borderId="18" xfId="68" applyNumberFormat="1" applyFont="1" applyFill="1" applyBorder="1" applyAlignment="1">
      <alignment horizontal="center" vertical="center"/>
    </xf>
    <xf numFmtId="2" fontId="20" fillId="6" borderId="21" xfId="68" applyNumberFormat="1" applyFont="1" applyFill="1" applyBorder="1" applyAlignment="1">
      <alignment horizontal="center" vertical="center"/>
    </xf>
    <xf numFmtId="2" fontId="20" fillId="6" borderId="7" xfId="68" applyNumberFormat="1" applyFont="1" applyFill="1" applyBorder="1" applyAlignment="1">
      <alignment horizontal="center" vertical="center"/>
    </xf>
    <xf numFmtId="2" fontId="20" fillId="6" borderId="4" xfId="68" applyNumberFormat="1" applyFont="1" applyFill="1" applyBorder="1" applyAlignment="1">
      <alignment horizontal="center" vertical="center"/>
    </xf>
    <xf numFmtId="2" fontId="15" fillId="4" borderId="6" xfId="68" applyNumberFormat="1" applyFont="1" applyFill="1" applyBorder="1" applyAlignment="1">
      <alignment horizontal="center" vertical="center"/>
    </xf>
    <xf numFmtId="2" fontId="20" fillId="6" borderId="4" xfId="19" applyNumberFormat="1" applyFont="1" applyFill="1" applyBorder="1" applyAlignment="1">
      <alignment horizontal="center" vertical="center"/>
    </xf>
    <xf numFmtId="2" fontId="15" fillId="4" borderId="3" xfId="68" applyNumberFormat="1" applyFont="1" applyFill="1" applyBorder="1" applyAlignment="1">
      <alignment horizontal="center" vertical="center"/>
    </xf>
    <xf numFmtId="2" fontId="20" fillId="6" borderId="6" xfId="68" applyNumberFormat="1" applyFont="1" applyFill="1" applyBorder="1" applyAlignment="1">
      <alignment horizontal="center" vertical="center"/>
    </xf>
    <xf numFmtId="10" fontId="20" fillId="6" borderId="13" xfId="68" applyNumberFormat="1" applyFont="1" applyFill="1" applyBorder="1" applyAlignment="1">
      <alignment horizontal="center" vertical="center"/>
    </xf>
    <xf numFmtId="2" fontId="20" fillId="6" borderId="13" xfId="19" applyNumberFormat="1" applyFont="1" applyFill="1" applyBorder="1" applyAlignment="1">
      <alignment horizontal="center" vertical="center"/>
    </xf>
    <xf numFmtId="2" fontId="20" fillId="6" borderId="23" xfId="19" applyNumberFormat="1" applyFont="1" applyFill="1" applyBorder="1" applyAlignment="1">
      <alignment horizontal="center" vertical="center"/>
    </xf>
    <xf numFmtId="2" fontId="20" fillId="6" borderId="20" xfId="19" applyNumberFormat="1" applyFont="1" applyFill="1" applyBorder="1" applyAlignment="1">
      <alignment horizontal="center" vertical="center"/>
    </xf>
    <xf numFmtId="10" fontId="15" fillId="0" borderId="9" xfId="39" applyNumberFormat="1" applyFont="1" applyBorder="1" applyAlignment="1">
      <alignment vertical="center"/>
    </xf>
    <xf numFmtId="10" fontId="15" fillId="0" borderId="9" xfId="14" applyNumberFormat="1" applyFont="1" applyBorder="1">
      <alignment vertical="center"/>
    </xf>
    <xf numFmtId="10" fontId="20" fillId="6" borderId="9" xfId="14" applyNumberFormat="1" applyFont="1" applyFill="1" applyBorder="1">
      <alignment vertical="center"/>
    </xf>
    <xf numFmtId="2" fontId="15" fillId="0" borderId="9" xfId="14" applyNumberFormat="1" applyFont="1" applyBorder="1">
      <alignment vertical="center"/>
    </xf>
    <xf numFmtId="2" fontId="15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center" vertical="center"/>
    </xf>
    <xf numFmtId="2" fontId="20" fillId="6" borderId="4" xfId="14" applyNumberFormat="1" applyFont="1" applyFill="1" applyBorder="1" applyAlignment="1">
      <alignment horizontal="center" vertical="center"/>
    </xf>
    <xf numFmtId="2" fontId="15" fillId="0" borderId="4" xfId="14" applyNumberFormat="1" applyFont="1" applyBorder="1">
      <alignment vertical="center"/>
    </xf>
    <xf numFmtId="10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/>
    <xf numFmtId="2" fontId="15" fillId="0" borderId="4" xfId="10" applyNumberFormat="1" applyFont="1" applyBorder="1"/>
    <xf numFmtId="2" fontId="15" fillId="0" borderId="4" xfId="10" applyNumberFormat="1" applyFont="1" applyBorder="1" applyAlignment="1">
      <alignment horizontal="right" vertical="center"/>
    </xf>
    <xf numFmtId="2" fontId="20" fillId="0" borderId="4" xfId="14" applyNumberFormat="1" applyFont="1" applyBorder="1" applyAlignment="1">
      <alignment horizontal="center" vertical="center"/>
    </xf>
    <xf numFmtId="2" fontId="20" fillId="0" borderId="4" xfId="10" applyNumberFormat="1" applyFont="1" applyBorder="1" applyAlignment="1">
      <alignment horizontal="center" vertical="center" wrapText="1"/>
    </xf>
    <xf numFmtId="2" fontId="20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right" vertical="center" wrapText="1"/>
    </xf>
    <xf numFmtId="2" fontId="20" fillId="6" borderId="9" xfId="14" applyNumberFormat="1" applyFont="1" applyFill="1" applyBorder="1" applyAlignment="1">
      <alignment horizontal="right" vertical="center"/>
    </xf>
    <xf numFmtId="2" fontId="15" fillId="6" borderId="4" xfId="10" applyNumberFormat="1" applyFont="1" applyFill="1" applyBorder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 wrapText="1"/>
    </xf>
    <xf numFmtId="2" fontId="26" fillId="0" borderId="4" xfId="10" applyNumberFormat="1" applyFont="1" applyBorder="1" applyAlignment="1">
      <alignment horizontal="center" vertical="center"/>
    </xf>
    <xf numFmtId="2" fontId="26" fillId="0" borderId="4" xfId="10" applyNumberFormat="1" applyFont="1" applyBorder="1" applyAlignment="1">
      <alignment vertical="center"/>
    </xf>
    <xf numFmtId="164" fontId="26" fillId="0" borderId="4" xfId="71" applyNumberFormat="1" applyFont="1" applyBorder="1" applyAlignment="1">
      <alignment horizontal="center" vertical="center"/>
    </xf>
    <xf numFmtId="2" fontId="27" fillId="0" borderId="4" xfId="10" applyNumberFormat="1" applyFont="1" applyBorder="1" applyAlignment="1">
      <alignment horizontal="right" vertical="center"/>
    </xf>
    <xf numFmtId="0" fontId="26" fillId="0" borderId="8" xfId="10" applyFont="1" applyBorder="1" applyAlignment="1">
      <alignment horizontal="center" vertical="center" wrapText="1"/>
    </xf>
    <xf numFmtId="0" fontId="26" fillId="0" borderId="4" xfId="10" applyFont="1" applyBorder="1" applyAlignment="1">
      <alignment vertical="center" wrapText="1"/>
    </xf>
    <xf numFmtId="0" fontId="26" fillId="0" borderId="4" xfId="10" applyFont="1" applyBorder="1" applyAlignment="1">
      <alignment horizontal="center" vertical="center" wrapText="1"/>
    </xf>
    <xf numFmtId="2" fontId="26" fillId="0" borderId="4" xfId="10" applyNumberFormat="1" applyFont="1" applyBorder="1" applyAlignment="1">
      <alignment horizontal="right" vertical="center"/>
    </xf>
    <xf numFmtId="2" fontId="27" fillId="0" borderId="4" xfId="10" applyNumberFormat="1" applyFont="1" applyBorder="1" applyAlignment="1">
      <alignment vertical="center"/>
    </xf>
    <xf numFmtId="2" fontId="15" fillId="0" borderId="0" xfId="10" applyNumberFormat="1" applyFont="1" applyAlignment="1">
      <alignment vertical="center"/>
    </xf>
    <xf numFmtId="2" fontId="20" fillId="0" borderId="0" xfId="10" applyNumberFormat="1" applyFont="1" applyAlignment="1">
      <alignment horizontal="centerContinuous" vertical="center"/>
    </xf>
    <xf numFmtId="2" fontId="20" fillId="0" borderId="0" xfId="10" applyNumberFormat="1" applyFont="1" applyAlignment="1">
      <alignment horizontal="center" vertical="center"/>
    </xf>
    <xf numFmtId="2" fontId="20" fillId="0" borderId="0" xfId="10" applyNumberFormat="1" applyFont="1" applyAlignment="1">
      <alignment horizontal="left" vertical="center"/>
    </xf>
    <xf numFmtId="2" fontId="20" fillId="0" borderId="0" xfId="10" applyNumberFormat="1" applyFont="1" applyAlignment="1">
      <alignment horizontal="right" vertical="center"/>
    </xf>
    <xf numFmtId="2" fontId="20" fillId="0" borderId="0" xfId="10" applyNumberFormat="1" applyFont="1" applyAlignment="1">
      <alignment vertical="center"/>
    </xf>
    <xf numFmtId="2" fontId="23" fillId="0" borderId="0" xfId="10" applyNumberFormat="1" applyFont="1" applyAlignment="1">
      <alignment horizontal="left" vertical="center"/>
    </xf>
    <xf numFmtId="2" fontId="20" fillId="0" borderId="4" xfId="1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43" fontId="0" fillId="0" borderId="4" xfId="72" applyFont="1" applyBorder="1"/>
    <xf numFmtId="0" fontId="0" fillId="0" borderId="4" xfId="0" applyBorder="1" applyAlignment="1">
      <alignment wrapText="1"/>
    </xf>
    <xf numFmtId="43" fontId="15" fillId="0" borderId="4" xfId="10" applyNumberFormat="1" applyFont="1" applyBorder="1" applyAlignment="1">
      <alignment vertical="center"/>
    </xf>
    <xf numFmtId="0" fontId="15" fillId="0" borderId="5" xfId="68" applyFont="1" applyBorder="1" applyAlignment="1">
      <alignment horizontal="center" vertical="center"/>
    </xf>
    <xf numFmtId="0" fontId="15" fillId="0" borderId="4" xfId="68" applyFont="1" applyBorder="1" applyAlignment="1">
      <alignment horizontal="left" vertical="center"/>
    </xf>
    <xf numFmtId="0" fontId="20" fillId="0" borderId="4" xfId="68" applyFont="1" applyBorder="1" applyAlignment="1">
      <alignment horizontal="center" vertical="center"/>
    </xf>
    <xf numFmtId="2" fontId="15" fillId="0" borderId="4" xfId="19" applyNumberFormat="1" applyFont="1" applyFill="1" applyBorder="1" applyAlignment="1">
      <alignment horizontal="center" vertical="center"/>
    </xf>
    <xf numFmtId="2" fontId="20" fillId="0" borderId="4" xfId="68" applyNumberFormat="1" applyFont="1" applyBorder="1" applyAlignment="1">
      <alignment horizontal="center" vertical="center"/>
    </xf>
    <xf numFmtId="2" fontId="15" fillId="0" borderId="6" xfId="68" applyNumberFormat="1" applyFont="1" applyBorder="1" applyAlignment="1">
      <alignment horizontal="center" vertical="center"/>
    </xf>
    <xf numFmtId="2" fontId="20" fillId="0" borderId="4" xfId="19" applyNumberFormat="1" applyFont="1" applyFill="1" applyBorder="1" applyAlignment="1">
      <alignment horizontal="center" vertical="center"/>
    </xf>
    <xf numFmtId="2" fontId="15" fillId="0" borderId="3" xfId="68" applyNumberFormat="1" applyFont="1" applyBorder="1" applyAlignment="1">
      <alignment horizontal="center" vertical="center"/>
    </xf>
    <xf numFmtId="2" fontId="20" fillId="0" borderId="6" xfId="68" applyNumberFormat="1" applyFont="1" applyBorder="1" applyAlignment="1">
      <alignment horizontal="center" vertical="center"/>
    </xf>
    <xf numFmtId="2" fontId="15" fillId="0" borderId="9" xfId="14" applyNumberFormat="1" applyFont="1" applyBorder="1" applyAlignment="1">
      <alignment horizontal="right" vertical="center"/>
    </xf>
    <xf numFmtId="0" fontId="12" fillId="0" borderId="0" xfId="10" applyFont="1" applyAlignment="1">
      <alignment horizontal="left" vertical="center"/>
    </xf>
    <xf numFmtId="0" fontId="7" fillId="0" borderId="0" xfId="10" applyFont="1" applyAlignment="1">
      <alignment vertical="center"/>
    </xf>
    <xf numFmtId="0" fontId="12" fillId="0" borderId="0" xfId="10" applyFont="1" applyAlignment="1">
      <alignment horizontal="right" vertical="center"/>
    </xf>
    <xf numFmtId="0" fontId="12" fillId="0" borderId="4" xfId="1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/>
    </xf>
    <xf numFmtId="0" fontId="7" fillId="0" borderId="4" xfId="10" applyFont="1" applyBorder="1" applyAlignment="1">
      <alignment vertical="center"/>
    </xf>
    <xf numFmtId="2" fontId="7" fillId="0" borderId="4" xfId="14" applyNumberFormat="1" applyFont="1" applyBorder="1" applyAlignment="1">
      <alignment horizontal="center" vertical="center"/>
    </xf>
    <xf numFmtId="2" fontId="7" fillId="0" borderId="4" xfId="10" applyNumberFormat="1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/>
    </xf>
    <xf numFmtId="2" fontId="7" fillId="0" borderId="4" xfId="10" applyNumberFormat="1" applyFont="1" applyBorder="1" applyAlignment="1">
      <alignment vertical="center"/>
    </xf>
    <xf numFmtId="0" fontId="7" fillId="0" borderId="4" xfId="10" applyFont="1" applyBorder="1" applyAlignment="1">
      <alignment horizontal="left" vertical="center"/>
    </xf>
    <xf numFmtId="2" fontId="12" fillId="6" borderId="9" xfId="14" applyNumberFormat="1" applyFont="1" applyFill="1" applyBorder="1">
      <alignment vertical="center"/>
    </xf>
    <xf numFmtId="0" fontId="7" fillId="0" borderId="4" xfId="10" applyFont="1" applyBorder="1" applyAlignment="1">
      <alignment vertical="center" wrapText="1"/>
    </xf>
    <xf numFmtId="2" fontId="7" fillId="0" borderId="9" xfId="14" applyNumberFormat="1" applyFont="1" applyBorder="1">
      <alignment vertical="center"/>
    </xf>
    <xf numFmtId="0" fontId="7" fillId="0" borderId="4" xfId="10" applyFont="1" applyBorder="1" applyAlignment="1">
      <alignment horizontal="left" vertical="center" wrapText="1"/>
    </xf>
    <xf numFmtId="2" fontId="7" fillId="0" borderId="4" xfId="10" applyNumberFormat="1" applyFont="1" applyBorder="1" applyAlignment="1">
      <alignment horizontal="right" vertical="center"/>
    </xf>
    <xf numFmtId="2" fontId="7" fillId="0" borderId="4" xfId="10" applyNumberFormat="1" applyFont="1" applyBorder="1" applyAlignment="1">
      <alignment horizontal="right" vertical="center" wrapText="1"/>
    </xf>
    <xf numFmtId="0" fontId="12" fillId="0" borderId="0" xfId="10" applyFont="1" applyAlignment="1">
      <alignment vertical="center"/>
    </xf>
    <xf numFmtId="2" fontId="7" fillId="6" borderId="9" xfId="14" applyNumberFormat="1" applyFont="1" applyFill="1" applyBorder="1">
      <alignment vertical="center"/>
    </xf>
    <xf numFmtId="10" fontId="7" fillId="0" borderId="9" xfId="14" applyNumberFormat="1" applyFont="1" applyBorder="1">
      <alignment vertical="center"/>
    </xf>
    <xf numFmtId="0" fontId="7" fillId="0" borderId="9" xfId="14" applyFont="1" applyBorder="1">
      <alignment vertical="center"/>
    </xf>
    <xf numFmtId="0" fontId="12" fillId="0" borderId="6" xfId="14" applyFont="1" applyBorder="1" applyAlignment="1">
      <alignment horizontal="center" vertical="center" wrapText="1"/>
    </xf>
    <xf numFmtId="0" fontId="12" fillId="0" borderId="4" xfId="10" applyFont="1" applyBorder="1" applyAlignment="1">
      <alignment vertical="center"/>
    </xf>
    <xf numFmtId="2" fontId="12" fillId="6" borderId="4" xfId="10" applyNumberFormat="1" applyFont="1" applyFill="1" applyBorder="1" applyAlignment="1">
      <alignment vertical="center"/>
    </xf>
    <xf numFmtId="10" fontId="7" fillId="0" borderId="4" xfId="10" applyNumberFormat="1" applyFont="1" applyBorder="1" applyAlignment="1">
      <alignment vertical="center"/>
    </xf>
    <xf numFmtId="10" fontId="12" fillId="6" borderId="4" xfId="10" applyNumberFormat="1" applyFont="1" applyFill="1" applyBorder="1" applyAlignment="1">
      <alignment vertical="center"/>
    </xf>
    <xf numFmtId="0" fontId="12" fillId="0" borderId="4" xfId="10" applyFont="1" applyBorder="1" applyAlignment="1">
      <alignment horizontal="center" vertical="center"/>
    </xf>
    <xf numFmtId="0" fontId="12" fillId="0" borderId="7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5" borderId="4" xfId="14" applyFont="1" applyFill="1" applyBorder="1" applyAlignment="1">
      <alignment horizontal="left" vertical="center"/>
    </xf>
    <xf numFmtId="2" fontId="12" fillId="6" borderId="4" xfId="14" applyNumberFormat="1" applyFont="1" applyFill="1" applyBorder="1" applyAlignment="1">
      <alignment horizontal="center" vertical="center"/>
    </xf>
    <xf numFmtId="2" fontId="12" fillId="0" borderId="4" xfId="14" applyNumberFormat="1" applyFont="1" applyBorder="1" applyAlignment="1">
      <alignment horizontal="center" vertical="center"/>
    </xf>
    <xf numFmtId="2" fontId="12" fillId="5" borderId="4" xfId="14" applyNumberFormat="1" applyFont="1" applyFill="1" applyBorder="1" applyAlignment="1">
      <alignment horizontal="center" vertical="center"/>
    </xf>
    <xf numFmtId="0" fontId="12" fillId="0" borderId="4" xfId="14" applyFont="1" applyBorder="1">
      <alignment vertical="center"/>
    </xf>
    <xf numFmtId="43" fontId="15" fillId="5" borderId="4" xfId="10" applyNumberFormat="1" applyFont="1" applyFill="1" applyBorder="1"/>
    <xf numFmtId="43" fontId="20" fillId="5" borderId="4" xfId="10" applyNumberFormat="1" applyFont="1" applyFill="1" applyBorder="1"/>
    <xf numFmtId="43" fontId="15" fillId="5" borderId="4" xfId="14" applyNumberFormat="1" applyFont="1" applyFill="1" applyBorder="1">
      <alignment vertical="center"/>
    </xf>
    <xf numFmtId="0" fontId="15" fillId="0" borderId="7" xfId="33" applyFont="1" applyBorder="1" applyAlignment="1">
      <alignment wrapText="1"/>
    </xf>
    <xf numFmtId="0" fontId="15" fillId="0" borderId="7" xfId="33" applyFont="1" applyBorder="1"/>
    <xf numFmtId="0" fontId="15" fillId="0" borderId="4" xfId="33" applyFont="1" applyBorder="1" applyAlignment="1">
      <alignment wrapText="1"/>
    </xf>
    <xf numFmtId="0" fontId="15" fillId="0" borderId="4" xfId="33" applyFont="1" applyBorder="1"/>
    <xf numFmtId="10" fontId="15" fillId="0" borderId="4" xfId="33" applyNumberFormat="1" applyFont="1" applyBorder="1"/>
    <xf numFmtId="10" fontId="15" fillId="0" borderId="0" xfId="33" applyNumberFormat="1" applyFont="1"/>
    <xf numFmtId="9" fontId="15" fillId="0" borderId="4" xfId="33" applyNumberFormat="1" applyFont="1" applyBorder="1"/>
    <xf numFmtId="43" fontId="15" fillId="0" borderId="4" xfId="71" applyFont="1" applyBorder="1"/>
    <xf numFmtId="43" fontId="15" fillId="0" borderId="7" xfId="71" applyFont="1" applyBorder="1"/>
    <xf numFmtId="2" fontId="7" fillId="0" borderId="0" xfId="14" applyNumberFormat="1" applyFont="1">
      <alignment vertical="center"/>
    </xf>
    <xf numFmtId="0" fontId="20" fillId="0" borderId="3" xfId="14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0" fontId="12" fillId="0" borderId="0" xfId="14" applyFont="1">
      <alignment vertical="center"/>
    </xf>
    <xf numFmtId="2" fontId="28" fillId="0" borderId="4" xfId="10" applyNumberFormat="1" applyFont="1" applyBorder="1" applyAlignment="1">
      <alignment vertical="center" wrapText="1"/>
    </xf>
    <xf numFmtId="2" fontId="20" fillId="0" borderId="4" xfId="10" applyNumberFormat="1" applyFont="1" applyBorder="1" applyAlignment="1">
      <alignment vertical="center" wrapText="1"/>
    </xf>
    <xf numFmtId="170" fontId="7" fillId="0" borderId="0" xfId="14" applyNumberFormat="1" applyFont="1">
      <alignment vertical="center"/>
    </xf>
    <xf numFmtId="0" fontId="12" fillId="0" borderId="0" xfId="14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12" fillId="0" borderId="8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 vertical="center"/>
    </xf>
    <xf numFmtId="0" fontId="12" fillId="0" borderId="7" xfId="14" applyFont="1" applyBorder="1" applyAlignment="1">
      <alignment horizontal="center" vertical="center"/>
    </xf>
    <xf numFmtId="0" fontId="12" fillId="0" borderId="8" xfId="14" applyFont="1" applyBorder="1" applyAlignment="1">
      <alignment horizontal="center" vertical="center" wrapText="1"/>
    </xf>
    <xf numFmtId="0" fontId="12" fillId="0" borderId="10" xfId="1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12" fillId="0" borderId="4" xfId="14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12" fillId="0" borderId="6" xfId="14" applyFont="1" applyBorder="1" applyAlignment="1">
      <alignment horizontal="center" vertical="center" wrapText="1"/>
    </xf>
    <xf numFmtId="0" fontId="12" fillId="0" borderId="3" xfId="14" applyFont="1" applyBorder="1" applyAlignment="1">
      <alignment horizontal="center" vertical="center" wrapText="1"/>
    </xf>
    <xf numFmtId="0" fontId="12" fillId="0" borderId="9" xfId="14" applyFont="1" applyBorder="1" applyAlignment="1">
      <alignment horizontal="center" vertical="center" wrapText="1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6" xfId="14" applyFont="1" applyBorder="1" applyAlignment="1">
      <alignment horizontal="center" vertical="center" wrapText="1"/>
    </xf>
    <xf numFmtId="0" fontId="20" fillId="0" borderId="3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20" fillId="0" borderId="8" xfId="10" applyFont="1" applyBorder="1" applyAlignment="1">
      <alignment horizontal="center" vertical="center" wrapText="1"/>
    </xf>
    <xf numFmtId="0" fontId="20" fillId="0" borderId="10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4" xfId="14" applyFont="1" applyBorder="1" applyAlignment="1">
      <alignment horizontal="center" vertical="center"/>
    </xf>
    <xf numFmtId="0" fontId="15" fillId="0" borderId="4" xfId="10" applyFont="1" applyBorder="1" applyAlignment="1">
      <alignment vertical="center"/>
    </xf>
    <xf numFmtId="0" fontId="20" fillId="0" borderId="0" xfId="10" applyFont="1" applyAlignment="1">
      <alignment horizontal="center"/>
    </xf>
    <xf numFmtId="0" fontId="20" fillId="0" borderId="4" xfId="14" applyFont="1" applyBorder="1" applyAlignment="1">
      <alignment horizontal="center" vertical="center" wrapText="1"/>
    </xf>
    <xf numFmtId="0" fontId="20" fillId="0" borderId="8" xfId="14" applyFont="1" applyBorder="1" applyAlignment="1">
      <alignment horizontal="center" vertical="center" wrapText="1"/>
    </xf>
    <xf numFmtId="0" fontId="20" fillId="0" borderId="10" xfId="14" applyFont="1" applyBorder="1" applyAlignment="1">
      <alignment horizontal="center" vertical="center" wrapText="1"/>
    </xf>
    <xf numFmtId="0" fontId="15" fillId="0" borderId="7" xfId="10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/>
    </xf>
    <xf numFmtId="0" fontId="20" fillId="4" borderId="17" xfId="68" applyFont="1" applyFill="1" applyBorder="1" applyAlignment="1">
      <alignment horizontal="center" vertical="center"/>
    </xf>
    <xf numFmtId="0" fontId="20" fillId="4" borderId="18" xfId="68" applyFont="1" applyFill="1" applyBorder="1" applyAlignment="1">
      <alignment horizontal="center" vertical="center"/>
    </xf>
    <xf numFmtId="0" fontId="20" fillId="4" borderId="19" xfId="68" applyFont="1" applyFill="1" applyBorder="1" applyAlignment="1">
      <alignment horizontal="center" vertical="center"/>
    </xf>
    <xf numFmtId="0" fontId="20" fillId="4" borderId="4" xfId="68" applyFont="1" applyFill="1" applyBorder="1" applyAlignment="1">
      <alignment horizontal="center" vertical="center" wrapText="1"/>
    </xf>
    <xf numFmtId="0" fontId="20" fillId="4" borderId="11" xfId="68" applyFont="1" applyFill="1" applyBorder="1" applyAlignment="1">
      <alignment horizontal="center" vertical="center" wrapText="1"/>
    </xf>
    <xf numFmtId="0" fontId="20" fillId="4" borderId="5" xfId="68" applyFont="1" applyFill="1" applyBorder="1" applyAlignment="1">
      <alignment horizontal="center" vertical="center" wrapText="1"/>
    </xf>
    <xf numFmtId="0" fontId="20" fillId="4" borderId="12" xfId="68" applyFont="1" applyFill="1" applyBorder="1" applyAlignment="1">
      <alignment horizontal="center" vertical="center" wrapText="1"/>
    </xf>
    <xf numFmtId="0" fontId="20" fillId="4" borderId="4" xfId="68" quotePrefix="1" applyFont="1" applyFill="1" applyBorder="1" applyAlignment="1">
      <alignment horizontal="center" vertical="center" wrapText="1"/>
    </xf>
    <xf numFmtId="0" fontId="20" fillId="4" borderId="13" xfId="68" quotePrefix="1" applyFont="1" applyFill="1" applyBorder="1" applyAlignment="1">
      <alignment horizontal="center" vertical="center" wrapText="1"/>
    </xf>
    <xf numFmtId="0" fontId="20" fillId="4" borderId="13" xfId="68" applyFont="1" applyFill="1" applyBorder="1" applyAlignment="1">
      <alignment horizontal="center" vertical="center" wrapText="1"/>
    </xf>
    <xf numFmtId="0" fontId="12" fillId="0" borderId="3" xfId="10" applyFont="1" applyBorder="1" applyAlignment="1">
      <alignment horizontal="center" vertical="center"/>
    </xf>
    <xf numFmtId="0" fontId="12" fillId="0" borderId="9" xfId="10" applyFont="1" applyBorder="1" applyAlignment="1">
      <alignment horizontal="center" vertical="center"/>
    </xf>
    <xf numFmtId="0" fontId="12" fillId="0" borderId="4" xfId="10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4" xfId="10" applyBorder="1" applyAlignment="1">
      <alignment horizontal="center" vertical="center" wrapText="1"/>
    </xf>
    <xf numFmtId="0" fontId="8" fillId="0" borderId="4" xfId="10" applyBorder="1" applyAlignment="1">
      <alignment horizontal="center" vertical="center"/>
    </xf>
    <xf numFmtId="2" fontId="20" fillId="0" borderId="6" xfId="10" applyNumberFormat="1" applyFont="1" applyBorder="1" applyAlignment="1">
      <alignment horizontal="center" vertical="center"/>
    </xf>
    <xf numFmtId="2" fontId="20" fillId="0" borderId="3" xfId="10" applyNumberFormat="1" applyFont="1" applyBorder="1" applyAlignment="1">
      <alignment horizontal="center" vertical="center"/>
    </xf>
    <xf numFmtId="2" fontId="20" fillId="0" borderId="9" xfId="10" applyNumberFormat="1" applyFont="1" applyBorder="1" applyAlignment="1">
      <alignment horizontal="center" vertical="center"/>
    </xf>
    <xf numFmtId="2" fontId="20" fillId="0" borderId="0" xfId="10" applyNumberFormat="1" applyFont="1" applyAlignment="1">
      <alignment horizontal="center" vertical="center"/>
    </xf>
  </cellXfs>
  <cellStyles count="73">
    <cellStyle name="Body" xfId="1"/>
    <cellStyle name="Comma" xfId="71" builtinId="3"/>
    <cellStyle name="Comma  - Style1" xfId="2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omma 9" xfId="72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G10" sqref="G10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54" t="s">
        <v>401</v>
      </c>
      <c r="C2" s="254"/>
      <c r="D2" s="255"/>
      <c r="E2" s="255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54" t="s">
        <v>376</v>
      </c>
      <c r="C3" s="254"/>
      <c r="D3" s="255"/>
      <c r="E3" s="255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56" t="s">
        <v>326</v>
      </c>
      <c r="C4" s="256"/>
      <c r="D4" s="257"/>
      <c r="E4" s="257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3" t="s">
        <v>328</v>
      </c>
    </row>
    <row r="6" spans="2:15" ht="15.75">
      <c r="N6" s="7"/>
    </row>
    <row r="7" spans="2:15" ht="15.75">
      <c r="B7" s="17" t="s">
        <v>186</v>
      </c>
      <c r="C7" s="17" t="s">
        <v>327</v>
      </c>
      <c r="D7" s="18" t="s">
        <v>7</v>
      </c>
      <c r="E7" s="18" t="s">
        <v>329</v>
      </c>
    </row>
    <row r="8" spans="2:15">
      <c r="B8" s="8">
        <v>1</v>
      </c>
      <c r="C8" s="8" t="s">
        <v>6</v>
      </c>
      <c r="D8" s="9" t="s">
        <v>331</v>
      </c>
      <c r="E8" s="10"/>
    </row>
    <row r="9" spans="2:15">
      <c r="B9" s="8">
        <f>B8+1</f>
        <v>2</v>
      </c>
      <c r="C9" s="8" t="s">
        <v>273</v>
      </c>
      <c r="D9" s="9" t="s">
        <v>333</v>
      </c>
      <c r="E9" s="10"/>
    </row>
    <row r="10" spans="2:15">
      <c r="B10" s="8">
        <f>B9+1</f>
        <v>3</v>
      </c>
      <c r="C10" s="8" t="s">
        <v>24</v>
      </c>
      <c r="D10" s="9" t="s">
        <v>334</v>
      </c>
      <c r="E10" s="10"/>
    </row>
    <row r="11" spans="2:15">
      <c r="B11" s="8">
        <f>B10+1</f>
        <v>4</v>
      </c>
      <c r="C11" s="8" t="s">
        <v>25</v>
      </c>
      <c r="D11" s="9" t="s">
        <v>335</v>
      </c>
      <c r="E11" s="10"/>
    </row>
    <row r="12" spans="2:15">
      <c r="B12" s="8">
        <f>B11+1</f>
        <v>5</v>
      </c>
      <c r="C12" s="8" t="s">
        <v>274</v>
      </c>
      <c r="D12" s="9" t="s">
        <v>336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211</v>
      </c>
      <c r="E13" s="10"/>
    </row>
    <row r="14" spans="2:15">
      <c r="B14" s="8">
        <f t="shared" si="0"/>
        <v>7</v>
      </c>
      <c r="C14" s="8" t="s">
        <v>27</v>
      </c>
      <c r="D14" s="9" t="s">
        <v>337</v>
      </c>
      <c r="E14" s="10"/>
    </row>
    <row r="15" spans="2:15">
      <c r="B15" s="8">
        <f t="shared" si="0"/>
        <v>8</v>
      </c>
      <c r="C15" s="8" t="s">
        <v>28</v>
      </c>
      <c r="D15" s="11" t="s">
        <v>183</v>
      </c>
      <c r="E15" s="10"/>
    </row>
    <row r="16" spans="2:15">
      <c r="B16" s="8">
        <f t="shared" si="0"/>
        <v>9</v>
      </c>
      <c r="C16" s="8" t="s">
        <v>23</v>
      </c>
      <c r="D16" s="11" t="s">
        <v>338</v>
      </c>
      <c r="E16" s="10"/>
    </row>
    <row r="17" spans="2:5">
      <c r="B17" s="8">
        <f t="shared" si="0"/>
        <v>10</v>
      </c>
      <c r="C17" s="8" t="s">
        <v>29</v>
      </c>
      <c r="D17" s="9" t="s">
        <v>236</v>
      </c>
      <c r="E17" s="10"/>
    </row>
    <row r="18" spans="2:5">
      <c r="B18" s="8">
        <f t="shared" si="0"/>
        <v>11</v>
      </c>
      <c r="C18" s="8" t="s">
        <v>30</v>
      </c>
      <c r="D18" s="11" t="s">
        <v>291</v>
      </c>
      <c r="E18" s="10"/>
    </row>
    <row r="19" spans="2:5">
      <c r="B19" s="8">
        <f t="shared" si="0"/>
        <v>12</v>
      </c>
      <c r="C19" s="8" t="s">
        <v>31</v>
      </c>
      <c r="D19" s="11" t="s">
        <v>237</v>
      </c>
      <c r="E19" s="10"/>
    </row>
    <row r="20" spans="2:5">
      <c r="B20" s="8">
        <f t="shared" si="0"/>
        <v>13</v>
      </c>
      <c r="C20" s="8" t="s">
        <v>32</v>
      </c>
      <c r="D20" s="11" t="s">
        <v>152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339</v>
      </c>
      <c r="E22" s="10"/>
    </row>
    <row r="23" spans="2:5">
      <c r="B23" s="8">
        <f t="shared" si="0"/>
        <v>16</v>
      </c>
      <c r="C23" s="8" t="s">
        <v>35</v>
      </c>
      <c r="D23" s="9" t="s">
        <v>340</v>
      </c>
      <c r="E23" s="10"/>
    </row>
    <row r="24" spans="2:5">
      <c r="B24" s="8">
        <f t="shared" si="0"/>
        <v>17</v>
      </c>
      <c r="C24" s="8" t="s">
        <v>153</v>
      </c>
      <c r="D24" s="9" t="s">
        <v>240</v>
      </c>
      <c r="E24" s="10"/>
    </row>
    <row r="25" spans="2:5">
      <c r="B25" s="8">
        <f t="shared" si="0"/>
        <v>18</v>
      </c>
      <c r="C25" s="8" t="s">
        <v>162</v>
      </c>
      <c r="D25" s="9" t="s">
        <v>341</v>
      </c>
      <c r="E25" s="10"/>
    </row>
    <row r="26" spans="2:5">
      <c r="B26" s="8">
        <f t="shared" si="0"/>
        <v>19</v>
      </c>
      <c r="C26" s="8" t="s">
        <v>330</v>
      </c>
      <c r="D26" s="9" t="s">
        <v>220</v>
      </c>
      <c r="E26" s="10"/>
    </row>
    <row r="27" spans="2:5">
      <c r="B27" s="8">
        <f t="shared" si="0"/>
        <v>20</v>
      </c>
      <c r="C27" s="8" t="s">
        <v>213</v>
      </c>
      <c r="D27" s="9" t="s">
        <v>342</v>
      </c>
      <c r="E27" s="10"/>
    </row>
    <row r="28" spans="2:5">
      <c r="B28" s="8">
        <f t="shared" si="0"/>
        <v>21</v>
      </c>
      <c r="C28" s="8" t="s">
        <v>214</v>
      </c>
      <c r="D28" s="11" t="s">
        <v>343</v>
      </c>
      <c r="E28" s="10"/>
    </row>
    <row r="29" spans="2:5" ht="15.75">
      <c r="B29" s="12"/>
      <c r="C29" s="12"/>
      <c r="D29" s="13" t="s">
        <v>219</v>
      </c>
      <c r="E29" s="14"/>
    </row>
    <row r="30" spans="2:5">
      <c r="B30" s="8">
        <f>B28+1</f>
        <v>22</v>
      </c>
      <c r="C30" s="8" t="s">
        <v>349</v>
      </c>
      <c r="D30" s="9" t="s">
        <v>357</v>
      </c>
      <c r="E30" s="10"/>
    </row>
    <row r="31" spans="2:5">
      <c r="B31" s="8">
        <f>B30+1</f>
        <v>23</v>
      </c>
      <c r="C31" s="8" t="s">
        <v>350</v>
      </c>
      <c r="D31" s="9" t="s">
        <v>358</v>
      </c>
      <c r="E31" s="10"/>
    </row>
    <row r="32" spans="2:5">
      <c r="B32" s="8">
        <f>B31+1</f>
        <v>24</v>
      </c>
      <c r="C32" s="8" t="s">
        <v>347</v>
      </c>
      <c r="D32" s="9" t="s">
        <v>178</v>
      </c>
      <c r="E32" s="10"/>
    </row>
    <row r="33" spans="2:5">
      <c r="B33" s="8">
        <f t="shared" si="0"/>
        <v>25</v>
      </c>
      <c r="C33" s="8" t="s">
        <v>348</v>
      </c>
      <c r="D33" s="9" t="s">
        <v>179</v>
      </c>
      <c r="E33" s="10"/>
    </row>
    <row r="34" spans="2:5">
      <c r="B34" s="8">
        <f t="shared" si="0"/>
        <v>26</v>
      </c>
      <c r="C34" s="8" t="s">
        <v>351</v>
      </c>
      <c r="D34" s="9" t="s">
        <v>180</v>
      </c>
      <c r="E34" s="10"/>
    </row>
    <row r="35" spans="2:5">
      <c r="B35" s="8">
        <f t="shared" si="0"/>
        <v>27</v>
      </c>
      <c r="C35" s="8" t="s">
        <v>352</v>
      </c>
      <c r="D35" s="9" t="s">
        <v>181</v>
      </c>
      <c r="E35" s="10"/>
    </row>
    <row r="36" spans="2:5">
      <c r="B36" s="8">
        <f t="shared" si="0"/>
        <v>28</v>
      </c>
      <c r="C36" s="8" t="s">
        <v>353</v>
      </c>
      <c r="D36" s="9" t="s">
        <v>200</v>
      </c>
      <c r="E36" s="10"/>
    </row>
    <row r="37" spans="2:5">
      <c r="B37" s="8">
        <f t="shared" si="0"/>
        <v>29</v>
      </c>
      <c r="C37" s="8" t="s">
        <v>354</v>
      </c>
      <c r="D37" s="9" t="s">
        <v>182</v>
      </c>
      <c r="E37" s="10"/>
    </row>
    <row r="38" spans="2:5">
      <c r="B38" s="8">
        <f t="shared" si="0"/>
        <v>30</v>
      </c>
      <c r="C38" s="8" t="s">
        <v>355</v>
      </c>
      <c r="D38" s="9" t="s">
        <v>344</v>
      </c>
      <c r="E38" s="10"/>
    </row>
    <row r="39" spans="2:5">
      <c r="B39" s="8">
        <f t="shared" si="0"/>
        <v>31</v>
      </c>
      <c r="C39" s="8" t="s">
        <v>356</v>
      </c>
      <c r="D39" s="9" t="s">
        <v>345</v>
      </c>
      <c r="E39" s="10"/>
    </row>
    <row r="41" spans="2:5" ht="15.75">
      <c r="B41" s="16" t="s">
        <v>346</v>
      </c>
      <c r="C41" s="16"/>
    </row>
  </sheetData>
  <mergeCells count="3">
    <mergeCell ref="B2:E2"/>
    <mergeCell ref="B4:E4"/>
    <mergeCell ref="B3:E3"/>
  </mergeCells>
  <phoneticPr fontId="11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83"/>
  <sheetViews>
    <sheetView showGridLines="0" topLeftCell="A68" zoomScale="90" zoomScaleNormal="90" zoomScaleSheetLayoutView="90" workbookViewId="0">
      <selection activeCell="A38" sqref="A38:XFD38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6"/>
    </row>
    <row r="2" spans="2:15" ht="15">
      <c r="H2" s="36" t="s">
        <v>401</v>
      </c>
      <c r="I2" s="36"/>
    </row>
    <row r="3" spans="2:15" ht="15">
      <c r="H3" s="36" t="s">
        <v>377</v>
      </c>
      <c r="I3" s="36"/>
    </row>
    <row r="4" spans="2:15" ht="15">
      <c r="H4" s="38" t="s">
        <v>276</v>
      </c>
      <c r="I4" s="38"/>
    </row>
    <row r="5" spans="2:15" ht="15.75" thickBot="1">
      <c r="K5" s="38"/>
      <c r="O5" s="35" t="s">
        <v>4</v>
      </c>
    </row>
    <row r="6" spans="2:15" ht="15">
      <c r="B6" s="290" t="s">
        <v>383</v>
      </c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2"/>
    </row>
    <row r="7" spans="2:15" ht="14.25" customHeight="1">
      <c r="B7" s="295" t="s">
        <v>2</v>
      </c>
      <c r="C7" s="297" t="s">
        <v>272</v>
      </c>
      <c r="D7" s="293" t="s">
        <v>259</v>
      </c>
      <c r="E7" s="293" t="s">
        <v>260</v>
      </c>
      <c r="F7" s="293" t="s">
        <v>261</v>
      </c>
      <c r="G7" s="293"/>
      <c r="H7" s="293"/>
      <c r="I7" s="293"/>
      <c r="J7" s="293" t="s">
        <v>262</v>
      </c>
      <c r="K7" s="293"/>
      <c r="L7" s="293"/>
      <c r="M7" s="293"/>
      <c r="N7" s="293" t="s">
        <v>263</v>
      </c>
      <c r="O7" s="294"/>
    </row>
    <row r="8" spans="2:15" ht="60.75" thickBot="1">
      <c r="B8" s="296"/>
      <c r="C8" s="298"/>
      <c r="D8" s="299"/>
      <c r="E8" s="299"/>
      <c r="F8" s="65" t="s">
        <v>264</v>
      </c>
      <c r="G8" s="65" t="s">
        <v>126</v>
      </c>
      <c r="H8" s="65" t="s">
        <v>265</v>
      </c>
      <c r="I8" s="65" t="s">
        <v>266</v>
      </c>
      <c r="J8" s="65" t="s">
        <v>267</v>
      </c>
      <c r="K8" s="65" t="s">
        <v>126</v>
      </c>
      <c r="L8" s="65" t="s">
        <v>268</v>
      </c>
      <c r="M8" s="65" t="s">
        <v>269</v>
      </c>
      <c r="N8" s="65" t="s">
        <v>264</v>
      </c>
      <c r="O8" s="66" t="s">
        <v>266</v>
      </c>
    </row>
    <row r="9" spans="2:15" ht="15">
      <c r="B9" s="64">
        <v>1</v>
      </c>
      <c r="C9" s="67" t="s">
        <v>388</v>
      </c>
      <c r="D9" s="68">
        <v>1000</v>
      </c>
      <c r="E9" s="69">
        <v>0</v>
      </c>
      <c r="F9" s="70">
        <v>0.30328280000000002</v>
      </c>
      <c r="G9" s="71">
        <v>0</v>
      </c>
      <c r="H9" s="70">
        <v>0</v>
      </c>
      <c r="I9" s="134">
        <f>F9+G9-H9</f>
        <v>0.30328280000000002</v>
      </c>
      <c r="J9" s="135">
        <v>0</v>
      </c>
      <c r="K9" s="136">
        <v>0</v>
      </c>
      <c r="L9" s="137">
        <v>0</v>
      </c>
      <c r="M9" s="138">
        <f>J9+K9-L9</f>
        <v>0</v>
      </c>
      <c r="N9" s="139">
        <f>F9-J9</f>
        <v>0.30328280000000002</v>
      </c>
      <c r="O9" s="139">
        <f>I9-M9</f>
        <v>0.30328280000000002</v>
      </c>
    </row>
    <row r="10" spans="2:15" ht="15">
      <c r="B10" s="72">
        <v>2</v>
      </c>
      <c r="C10" s="73" t="s">
        <v>116</v>
      </c>
      <c r="D10" s="74">
        <v>1100</v>
      </c>
      <c r="E10" s="75">
        <v>3.3399999999999999E-2</v>
      </c>
      <c r="F10" s="76">
        <v>434.68127679999998</v>
      </c>
      <c r="G10" s="77">
        <v>0</v>
      </c>
      <c r="H10" s="76">
        <v>0</v>
      </c>
      <c r="I10" s="140">
        <f>F10+G10-H10</f>
        <v>434.68127679999998</v>
      </c>
      <c r="J10" s="141">
        <v>275.58167658000002</v>
      </c>
      <c r="K10" s="142">
        <v>6.0734710640000005</v>
      </c>
      <c r="L10" s="143">
        <v>0</v>
      </c>
      <c r="M10" s="144">
        <f t="shared" ref="M10:M12" si="0">J10+K10-L10</f>
        <v>281.65514764400001</v>
      </c>
      <c r="N10" s="140">
        <f t="shared" ref="N10:N12" si="1">F10-J10</f>
        <v>159.09960021999996</v>
      </c>
      <c r="O10" s="140">
        <f t="shared" ref="O10:O12" si="2">I10-M10</f>
        <v>153.02612915599997</v>
      </c>
    </row>
    <row r="11" spans="2:15" ht="15">
      <c r="B11" s="72">
        <v>3</v>
      </c>
      <c r="C11" s="79" t="s">
        <v>399</v>
      </c>
      <c r="D11" s="74">
        <v>1200</v>
      </c>
      <c r="E11" s="75">
        <v>5.28E-2</v>
      </c>
      <c r="F11" s="76">
        <v>240.64748510000001</v>
      </c>
      <c r="G11" s="77">
        <v>0</v>
      </c>
      <c r="H11" s="76">
        <v>0</v>
      </c>
      <c r="I11" s="140">
        <f t="shared" ref="I11:I12" si="3">F11+G11-H11</f>
        <v>240.64748510000001</v>
      </c>
      <c r="J11" s="141">
        <v>203.97377339900001</v>
      </c>
      <c r="K11" s="142">
        <v>0.593535123</v>
      </c>
      <c r="L11" s="143">
        <v>0</v>
      </c>
      <c r="M11" s="144">
        <f t="shared" si="0"/>
        <v>204.56730852200002</v>
      </c>
      <c r="N11" s="140">
        <f t="shared" si="1"/>
        <v>36.673711701000002</v>
      </c>
      <c r="O11" s="140">
        <f t="shared" si="2"/>
        <v>36.080176577999993</v>
      </c>
    </row>
    <row r="12" spans="2:15" ht="15.75" thickBot="1">
      <c r="B12" s="191">
        <v>4</v>
      </c>
      <c r="C12" s="192" t="s">
        <v>115</v>
      </c>
      <c r="D12" s="193">
        <v>1300</v>
      </c>
      <c r="E12" s="80">
        <v>5.28E-2</v>
      </c>
      <c r="F12" s="77">
        <f>2257.614473057-16.32</f>
        <v>2241.2944730569998</v>
      </c>
      <c r="G12" s="77">
        <v>13.313196187999999</v>
      </c>
      <c r="H12" s="194">
        <v>1.1993971000000001</v>
      </c>
      <c r="I12" s="195">
        <f t="shared" si="3"/>
        <v>2253.4082721449995</v>
      </c>
      <c r="J12" s="196">
        <f>1399.714757126-374.26</f>
        <v>1025.454757126</v>
      </c>
      <c r="K12" s="197">
        <f>31.804882453+0.84</f>
        <v>32.644882453000001</v>
      </c>
      <c r="L12" s="198"/>
      <c r="M12" s="199">
        <f t="shared" si="0"/>
        <v>1058.099639579</v>
      </c>
      <c r="N12" s="195">
        <f t="shared" si="1"/>
        <v>1215.8397159309998</v>
      </c>
      <c r="O12" s="195">
        <f t="shared" si="2"/>
        <v>1195.3086325659995</v>
      </c>
    </row>
    <row r="13" spans="2:15" ht="15">
      <c r="B13" s="64">
        <v>5</v>
      </c>
      <c r="C13" s="67" t="s">
        <v>389</v>
      </c>
      <c r="D13" s="68">
        <v>1400</v>
      </c>
      <c r="E13" s="69">
        <v>5.28E-2</v>
      </c>
      <c r="F13" s="70">
        <v>9.0895344609999995</v>
      </c>
      <c r="G13" s="71">
        <v>0</v>
      </c>
      <c r="H13" s="70">
        <v>0</v>
      </c>
      <c r="I13" s="134">
        <f>F13+G13-H13</f>
        <v>9.0895344609999995</v>
      </c>
      <c r="J13" s="135">
        <v>1.8260138600000002</v>
      </c>
      <c r="K13" s="136">
        <v>0.33016002999999999</v>
      </c>
      <c r="L13" s="137">
        <v>0</v>
      </c>
      <c r="M13" s="138">
        <f>J13+K13-L13</f>
        <v>2.1561738900000003</v>
      </c>
      <c r="N13" s="139">
        <f>F13-J13</f>
        <v>7.2635206009999997</v>
      </c>
      <c r="O13" s="139">
        <f>I13-M13</f>
        <v>6.9333605709999997</v>
      </c>
    </row>
    <row r="14" spans="2:15" ht="15">
      <c r="B14" s="72">
        <v>6</v>
      </c>
      <c r="C14" s="73" t="s">
        <v>390</v>
      </c>
      <c r="D14" s="74">
        <v>1500</v>
      </c>
      <c r="E14" s="75">
        <v>5.28E-2</v>
      </c>
      <c r="F14" s="76">
        <v>431.22829000000002</v>
      </c>
      <c r="G14" s="77">
        <v>0</v>
      </c>
      <c r="H14" s="76">
        <v>0</v>
      </c>
      <c r="I14" s="140">
        <f>F14+G14-H14</f>
        <v>431.22829000000002</v>
      </c>
      <c r="J14" s="141">
        <v>275.38437049300001</v>
      </c>
      <c r="K14" s="142">
        <v>5.932310406</v>
      </c>
      <c r="L14" s="143">
        <v>0</v>
      </c>
      <c r="M14" s="144">
        <f t="shared" ref="M14:M16" si="4">J14+K14-L14</f>
        <v>281.316680899</v>
      </c>
      <c r="N14" s="140">
        <f t="shared" ref="N14:N16" si="5">F14-J14</f>
        <v>155.84391950700001</v>
      </c>
      <c r="O14" s="140">
        <f t="shared" ref="O14:O16" si="6">I14-M14</f>
        <v>149.91160910100001</v>
      </c>
    </row>
    <row r="15" spans="2:15" ht="15">
      <c r="B15" s="72">
        <v>7</v>
      </c>
      <c r="C15" s="79" t="s">
        <v>391</v>
      </c>
      <c r="D15" s="74">
        <v>1600</v>
      </c>
      <c r="E15" s="75">
        <v>3.3399999999999999E-2</v>
      </c>
      <c r="F15" s="76">
        <v>14.619518599999999</v>
      </c>
      <c r="G15" s="77">
        <v>0</v>
      </c>
      <c r="H15" s="76">
        <v>0</v>
      </c>
      <c r="I15" s="140">
        <f t="shared" ref="I15:I16" si="7">F15+G15-H15</f>
        <v>14.619518599999999</v>
      </c>
      <c r="J15" s="141">
        <v>8.1055182519999995</v>
      </c>
      <c r="K15" s="142">
        <v>0.25700192300000002</v>
      </c>
      <c r="L15" s="143">
        <v>0</v>
      </c>
      <c r="M15" s="144">
        <f t="shared" si="4"/>
        <v>8.3625201750000002</v>
      </c>
      <c r="N15" s="140">
        <f t="shared" si="5"/>
        <v>6.5140003479999997</v>
      </c>
      <c r="O15" s="140">
        <f t="shared" si="6"/>
        <v>6.256998424999999</v>
      </c>
    </row>
    <row r="16" spans="2:15" ht="15.75" thickBot="1">
      <c r="B16" s="72">
        <v>8</v>
      </c>
      <c r="C16" s="79" t="s">
        <v>120</v>
      </c>
      <c r="D16" s="74">
        <v>1700</v>
      </c>
      <c r="E16" s="80">
        <v>9.5000000000000001E-2</v>
      </c>
      <c r="F16" s="76">
        <v>0.55870070000000005</v>
      </c>
      <c r="G16" s="77">
        <v>0</v>
      </c>
      <c r="H16" s="78">
        <v>0</v>
      </c>
      <c r="I16" s="140">
        <f t="shared" si="7"/>
        <v>0.55870070000000005</v>
      </c>
      <c r="J16" s="141">
        <v>0.50283062999999995</v>
      </c>
      <c r="K16" s="142">
        <v>0</v>
      </c>
      <c r="L16" s="143">
        <v>0</v>
      </c>
      <c r="M16" s="144">
        <f t="shared" si="4"/>
        <v>0.50283062999999995</v>
      </c>
      <c r="N16" s="140">
        <f t="shared" si="5"/>
        <v>5.5870070000000105E-2</v>
      </c>
      <c r="O16" s="140">
        <f t="shared" si="6"/>
        <v>5.5870070000000105E-2</v>
      </c>
    </row>
    <row r="17" spans="2:17" ht="15">
      <c r="B17" s="64">
        <v>9</v>
      </c>
      <c r="C17" s="67" t="s">
        <v>392</v>
      </c>
      <c r="D17" s="68">
        <v>1800</v>
      </c>
      <c r="E17" s="69">
        <v>6.3299999999999995E-2</v>
      </c>
      <c r="F17" s="70">
        <v>0.77854433600000006</v>
      </c>
      <c r="G17" s="71">
        <v>2.9331347999999997E-2</v>
      </c>
      <c r="H17" s="70">
        <v>0</v>
      </c>
      <c r="I17" s="134">
        <f>F17+G17-H17</f>
        <v>0.80787568400000009</v>
      </c>
      <c r="J17" s="135">
        <v>0.32780401300000001</v>
      </c>
      <c r="K17" s="136">
        <v>3.5722184000000004E-2</v>
      </c>
      <c r="L17" s="137">
        <v>0</v>
      </c>
      <c r="M17" s="138">
        <f>J17+K17-L17</f>
        <v>0.363526197</v>
      </c>
      <c r="N17" s="139">
        <f>F17-J17</f>
        <v>0.45074032300000005</v>
      </c>
      <c r="O17" s="139">
        <f>I17-M17</f>
        <v>0.4443494870000001</v>
      </c>
    </row>
    <row r="18" spans="2:17" ht="15">
      <c r="B18" s="72">
        <v>10</v>
      </c>
      <c r="C18" s="73" t="s">
        <v>393</v>
      </c>
      <c r="D18" s="74">
        <v>1900</v>
      </c>
      <c r="E18" s="75">
        <v>0.15</v>
      </c>
      <c r="F18" s="76">
        <v>1.045610425</v>
      </c>
      <c r="G18" s="77">
        <v>0</v>
      </c>
      <c r="H18" s="76">
        <v>0</v>
      </c>
      <c r="I18" s="140">
        <f>F18+G18-H18</f>
        <v>1.045610425</v>
      </c>
      <c r="J18" s="141">
        <v>0.689446</v>
      </c>
      <c r="K18" s="142">
        <v>5.5053678000000002E-2</v>
      </c>
      <c r="L18" s="143">
        <v>0</v>
      </c>
      <c r="M18" s="144">
        <f t="shared" ref="M18:M20" si="8">J18+K18-L18</f>
        <v>0.74449967800000005</v>
      </c>
      <c r="N18" s="140">
        <f t="shared" ref="N18:N20" si="9">F18-J18</f>
        <v>0.35616442500000001</v>
      </c>
      <c r="O18" s="140">
        <f t="shared" ref="O18:O20" si="10">I18-M18</f>
        <v>0.30111074699999996</v>
      </c>
    </row>
    <row r="19" spans="2:17" ht="15">
      <c r="B19" s="72">
        <v>11</v>
      </c>
      <c r="C19" s="79" t="s">
        <v>122</v>
      </c>
      <c r="D19" s="74">
        <v>2100</v>
      </c>
      <c r="E19" s="75">
        <v>6.3299999999999995E-2</v>
      </c>
      <c r="F19" s="76">
        <v>1.4657741199999998</v>
      </c>
      <c r="G19" s="77">
        <v>0.10029713100000001</v>
      </c>
      <c r="H19" s="76">
        <v>0</v>
      </c>
      <c r="I19" s="140">
        <f t="shared" ref="I19:I20" si="11">F19+G19-H19</f>
        <v>1.5660712509999999</v>
      </c>
      <c r="J19" s="141">
        <v>0.91462803199999998</v>
      </c>
      <c r="K19" s="142">
        <v>5.2415082000000002E-2</v>
      </c>
      <c r="L19" s="143">
        <v>0</v>
      </c>
      <c r="M19" s="144">
        <f t="shared" si="8"/>
        <v>0.96704311399999998</v>
      </c>
      <c r="N19" s="140">
        <f t="shared" si="9"/>
        <v>0.55114608799999987</v>
      </c>
      <c r="O19" s="140">
        <f t="shared" si="10"/>
        <v>0.59902813699999991</v>
      </c>
      <c r="Q19" s="178"/>
    </row>
    <row r="20" spans="2:17" ht="15">
      <c r="B20" s="72"/>
      <c r="C20" s="79"/>
      <c r="D20" s="74"/>
      <c r="E20" s="80"/>
      <c r="F20" s="76">
        <v>0</v>
      </c>
      <c r="G20" s="77">
        <v>0</v>
      </c>
      <c r="H20" s="78">
        <v>0</v>
      </c>
      <c r="I20" s="140">
        <f t="shared" si="11"/>
        <v>0</v>
      </c>
      <c r="J20" s="141">
        <v>0</v>
      </c>
      <c r="K20" s="142">
        <v>0</v>
      </c>
      <c r="L20" s="143">
        <v>0</v>
      </c>
      <c r="M20" s="144">
        <f t="shared" si="8"/>
        <v>0</v>
      </c>
      <c r="N20" s="140">
        <f t="shared" si="9"/>
        <v>0</v>
      </c>
      <c r="O20" s="140">
        <f t="shared" si="10"/>
        <v>0</v>
      </c>
      <c r="Q20" s="178"/>
    </row>
    <row r="21" spans="2:17" ht="15.75" thickBot="1">
      <c r="B21" s="81"/>
      <c r="C21" s="82" t="s">
        <v>127</v>
      </c>
      <c r="D21" s="82"/>
      <c r="E21" s="145">
        <f>IFERROR((K21-L21)/AVERAGE(F21,I21),0)</f>
        <v>1.7535975545879125E-2</v>
      </c>
      <c r="F21" s="146">
        <f>SUM(F9:F20)</f>
        <v>3375.7124903989993</v>
      </c>
      <c r="G21" s="146">
        <f t="shared" ref="G21:I21" si="12">SUM(G9:G20)</f>
        <v>13.442824666999998</v>
      </c>
      <c r="H21" s="146">
        <f t="shared" si="12"/>
        <v>1.1993971000000001</v>
      </c>
      <c r="I21" s="146">
        <f t="shared" si="12"/>
        <v>3387.9559179659991</v>
      </c>
      <c r="J21" s="146">
        <f>SUM(J9:J20)</f>
        <v>1792.7608183850004</v>
      </c>
      <c r="K21" s="146">
        <v>59.303761904761892</v>
      </c>
      <c r="L21" s="146">
        <f t="shared" ref="L21" si="13">SUM(L9:L20)</f>
        <v>0</v>
      </c>
      <c r="M21" s="146">
        <f>J21+K21-L21</f>
        <v>1852.0645802897623</v>
      </c>
      <c r="N21" s="146">
        <f>F21-J21</f>
        <v>1582.9516720139989</v>
      </c>
      <c r="O21" s="146">
        <f>I21-M21</f>
        <v>1535.8913376762368</v>
      </c>
      <c r="P21" s="178">
        <v>59.566227798297568</v>
      </c>
      <c r="Q21" s="178"/>
    </row>
    <row r="22" spans="2:17" ht="15" thickBot="1">
      <c r="G22" s="178"/>
    </row>
    <row r="23" spans="2:17" ht="15">
      <c r="B23" s="290" t="s">
        <v>384</v>
      </c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2"/>
    </row>
    <row r="24" spans="2:17" ht="14.25" customHeight="1">
      <c r="B24" s="295" t="s">
        <v>2</v>
      </c>
      <c r="C24" s="297" t="s">
        <v>272</v>
      </c>
      <c r="D24" s="293" t="s">
        <v>259</v>
      </c>
      <c r="E24" s="293" t="s">
        <v>260</v>
      </c>
      <c r="F24" s="293" t="s">
        <v>261</v>
      </c>
      <c r="G24" s="293"/>
      <c r="H24" s="293"/>
      <c r="I24" s="293"/>
      <c r="J24" s="293" t="s">
        <v>262</v>
      </c>
      <c r="K24" s="293"/>
      <c r="L24" s="293"/>
      <c r="M24" s="293"/>
      <c r="N24" s="293" t="s">
        <v>263</v>
      </c>
      <c r="O24" s="294"/>
    </row>
    <row r="25" spans="2:17" ht="60.75" thickBot="1">
      <c r="B25" s="296"/>
      <c r="C25" s="298"/>
      <c r="D25" s="299"/>
      <c r="E25" s="299"/>
      <c r="F25" s="65" t="s">
        <v>264</v>
      </c>
      <c r="G25" s="65" t="s">
        <v>126</v>
      </c>
      <c r="H25" s="65" t="s">
        <v>265</v>
      </c>
      <c r="I25" s="65" t="s">
        <v>266</v>
      </c>
      <c r="J25" s="65" t="s">
        <v>267</v>
      </c>
      <c r="K25" s="65" t="s">
        <v>126</v>
      </c>
      <c r="L25" s="65" t="s">
        <v>268</v>
      </c>
      <c r="M25" s="65" t="s">
        <v>269</v>
      </c>
      <c r="N25" s="65" t="s">
        <v>264</v>
      </c>
      <c r="O25" s="66" t="s">
        <v>266</v>
      </c>
    </row>
    <row r="26" spans="2:17" ht="15.75" thickBot="1">
      <c r="B26" s="42">
        <v>1</v>
      </c>
      <c r="C26" s="238" t="s">
        <v>388</v>
      </c>
      <c r="D26" s="239">
        <v>1000</v>
      </c>
      <c r="E26" s="239">
        <v>0</v>
      </c>
      <c r="F26" s="134">
        <f>I9</f>
        <v>0.30328280000000002</v>
      </c>
      <c r="G26" s="71">
        <v>0</v>
      </c>
      <c r="H26" s="70"/>
      <c r="I26" s="134">
        <f>F26+G26-H26</f>
        <v>0.30328280000000002</v>
      </c>
      <c r="J26" s="135"/>
      <c r="K26" s="246">
        <v>0</v>
      </c>
      <c r="L26" s="246">
        <v>0</v>
      </c>
      <c r="M26" s="138">
        <f>J26+K26-L26</f>
        <v>0</v>
      </c>
      <c r="N26" s="139">
        <f>F26-J26</f>
        <v>0.30328280000000002</v>
      </c>
      <c r="O26" s="139">
        <f>I26-M26</f>
        <v>0.30328280000000002</v>
      </c>
    </row>
    <row r="27" spans="2:17" ht="15.75" thickBot="1">
      <c r="B27" s="42">
        <f>+B26+1</f>
        <v>2</v>
      </c>
      <c r="C27" s="240" t="s">
        <v>116</v>
      </c>
      <c r="D27" s="241">
        <v>1100</v>
      </c>
      <c r="E27" s="242">
        <v>3.3399999999999999E-2</v>
      </c>
      <c r="F27" s="134">
        <f t="shared" ref="F27:F38" si="14">I10</f>
        <v>434.68127679999998</v>
      </c>
      <c r="G27" s="77">
        <v>0</v>
      </c>
      <c r="H27" s="76"/>
      <c r="I27" s="134">
        <f t="shared" ref="I27:I36" si="15">F27+G27-H27</f>
        <v>434.68127679999998</v>
      </c>
      <c r="J27" s="141"/>
      <c r="K27" s="245">
        <v>6.07</v>
      </c>
      <c r="L27" s="245">
        <v>0</v>
      </c>
      <c r="M27" s="144">
        <f t="shared" ref="M27:M37" si="16">J27+K27-L27</f>
        <v>6.07</v>
      </c>
      <c r="N27" s="140">
        <f t="shared" ref="N27:N37" si="17">F27-J27</f>
        <v>434.68127679999998</v>
      </c>
      <c r="O27" s="140">
        <f t="shared" ref="O27:O37" si="18">I27-M27</f>
        <v>428.61127679999998</v>
      </c>
    </row>
    <row r="28" spans="2:17" ht="15.75" thickBot="1">
      <c r="B28" s="42">
        <f t="shared" ref="B28:B36" si="19">+B27+1</f>
        <v>3</v>
      </c>
      <c r="C28" s="240" t="s">
        <v>399</v>
      </c>
      <c r="D28" s="241">
        <v>1200</v>
      </c>
      <c r="E28" s="242">
        <v>5.28E-2</v>
      </c>
      <c r="F28" s="134">
        <f t="shared" si="14"/>
        <v>240.64748510000001</v>
      </c>
      <c r="G28" s="77">
        <v>0</v>
      </c>
      <c r="H28" s="76"/>
      <c r="I28" s="134">
        <f t="shared" si="15"/>
        <v>240.64748510000001</v>
      </c>
      <c r="J28" s="141"/>
      <c r="K28" s="245">
        <v>0.59</v>
      </c>
      <c r="L28" s="245">
        <v>0</v>
      </c>
      <c r="M28" s="144">
        <f t="shared" si="16"/>
        <v>0.59</v>
      </c>
      <c r="N28" s="140">
        <f t="shared" si="17"/>
        <v>240.64748510000001</v>
      </c>
      <c r="O28" s="140">
        <f t="shared" si="18"/>
        <v>240.05748510000001</v>
      </c>
    </row>
    <row r="29" spans="2:17" ht="15.75" thickBot="1">
      <c r="B29" s="42">
        <f t="shared" si="19"/>
        <v>4</v>
      </c>
      <c r="C29" s="240" t="s">
        <v>115</v>
      </c>
      <c r="D29" s="241">
        <v>1300</v>
      </c>
      <c r="E29" s="242">
        <v>5.28E-2</v>
      </c>
      <c r="F29" s="134">
        <f t="shared" si="14"/>
        <v>2253.4082721449995</v>
      </c>
      <c r="G29" s="77">
        <v>8.43</v>
      </c>
      <c r="H29" s="245">
        <v>-2.2591999999999998E-3</v>
      </c>
      <c r="I29" s="134">
        <f t="shared" si="15"/>
        <v>2261.8405313449994</v>
      </c>
      <c r="J29" s="141"/>
      <c r="K29" s="245">
        <v>32.659999999999997</v>
      </c>
      <c r="L29" s="245">
        <v>2.0332799999999997E-3</v>
      </c>
      <c r="M29" s="144"/>
      <c r="N29" s="140"/>
      <c r="O29" s="140"/>
    </row>
    <row r="30" spans="2:17" ht="15.75" thickBot="1">
      <c r="B30" s="42">
        <f t="shared" si="19"/>
        <v>5</v>
      </c>
      <c r="C30" s="240" t="s">
        <v>389</v>
      </c>
      <c r="D30" s="241">
        <v>1400</v>
      </c>
      <c r="E30" s="242">
        <v>5.28E-2</v>
      </c>
      <c r="F30" s="134">
        <f t="shared" si="14"/>
        <v>9.0895344609999995</v>
      </c>
      <c r="G30" s="77">
        <v>0</v>
      </c>
      <c r="H30" s="76"/>
      <c r="I30" s="134">
        <f t="shared" si="15"/>
        <v>9.0895344609999995</v>
      </c>
      <c r="J30" s="141"/>
      <c r="K30" s="245">
        <v>0.33</v>
      </c>
      <c r="L30" s="245">
        <v>0</v>
      </c>
      <c r="M30" s="144"/>
      <c r="N30" s="140"/>
      <c r="O30" s="140"/>
    </row>
    <row r="31" spans="2:17" ht="15.75" thickBot="1">
      <c r="B31" s="42">
        <f t="shared" si="19"/>
        <v>6</v>
      </c>
      <c r="C31" s="240" t="s">
        <v>390</v>
      </c>
      <c r="D31" s="241">
        <v>1500</v>
      </c>
      <c r="E31" s="242">
        <v>5.28E-2</v>
      </c>
      <c r="F31" s="134">
        <f t="shared" si="14"/>
        <v>431.22829000000002</v>
      </c>
      <c r="G31" s="77">
        <v>0</v>
      </c>
      <c r="H31" s="76"/>
      <c r="I31" s="134">
        <f t="shared" si="15"/>
        <v>431.22829000000002</v>
      </c>
      <c r="J31" s="141"/>
      <c r="K31" s="245">
        <v>5.93</v>
      </c>
      <c r="L31" s="245">
        <v>0</v>
      </c>
      <c r="M31" s="144"/>
      <c r="N31" s="140"/>
      <c r="O31" s="140"/>
    </row>
    <row r="32" spans="2:17" ht="15.75" thickBot="1">
      <c r="B32" s="42">
        <f t="shared" si="19"/>
        <v>7</v>
      </c>
      <c r="C32" s="240" t="s">
        <v>391</v>
      </c>
      <c r="D32" s="241">
        <v>1600</v>
      </c>
      <c r="E32" s="242">
        <v>3.3399999999999999E-2</v>
      </c>
      <c r="F32" s="134">
        <f t="shared" si="14"/>
        <v>14.619518599999999</v>
      </c>
      <c r="G32" s="77">
        <v>0</v>
      </c>
      <c r="H32" s="76"/>
      <c r="I32" s="134">
        <f t="shared" si="15"/>
        <v>14.619518599999999</v>
      </c>
      <c r="J32" s="141"/>
      <c r="K32" s="245">
        <v>0.26</v>
      </c>
      <c r="L32" s="245">
        <v>0</v>
      </c>
      <c r="M32" s="144"/>
      <c r="N32" s="140"/>
      <c r="O32" s="140"/>
    </row>
    <row r="33" spans="2:15" ht="15.75" thickBot="1">
      <c r="B33" s="42">
        <f t="shared" si="19"/>
        <v>8</v>
      </c>
      <c r="C33" s="240" t="s">
        <v>120</v>
      </c>
      <c r="D33" s="241">
        <v>1700</v>
      </c>
      <c r="E33" s="243">
        <v>9.5000000000000001E-2</v>
      </c>
      <c r="F33" s="134">
        <f t="shared" si="14"/>
        <v>0.55870070000000005</v>
      </c>
      <c r="G33" s="77">
        <v>0</v>
      </c>
      <c r="H33" s="76"/>
      <c r="I33" s="134">
        <f t="shared" si="15"/>
        <v>0.55870070000000005</v>
      </c>
      <c r="J33" s="141"/>
      <c r="K33" s="245">
        <v>0</v>
      </c>
      <c r="L33" s="245">
        <v>0</v>
      </c>
      <c r="M33" s="144"/>
      <c r="N33" s="140"/>
      <c r="O33" s="140"/>
    </row>
    <row r="34" spans="2:15" ht="15.75" thickBot="1">
      <c r="B34" s="42">
        <f t="shared" si="19"/>
        <v>9</v>
      </c>
      <c r="C34" s="240" t="s">
        <v>392</v>
      </c>
      <c r="D34" s="241">
        <v>1800</v>
      </c>
      <c r="E34" s="242">
        <v>6.3299999999999995E-2</v>
      </c>
      <c r="F34" s="134">
        <f t="shared" si="14"/>
        <v>0.80787568400000009</v>
      </c>
      <c r="G34" s="77">
        <v>0</v>
      </c>
      <c r="H34" s="76"/>
      <c r="I34" s="134">
        <f>F34+G34-H34</f>
        <v>0.80787568400000009</v>
      </c>
      <c r="J34" s="141"/>
      <c r="K34" s="245">
        <v>0.04</v>
      </c>
      <c r="L34" s="245">
        <v>0</v>
      </c>
      <c r="M34" s="144"/>
      <c r="N34" s="140"/>
      <c r="O34" s="140"/>
    </row>
    <row r="35" spans="2:15" ht="15.75" thickBot="1">
      <c r="B35" s="42">
        <f t="shared" si="19"/>
        <v>10</v>
      </c>
      <c r="C35" s="240" t="s">
        <v>393</v>
      </c>
      <c r="D35" s="241">
        <v>1900</v>
      </c>
      <c r="E35" s="244">
        <v>0.15</v>
      </c>
      <c r="F35" s="134">
        <f t="shared" si="14"/>
        <v>1.045610425</v>
      </c>
      <c r="G35" s="77">
        <v>0.03</v>
      </c>
      <c r="H35" s="76"/>
      <c r="I35" s="134">
        <f t="shared" si="15"/>
        <v>1.075610425</v>
      </c>
      <c r="J35" s="141"/>
      <c r="K35" s="245">
        <v>0.05</v>
      </c>
      <c r="L35" s="245">
        <v>0</v>
      </c>
      <c r="M35" s="144"/>
      <c r="N35" s="140"/>
      <c r="O35" s="140"/>
    </row>
    <row r="36" spans="2:15" ht="15.75" thickBot="1">
      <c r="B36" s="42">
        <f t="shared" si="19"/>
        <v>11</v>
      </c>
      <c r="C36" s="240" t="s">
        <v>122</v>
      </c>
      <c r="D36" s="241">
        <v>2100</v>
      </c>
      <c r="E36" s="242">
        <v>6.3299999999999995E-2</v>
      </c>
      <c r="F36" s="134">
        <f t="shared" si="14"/>
        <v>1.5660712509999999</v>
      </c>
      <c r="G36" s="77">
        <v>0.04</v>
      </c>
      <c r="H36" s="76"/>
      <c r="I36" s="134">
        <f t="shared" si="15"/>
        <v>1.6060712509999999</v>
      </c>
      <c r="J36" s="141"/>
      <c r="K36" s="245">
        <v>0.06</v>
      </c>
      <c r="L36" s="245">
        <v>0</v>
      </c>
      <c r="M36" s="144"/>
      <c r="N36" s="140"/>
      <c r="O36" s="140"/>
    </row>
    <row r="37" spans="2:15" ht="15.75" thickBot="1">
      <c r="B37" s="72"/>
      <c r="C37" s="79" t="s">
        <v>9</v>
      </c>
      <c r="D37" s="74"/>
      <c r="E37" s="80"/>
      <c r="F37" s="134">
        <f t="shared" si="14"/>
        <v>0</v>
      </c>
      <c r="G37" s="77"/>
      <c r="H37" s="78"/>
      <c r="I37" s="140">
        <f t="shared" ref="I37" si="20">F37+G37-H37</f>
        <v>0</v>
      </c>
      <c r="J37" s="141"/>
      <c r="K37" s="142">
        <f t="shared" ref="K37" si="21">AVERAGE(F37,I37)*E37</f>
        <v>0</v>
      </c>
      <c r="L37" s="143"/>
      <c r="M37" s="144">
        <f t="shared" si="16"/>
        <v>0</v>
      </c>
      <c r="N37" s="140">
        <f t="shared" si="17"/>
        <v>0</v>
      </c>
      <c r="O37" s="140">
        <f t="shared" si="18"/>
        <v>0</v>
      </c>
    </row>
    <row r="38" spans="2:15" ht="15.75" thickBot="1">
      <c r="B38" s="81"/>
      <c r="C38" s="82" t="s">
        <v>127</v>
      </c>
      <c r="D38" s="82"/>
      <c r="E38" s="145">
        <f>IFERROR((K38-L38)/AVERAGE(F38,I38),0)</f>
        <v>1.7644177362076283E-2</v>
      </c>
      <c r="F38" s="134">
        <f t="shared" si="14"/>
        <v>3387.9559179659991</v>
      </c>
      <c r="G38" s="146">
        <f t="shared" ref="G38:L38" si="22">SUM(G26:G37)</f>
        <v>8.4999999999999982</v>
      </c>
      <c r="H38" s="146">
        <f t="shared" si="22"/>
        <v>-2.2591999999999998E-3</v>
      </c>
      <c r="I38" s="146">
        <f>F38+G38</f>
        <v>3396.4559179659991</v>
      </c>
      <c r="J38" s="147">
        <f>M21</f>
        <v>1852.0645802897623</v>
      </c>
      <c r="K38" s="146">
        <v>59.854716145276882</v>
      </c>
      <c r="L38" s="148">
        <f t="shared" si="22"/>
        <v>2.0332799999999997E-3</v>
      </c>
      <c r="M38" s="147">
        <f>J38+K38-L38</f>
        <v>1911.9172631550391</v>
      </c>
      <c r="N38" s="146">
        <f>F38-J38</f>
        <v>1535.8913376762368</v>
      </c>
      <c r="O38" s="146">
        <f>I38-M38</f>
        <v>1484.53865481096</v>
      </c>
    </row>
    <row r="39" spans="2:15" ht="15" thickBot="1">
      <c r="F39" s="178"/>
    </row>
    <row r="40" spans="2:15" ht="15">
      <c r="B40" s="290" t="s">
        <v>378</v>
      </c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  <c r="N40" s="291"/>
      <c r="O40" s="292"/>
    </row>
    <row r="41" spans="2:15" ht="15">
      <c r="B41" s="295" t="s">
        <v>2</v>
      </c>
      <c r="C41" s="297" t="s">
        <v>272</v>
      </c>
      <c r="D41" s="293" t="s">
        <v>259</v>
      </c>
      <c r="E41" s="293" t="s">
        <v>260</v>
      </c>
      <c r="F41" s="293" t="s">
        <v>261</v>
      </c>
      <c r="G41" s="293"/>
      <c r="H41" s="293"/>
      <c r="I41" s="293"/>
      <c r="J41" s="293" t="s">
        <v>262</v>
      </c>
      <c r="K41" s="293"/>
      <c r="L41" s="293"/>
      <c r="M41" s="293"/>
      <c r="N41" s="293" t="s">
        <v>263</v>
      </c>
      <c r="O41" s="294"/>
    </row>
    <row r="42" spans="2:15" ht="60.75" thickBot="1">
      <c r="B42" s="296"/>
      <c r="C42" s="298"/>
      <c r="D42" s="299"/>
      <c r="E42" s="299"/>
      <c r="F42" s="65" t="s">
        <v>264</v>
      </c>
      <c r="G42" s="65" t="s">
        <v>126</v>
      </c>
      <c r="H42" s="65" t="s">
        <v>265</v>
      </c>
      <c r="I42" s="65" t="s">
        <v>266</v>
      </c>
      <c r="J42" s="65" t="s">
        <v>267</v>
      </c>
      <c r="K42" s="65" t="s">
        <v>126</v>
      </c>
      <c r="L42" s="65" t="s">
        <v>268</v>
      </c>
      <c r="M42" s="65" t="s">
        <v>269</v>
      </c>
      <c r="N42" s="65" t="s">
        <v>264</v>
      </c>
      <c r="O42" s="66" t="s">
        <v>266</v>
      </c>
    </row>
    <row r="43" spans="2:15" ht="15">
      <c r="B43" s="64">
        <v>1</v>
      </c>
      <c r="C43" s="67" t="s">
        <v>212</v>
      </c>
      <c r="D43" s="68"/>
      <c r="E43" s="69"/>
      <c r="F43" s="134">
        <f>I26</f>
        <v>0.30328280000000002</v>
      </c>
      <c r="G43" s="71"/>
      <c r="H43" s="70"/>
      <c r="I43" s="134">
        <f>F43+G43-H43</f>
        <v>0.30328280000000002</v>
      </c>
      <c r="J43" s="135"/>
      <c r="K43" s="136">
        <f>AVERAGE(F43,I43)*E43</f>
        <v>0</v>
      </c>
      <c r="L43" s="137"/>
      <c r="M43" s="138">
        <f>J43+K43-L43</f>
        <v>0</v>
      </c>
      <c r="N43" s="139">
        <f>F43-J43</f>
        <v>0.30328280000000002</v>
      </c>
      <c r="O43" s="139">
        <f>I43-M43</f>
        <v>0.30328280000000002</v>
      </c>
    </row>
    <row r="44" spans="2:15" ht="15">
      <c r="B44" s="72">
        <v>2</v>
      </c>
      <c r="C44" s="73" t="s">
        <v>116</v>
      </c>
      <c r="D44" s="74"/>
      <c r="E44" s="75"/>
      <c r="F44" s="140">
        <f>I27</f>
        <v>434.68127679999998</v>
      </c>
      <c r="G44" s="77"/>
      <c r="H44" s="76"/>
      <c r="I44" s="140">
        <f>F44+G44-H44</f>
        <v>434.68127679999998</v>
      </c>
      <c r="J44" s="141"/>
      <c r="K44" s="142">
        <f t="shared" ref="K44:K46" si="23">AVERAGE(F44,I44)*E44</f>
        <v>0</v>
      </c>
      <c r="L44" s="143"/>
      <c r="M44" s="144">
        <f t="shared" ref="M44:M46" si="24">J44+K44-L44</f>
        <v>0</v>
      </c>
      <c r="N44" s="140">
        <f t="shared" ref="N44:N46" si="25">F44-J44</f>
        <v>434.68127679999998</v>
      </c>
      <c r="O44" s="140">
        <f t="shared" ref="O44:O46" si="26">I44-M44</f>
        <v>434.68127679999998</v>
      </c>
    </row>
    <row r="45" spans="2:15" ht="15">
      <c r="B45" s="72">
        <v>3</v>
      </c>
      <c r="C45" s="79" t="s">
        <v>271</v>
      </c>
      <c r="D45" s="74"/>
      <c r="E45" s="75"/>
      <c r="F45" s="140">
        <f>I28</f>
        <v>240.64748510000001</v>
      </c>
      <c r="G45" s="77"/>
      <c r="H45" s="76"/>
      <c r="I45" s="140">
        <f t="shared" ref="I45:I46" si="27">F45+G45-H45</f>
        <v>240.64748510000001</v>
      </c>
      <c r="J45" s="141"/>
      <c r="K45" s="142">
        <f t="shared" si="23"/>
        <v>0</v>
      </c>
      <c r="L45" s="143"/>
      <c r="M45" s="144">
        <f t="shared" si="24"/>
        <v>0</v>
      </c>
      <c r="N45" s="140">
        <f t="shared" si="25"/>
        <v>240.64748510000001</v>
      </c>
      <c r="O45" s="140">
        <f t="shared" si="26"/>
        <v>240.64748510000001</v>
      </c>
    </row>
    <row r="46" spans="2:15" ht="15">
      <c r="B46" s="72"/>
      <c r="C46" s="79" t="s">
        <v>9</v>
      </c>
      <c r="D46" s="74"/>
      <c r="E46" s="80"/>
      <c r="F46" s="140">
        <f>I37</f>
        <v>0</v>
      </c>
      <c r="G46" s="77">
        <f>'F3'!I12</f>
        <v>161.19999999999999</v>
      </c>
      <c r="H46" s="78"/>
      <c r="I46" s="140">
        <f t="shared" si="27"/>
        <v>161.19999999999999</v>
      </c>
      <c r="J46" s="141"/>
      <c r="K46" s="142">
        <f t="shared" si="23"/>
        <v>0</v>
      </c>
      <c r="L46" s="143"/>
      <c r="M46" s="144">
        <f t="shared" si="24"/>
        <v>0</v>
      </c>
      <c r="N46" s="140">
        <f t="shared" si="25"/>
        <v>0</v>
      </c>
      <c r="O46" s="140">
        <f t="shared" si="26"/>
        <v>161.19999999999999</v>
      </c>
    </row>
    <row r="47" spans="2:15" ht="15.75" thickBot="1">
      <c r="B47" s="81"/>
      <c r="C47" s="82" t="s">
        <v>127</v>
      </c>
      <c r="D47" s="82"/>
      <c r="E47" s="145">
        <f>IFERROR((K47-L47)/AVERAGE(F47,I47),0)</f>
        <v>1.7329990988316772E-2</v>
      </c>
      <c r="F47" s="146">
        <f>I38</f>
        <v>3396.4559179659991</v>
      </c>
      <c r="G47" s="146">
        <f t="shared" ref="G47:L47" si="28">SUM(G43:G46)</f>
        <v>161.19999999999999</v>
      </c>
      <c r="H47" s="146">
        <f t="shared" si="28"/>
        <v>0</v>
      </c>
      <c r="I47" s="146">
        <f>F47+G47</f>
        <v>3557.6559179659989</v>
      </c>
      <c r="J47" s="147">
        <f>M38</f>
        <v>1911.9172631550391</v>
      </c>
      <c r="K47" s="146">
        <v>60.25734772422426</v>
      </c>
      <c r="L47" s="148">
        <f t="shared" si="28"/>
        <v>0</v>
      </c>
      <c r="M47" s="147">
        <f>J47+K47-L47</f>
        <v>1972.1746108792634</v>
      </c>
      <c r="N47" s="146">
        <f>F47-J47</f>
        <v>1484.53865481096</v>
      </c>
      <c r="O47" s="146">
        <f>I47-M47</f>
        <v>1585.4813070867356</v>
      </c>
    </row>
    <row r="48" spans="2:15" ht="15" thickBot="1"/>
    <row r="49" spans="2:15" ht="15">
      <c r="B49" s="290" t="s">
        <v>379</v>
      </c>
      <c r="C49" s="291"/>
      <c r="D49" s="291"/>
      <c r="E49" s="291"/>
      <c r="F49" s="291"/>
      <c r="G49" s="291"/>
      <c r="H49" s="291"/>
      <c r="I49" s="291"/>
      <c r="J49" s="291"/>
      <c r="K49" s="291"/>
      <c r="L49" s="291"/>
      <c r="M49" s="291"/>
      <c r="N49" s="291"/>
      <c r="O49" s="292"/>
    </row>
    <row r="50" spans="2:15" ht="15">
      <c r="B50" s="295" t="s">
        <v>2</v>
      </c>
      <c r="C50" s="297" t="s">
        <v>272</v>
      </c>
      <c r="D50" s="293" t="s">
        <v>259</v>
      </c>
      <c r="E50" s="293" t="s">
        <v>260</v>
      </c>
      <c r="F50" s="293" t="s">
        <v>261</v>
      </c>
      <c r="G50" s="293"/>
      <c r="H50" s="293"/>
      <c r="I50" s="293"/>
      <c r="J50" s="293" t="s">
        <v>262</v>
      </c>
      <c r="K50" s="293"/>
      <c r="L50" s="293"/>
      <c r="M50" s="293"/>
      <c r="N50" s="293" t="s">
        <v>263</v>
      </c>
      <c r="O50" s="294"/>
    </row>
    <row r="51" spans="2:15" ht="60.75" thickBot="1">
      <c r="B51" s="296"/>
      <c r="C51" s="298"/>
      <c r="D51" s="299"/>
      <c r="E51" s="299"/>
      <c r="F51" s="65" t="s">
        <v>264</v>
      </c>
      <c r="G51" s="65" t="s">
        <v>126</v>
      </c>
      <c r="H51" s="65" t="s">
        <v>265</v>
      </c>
      <c r="I51" s="65" t="s">
        <v>266</v>
      </c>
      <c r="J51" s="65" t="s">
        <v>267</v>
      </c>
      <c r="K51" s="65" t="s">
        <v>126</v>
      </c>
      <c r="L51" s="65" t="s">
        <v>268</v>
      </c>
      <c r="M51" s="65" t="s">
        <v>269</v>
      </c>
      <c r="N51" s="65" t="s">
        <v>264</v>
      </c>
      <c r="O51" s="66" t="s">
        <v>266</v>
      </c>
    </row>
    <row r="52" spans="2:15" ht="15">
      <c r="B52" s="64">
        <v>1</v>
      </c>
      <c r="C52" s="67" t="s">
        <v>212</v>
      </c>
      <c r="D52" s="68"/>
      <c r="E52" s="69"/>
      <c r="F52" s="134">
        <f>I43</f>
        <v>0.30328280000000002</v>
      </c>
      <c r="G52" s="71"/>
      <c r="H52" s="70"/>
      <c r="I52" s="134">
        <f>F52+G52-H52</f>
        <v>0.30328280000000002</v>
      </c>
      <c r="J52" s="135"/>
      <c r="K52" s="136">
        <f>AVERAGE(F52,I52)*E52</f>
        <v>0</v>
      </c>
      <c r="L52" s="137"/>
      <c r="M52" s="138">
        <f>J52+K52-L52</f>
        <v>0</v>
      </c>
      <c r="N52" s="139">
        <f>F52-J52</f>
        <v>0.30328280000000002</v>
      </c>
      <c r="O52" s="139">
        <f>I52-M52</f>
        <v>0.30328280000000002</v>
      </c>
    </row>
    <row r="53" spans="2:15" ht="15">
      <c r="B53" s="72">
        <v>2</v>
      </c>
      <c r="C53" s="73" t="s">
        <v>116</v>
      </c>
      <c r="D53" s="74"/>
      <c r="E53" s="75"/>
      <c r="F53" s="140">
        <f>I44</f>
        <v>434.68127679999998</v>
      </c>
      <c r="G53" s="77"/>
      <c r="H53" s="76"/>
      <c r="I53" s="140">
        <f>F53+G53-H53</f>
        <v>434.68127679999998</v>
      </c>
      <c r="J53" s="141"/>
      <c r="K53" s="142">
        <f t="shared" ref="K53:K55" si="29">AVERAGE(F53,I53)*E53</f>
        <v>0</v>
      </c>
      <c r="L53" s="143"/>
      <c r="M53" s="144">
        <f t="shared" ref="M53:M55" si="30">J53+K53-L53</f>
        <v>0</v>
      </c>
      <c r="N53" s="140">
        <f t="shared" ref="N53:N55" si="31">F53-J53</f>
        <v>434.68127679999998</v>
      </c>
      <c r="O53" s="140">
        <f t="shared" ref="O53:O55" si="32">I53-M53</f>
        <v>434.68127679999998</v>
      </c>
    </row>
    <row r="54" spans="2:15" ht="15">
      <c r="B54" s="72">
        <v>3</v>
      </c>
      <c r="C54" s="79" t="s">
        <v>271</v>
      </c>
      <c r="D54" s="74"/>
      <c r="E54" s="75"/>
      <c r="F54" s="140">
        <f>I45</f>
        <v>240.64748510000001</v>
      </c>
      <c r="G54" s="77"/>
      <c r="H54" s="76"/>
      <c r="I54" s="140">
        <f t="shared" ref="I54:I55" si="33">F54+G54-H54</f>
        <v>240.64748510000001</v>
      </c>
      <c r="J54" s="141"/>
      <c r="K54" s="142">
        <f t="shared" si="29"/>
        <v>0</v>
      </c>
      <c r="L54" s="143"/>
      <c r="M54" s="144">
        <f t="shared" si="30"/>
        <v>0</v>
      </c>
      <c r="N54" s="140">
        <f t="shared" si="31"/>
        <v>240.64748510000001</v>
      </c>
      <c r="O54" s="140">
        <f t="shared" si="32"/>
        <v>240.64748510000001</v>
      </c>
    </row>
    <row r="55" spans="2:15" ht="15">
      <c r="B55" s="72"/>
      <c r="C55" s="79" t="s">
        <v>9</v>
      </c>
      <c r="D55" s="74"/>
      <c r="E55" s="80"/>
      <c r="F55" s="140">
        <f>I46</f>
        <v>161.19999999999999</v>
      </c>
      <c r="G55" s="77"/>
      <c r="H55" s="78"/>
      <c r="I55" s="140">
        <f t="shared" si="33"/>
        <v>161.19999999999999</v>
      </c>
      <c r="J55" s="141"/>
      <c r="K55" s="142">
        <f t="shared" si="29"/>
        <v>0</v>
      </c>
      <c r="L55" s="143"/>
      <c r="M55" s="144">
        <f t="shared" si="30"/>
        <v>0</v>
      </c>
      <c r="N55" s="140">
        <f t="shared" si="31"/>
        <v>161.19999999999999</v>
      </c>
      <c r="O55" s="140">
        <f t="shared" si="32"/>
        <v>161.19999999999999</v>
      </c>
    </row>
    <row r="56" spans="2:15" ht="15.75" thickBot="1">
      <c r="B56" s="81"/>
      <c r="C56" s="82" t="s">
        <v>127</v>
      </c>
      <c r="D56" s="82"/>
      <c r="E56" s="145">
        <f>IFERROR((K56-L56)/AVERAGE(F56,I56),0)</f>
        <v>1.9202910371187046E-2</v>
      </c>
      <c r="F56" s="146">
        <f>I47</f>
        <v>3557.6559179659989</v>
      </c>
      <c r="G56" s="146">
        <f t="shared" ref="G56:L56" si="34">SUM(G52:G55)</f>
        <v>0</v>
      </c>
      <c r="H56" s="146">
        <f t="shared" si="34"/>
        <v>0</v>
      </c>
      <c r="I56" s="146">
        <f>F56+G56</f>
        <v>3557.6559179659989</v>
      </c>
      <c r="J56" s="147">
        <f>M47</f>
        <v>1972.1746108792634</v>
      </c>
      <c r="K56" s="146">
        <v>68.317347724224248</v>
      </c>
      <c r="L56" s="148">
        <f t="shared" si="34"/>
        <v>0</v>
      </c>
      <c r="M56" s="147">
        <f>J56+K56-L56</f>
        <v>2040.4919586034875</v>
      </c>
      <c r="N56" s="146">
        <f>F56-J56</f>
        <v>1585.4813070867356</v>
      </c>
      <c r="O56" s="146">
        <f>I56-M56</f>
        <v>1517.1639593625114</v>
      </c>
    </row>
    <row r="57" spans="2:15" ht="15" thickBot="1"/>
    <row r="58" spans="2:15" ht="15">
      <c r="B58" s="290" t="s">
        <v>380</v>
      </c>
      <c r="C58" s="291"/>
      <c r="D58" s="291"/>
      <c r="E58" s="291"/>
      <c r="F58" s="291"/>
      <c r="G58" s="291"/>
      <c r="H58" s="291"/>
      <c r="I58" s="291"/>
      <c r="J58" s="291"/>
      <c r="K58" s="291"/>
      <c r="L58" s="291"/>
      <c r="M58" s="291"/>
      <c r="N58" s="291"/>
      <c r="O58" s="292"/>
    </row>
    <row r="59" spans="2:15" ht="15">
      <c r="B59" s="295" t="s">
        <v>2</v>
      </c>
      <c r="C59" s="297" t="s">
        <v>272</v>
      </c>
      <c r="D59" s="293" t="s">
        <v>259</v>
      </c>
      <c r="E59" s="293" t="s">
        <v>260</v>
      </c>
      <c r="F59" s="293" t="s">
        <v>261</v>
      </c>
      <c r="G59" s="293"/>
      <c r="H59" s="293"/>
      <c r="I59" s="293"/>
      <c r="J59" s="293" t="s">
        <v>262</v>
      </c>
      <c r="K59" s="293"/>
      <c r="L59" s="293"/>
      <c r="M59" s="293"/>
      <c r="N59" s="293" t="s">
        <v>263</v>
      </c>
      <c r="O59" s="294"/>
    </row>
    <row r="60" spans="2:15" ht="60.75" thickBot="1">
      <c r="B60" s="296"/>
      <c r="C60" s="298"/>
      <c r="D60" s="299"/>
      <c r="E60" s="299"/>
      <c r="F60" s="65" t="s">
        <v>264</v>
      </c>
      <c r="G60" s="65" t="s">
        <v>126</v>
      </c>
      <c r="H60" s="65" t="s">
        <v>265</v>
      </c>
      <c r="I60" s="65" t="s">
        <v>266</v>
      </c>
      <c r="J60" s="65" t="s">
        <v>267</v>
      </c>
      <c r="K60" s="65" t="s">
        <v>126</v>
      </c>
      <c r="L60" s="65" t="s">
        <v>268</v>
      </c>
      <c r="M60" s="65" t="s">
        <v>269</v>
      </c>
      <c r="N60" s="65" t="s">
        <v>264</v>
      </c>
      <c r="O60" s="66" t="s">
        <v>266</v>
      </c>
    </row>
    <row r="61" spans="2:15" ht="15">
      <c r="B61" s="64">
        <v>1</v>
      </c>
      <c r="C61" s="67" t="s">
        <v>212</v>
      </c>
      <c r="D61" s="68"/>
      <c r="E61" s="69"/>
      <c r="F61" s="134">
        <f>I52</f>
        <v>0.30328280000000002</v>
      </c>
      <c r="G61" s="71"/>
      <c r="H61" s="70"/>
      <c r="I61" s="134">
        <f>F61+G61-H61</f>
        <v>0.30328280000000002</v>
      </c>
      <c r="J61" s="135"/>
      <c r="K61" s="136">
        <f>AVERAGE(F61,I61)*E61</f>
        <v>0</v>
      </c>
      <c r="L61" s="137"/>
      <c r="M61" s="138">
        <f>J61+K61-L61</f>
        <v>0</v>
      </c>
      <c r="N61" s="139">
        <f>F61-J61</f>
        <v>0.30328280000000002</v>
      </c>
      <c r="O61" s="139">
        <f>I61-M61</f>
        <v>0.30328280000000002</v>
      </c>
    </row>
    <row r="62" spans="2:15" ht="15">
      <c r="B62" s="72">
        <v>2</v>
      </c>
      <c r="C62" s="73" t="s">
        <v>116</v>
      </c>
      <c r="D62" s="74"/>
      <c r="E62" s="75"/>
      <c r="F62" s="140">
        <f>I53</f>
        <v>434.68127679999998</v>
      </c>
      <c r="G62" s="77"/>
      <c r="H62" s="76"/>
      <c r="I62" s="140">
        <f>F62+G62-H62</f>
        <v>434.68127679999998</v>
      </c>
      <c r="J62" s="141"/>
      <c r="K62" s="142">
        <f t="shared" ref="K62:K64" si="35">AVERAGE(F62,I62)*E62</f>
        <v>0</v>
      </c>
      <c r="L62" s="143"/>
      <c r="M62" s="144">
        <f t="shared" ref="M62:M64" si="36">J62+K62-L62</f>
        <v>0</v>
      </c>
      <c r="N62" s="140">
        <f t="shared" ref="N62:N64" si="37">F62-J62</f>
        <v>434.68127679999998</v>
      </c>
      <c r="O62" s="140">
        <f t="shared" ref="O62:O64" si="38">I62-M62</f>
        <v>434.68127679999998</v>
      </c>
    </row>
    <row r="63" spans="2:15" ht="15">
      <c r="B63" s="72">
        <v>3</v>
      </c>
      <c r="C63" s="79" t="s">
        <v>271</v>
      </c>
      <c r="D63" s="74"/>
      <c r="E63" s="75"/>
      <c r="F63" s="140">
        <f>I54</f>
        <v>240.64748510000001</v>
      </c>
      <c r="G63" s="77"/>
      <c r="H63" s="76"/>
      <c r="I63" s="140">
        <f t="shared" ref="I63:I64" si="39">F63+G63-H63</f>
        <v>240.64748510000001</v>
      </c>
      <c r="J63" s="141"/>
      <c r="K63" s="142">
        <f t="shared" si="35"/>
        <v>0</v>
      </c>
      <c r="L63" s="143"/>
      <c r="M63" s="144">
        <f t="shared" si="36"/>
        <v>0</v>
      </c>
      <c r="N63" s="140">
        <f t="shared" si="37"/>
        <v>240.64748510000001</v>
      </c>
      <c r="O63" s="140">
        <f t="shared" si="38"/>
        <v>240.64748510000001</v>
      </c>
    </row>
    <row r="64" spans="2:15" ht="15">
      <c r="B64" s="72"/>
      <c r="C64" s="79" t="s">
        <v>9</v>
      </c>
      <c r="D64" s="74"/>
      <c r="E64" s="80"/>
      <c r="F64" s="140">
        <f>I55</f>
        <v>161.19999999999999</v>
      </c>
      <c r="G64" s="77"/>
      <c r="H64" s="78"/>
      <c r="I64" s="140">
        <f t="shared" si="39"/>
        <v>161.19999999999999</v>
      </c>
      <c r="J64" s="141"/>
      <c r="K64" s="142">
        <f t="shared" si="35"/>
        <v>0</v>
      </c>
      <c r="L64" s="143"/>
      <c r="M64" s="144">
        <f t="shared" si="36"/>
        <v>0</v>
      </c>
      <c r="N64" s="140">
        <f t="shared" si="37"/>
        <v>161.19999999999999</v>
      </c>
      <c r="O64" s="140">
        <f t="shared" si="38"/>
        <v>161.19999999999999</v>
      </c>
    </row>
    <row r="65" spans="2:15" ht="15.75" thickBot="1">
      <c r="B65" s="81"/>
      <c r="C65" s="82" t="s">
        <v>127</v>
      </c>
      <c r="D65" s="82"/>
      <c r="E65" s="145">
        <f>IFERROR((K65-L65)/AVERAGE(F65,I65),0)</f>
        <v>1.920291037118705E-2</v>
      </c>
      <c r="F65" s="146">
        <f>I56</f>
        <v>3557.6559179659989</v>
      </c>
      <c r="G65" s="146">
        <f t="shared" ref="G65:L65" si="40">SUM(G61:G64)</f>
        <v>0</v>
      </c>
      <c r="H65" s="146">
        <f t="shared" si="40"/>
        <v>0</v>
      </c>
      <c r="I65" s="146">
        <f>F65+G65</f>
        <v>3557.6559179659989</v>
      </c>
      <c r="J65" s="147">
        <f>M56</f>
        <v>2040.4919586034875</v>
      </c>
      <c r="K65" s="146">
        <v>68.317347724224263</v>
      </c>
      <c r="L65" s="148">
        <f t="shared" si="40"/>
        <v>0</v>
      </c>
      <c r="M65" s="147">
        <f>J65+K65-L65</f>
        <v>2108.809306327712</v>
      </c>
      <c r="N65" s="146">
        <f>F65-J65</f>
        <v>1517.1639593625114</v>
      </c>
      <c r="O65" s="146">
        <f>I65-M65</f>
        <v>1448.846611638287</v>
      </c>
    </row>
    <row r="66" spans="2:15" ht="15" thickBot="1"/>
    <row r="67" spans="2:15" ht="15">
      <c r="B67" s="290" t="s">
        <v>381</v>
      </c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2"/>
    </row>
    <row r="68" spans="2:15" ht="15">
      <c r="B68" s="295" t="s">
        <v>2</v>
      </c>
      <c r="C68" s="297" t="s">
        <v>272</v>
      </c>
      <c r="D68" s="293" t="s">
        <v>259</v>
      </c>
      <c r="E68" s="293" t="s">
        <v>260</v>
      </c>
      <c r="F68" s="293" t="s">
        <v>261</v>
      </c>
      <c r="G68" s="293"/>
      <c r="H68" s="293"/>
      <c r="I68" s="293"/>
      <c r="J68" s="293" t="s">
        <v>262</v>
      </c>
      <c r="K68" s="293"/>
      <c r="L68" s="293"/>
      <c r="M68" s="293"/>
      <c r="N68" s="293" t="s">
        <v>263</v>
      </c>
      <c r="O68" s="294"/>
    </row>
    <row r="69" spans="2:15" ht="60.75" thickBot="1">
      <c r="B69" s="296"/>
      <c r="C69" s="298"/>
      <c r="D69" s="299"/>
      <c r="E69" s="299"/>
      <c r="F69" s="65" t="s">
        <v>264</v>
      </c>
      <c r="G69" s="65" t="s">
        <v>126</v>
      </c>
      <c r="H69" s="65" t="s">
        <v>265</v>
      </c>
      <c r="I69" s="65" t="s">
        <v>266</v>
      </c>
      <c r="J69" s="65" t="s">
        <v>267</v>
      </c>
      <c r="K69" s="65" t="s">
        <v>126</v>
      </c>
      <c r="L69" s="65" t="s">
        <v>268</v>
      </c>
      <c r="M69" s="65" t="s">
        <v>269</v>
      </c>
      <c r="N69" s="65" t="s">
        <v>264</v>
      </c>
      <c r="O69" s="66" t="s">
        <v>266</v>
      </c>
    </row>
    <row r="70" spans="2:15" ht="15">
      <c r="B70" s="64">
        <v>1</v>
      </c>
      <c r="C70" s="67" t="s">
        <v>212</v>
      </c>
      <c r="D70" s="68"/>
      <c r="E70" s="69"/>
      <c r="F70" s="134">
        <f>I61</f>
        <v>0.30328280000000002</v>
      </c>
      <c r="G70" s="71"/>
      <c r="H70" s="70"/>
      <c r="I70" s="134">
        <f>F70+G70-H70</f>
        <v>0.30328280000000002</v>
      </c>
      <c r="J70" s="135"/>
      <c r="K70" s="136">
        <f>AVERAGE(F70,I70)*E70</f>
        <v>0</v>
      </c>
      <c r="L70" s="137"/>
      <c r="M70" s="138">
        <f>J70+K70-L70</f>
        <v>0</v>
      </c>
      <c r="N70" s="139">
        <f>F70-J70</f>
        <v>0.30328280000000002</v>
      </c>
      <c r="O70" s="139">
        <f>I70-M70</f>
        <v>0.30328280000000002</v>
      </c>
    </row>
    <row r="71" spans="2:15" ht="15">
      <c r="B71" s="72">
        <v>2</v>
      </c>
      <c r="C71" s="73" t="s">
        <v>116</v>
      </c>
      <c r="D71" s="74"/>
      <c r="E71" s="75"/>
      <c r="F71" s="140">
        <f>I62</f>
        <v>434.68127679999998</v>
      </c>
      <c r="G71" s="77"/>
      <c r="H71" s="76"/>
      <c r="I71" s="140">
        <f>F71+G71-H71</f>
        <v>434.68127679999998</v>
      </c>
      <c r="J71" s="141"/>
      <c r="K71" s="142">
        <f t="shared" ref="K71:K73" si="41">AVERAGE(F71,I71)*E71</f>
        <v>0</v>
      </c>
      <c r="L71" s="143"/>
      <c r="M71" s="144">
        <f t="shared" ref="M71:M73" si="42">J71+K71-L71</f>
        <v>0</v>
      </c>
      <c r="N71" s="140">
        <f t="shared" ref="N71:N73" si="43">F71-J71</f>
        <v>434.68127679999998</v>
      </c>
      <c r="O71" s="140">
        <f t="shared" ref="O71:O73" si="44">I71-M71</f>
        <v>434.68127679999998</v>
      </c>
    </row>
    <row r="72" spans="2:15" ht="15">
      <c r="B72" s="72">
        <v>3</v>
      </c>
      <c r="C72" s="79" t="s">
        <v>271</v>
      </c>
      <c r="D72" s="74"/>
      <c r="E72" s="75"/>
      <c r="F72" s="140">
        <f>I63</f>
        <v>240.64748510000001</v>
      </c>
      <c r="G72" s="77"/>
      <c r="H72" s="76"/>
      <c r="I72" s="140">
        <f t="shared" ref="I72:I73" si="45">F72+G72-H72</f>
        <v>240.64748510000001</v>
      </c>
      <c r="J72" s="141"/>
      <c r="K72" s="142">
        <f t="shared" si="41"/>
        <v>0</v>
      </c>
      <c r="L72" s="143"/>
      <c r="M72" s="144">
        <f t="shared" si="42"/>
        <v>0</v>
      </c>
      <c r="N72" s="140">
        <f t="shared" si="43"/>
        <v>240.64748510000001</v>
      </c>
      <c r="O72" s="140">
        <f t="shared" si="44"/>
        <v>240.64748510000001</v>
      </c>
    </row>
    <row r="73" spans="2:15" ht="15">
      <c r="B73" s="72"/>
      <c r="C73" s="79" t="s">
        <v>9</v>
      </c>
      <c r="D73" s="74"/>
      <c r="E73" s="80"/>
      <c r="F73" s="140">
        <f>I64</f>
        <v>161.19999999999999</v>
      </c>
      <c r="G73" s="77"/>
      <c r="H73" s="78"/>
      <c r="I73" s="140">
        <f t="shared" si="45"/>
        <v>161.19999999999999</v>
      </c>
      <c r="J73" s="141"/>
      <c r="K73" s="142">
        <f t="shared" si="41"/>
        <v>0</v>
      </c>
      <c r="L73" s="143"/>
      <c r="M73" s="144">
        <f t="shared" si="42"/>
        <v>0</v>
      </c>
      <c r="N73" s="140">
        <f t="shared" si="43"/>
        <v>161.19999999999999</v>
      </c>
      <c r="O73" s="140">
        <f t="shared" si="44"/>
        <v>161.19999999999999</v>
      </c>
    </row>
    <row r="74" spans="2:15" ht="15.75" thickBot="1">
      <c r="B74" s="81"/>
      <c r="C74" s="82" t="s">
        <v>127</v>
      </c>
      <c r="D74" s="82"/>
      <c r="E74" s="145">
        <f>IFERROR((K74-L74)/AVERAGE(F74,I74),0)</f>
        <v>1.9202910371187046E-2</v>
      </c>
      <c r="F74" s="146">
        <f>I65</f>
        <v>3557.6559179659989</v>
      </c>
      <c r="G74" s="146">
        <f t="shared" ref="G74:L74" si="46">SUM(G70:G73)</f>
        <v>0</v>
      </c>
      <c r="H74" s="146">
        <f t="shared" si="46"/>
        <v>0</v>
      </c>
      <c r="I74" s="146">
        <f>F74+G74</f>
        <v>3557.6559179659989</v>
      </c>
      <c r="J74" s="147">
        <f>M65</f>
        <v>2108.809306327712</v>
      </c>
      <c r="K74" s="146">
        <v>68.317347724224248</v>
      </c>
      <c r="L74" s="148">
        <f t="shared" si="46"/>
        <v>0</v>
      </c>
      <c r="M74" s="147">
        <f>J74+K74-L74</f>
        <v>2177.1266540519364</v>
      </c>
      <c r="N74" s="146">
        <f>F74-J74</f>
        <v>1448.846611638287</v>
      </c>
      <c r="O74" s="146">
        <f>I74-M74</f>
        <v>1380.5292639140625</v>
      </c>
    </row>
    <row r="75" spans="2:15" ht="15" thickBot="1"/>
    <row r="76" spans="2:15" ht="15">
      <c r="B76" s="290" t="s">
        <v>382</v>
      </c>
      <c r="C76" s="291"/>
      <c r="D76" s="291"/>
      <c r="E76" s="291"/>
      <c r="F76" s="291"/>
      <c r="G76" s="291"/>
      <c r="H76" s="291"/>
      <c r="I76" s="291"/>
      <c r="J76" s="291"/>
      <c r="K76" s="291"/>
      <c r="L76" s="291"/>
      <c r="M76" s="291"/>
      <c r="N76" s="291"/>
      <c r="O76" s="292"/>
    </row>
    <row r="77" spans="2:15" ht="15">
      <c r="B77" s="295" t="s">
        <v>2</v>
      </c>
      <c r="C77" s="297" t="s">
        <v>272</v>
      </c>
      <c r="D77" s="293" t="s">
        <v>259</v>
      </c>
      <c r="E77" s="293" t="s">
        <v>260</v>
      </c>
      <c r="F77" s="293" t="s">
        <v>261</v>
      </c>
      <c r="G77" s="293"/>
      <c r="H77" s="293"/>
      <c r="I77" s="293"/>
      <c r="J77" s="293" t="s">
        <v>262</v>
      </c>
      <c r="K77" s="293"/>
      <c r="L77" s="293"/>
      <c r="M77" s="293"/>
      <c r="N77" s="293" t="s">
        <v>263</v>
      </c>
      <c r="O77" s="294"/>
    </row>
    <row r="78" spans="2:15" ht="60.75" thickBot="1">
      <c r="B78" s="296"/>
      <c r="C78" s="298"/>
      <c r="D78" s="299"/>
      <c r="E78" s="299"/>
      <c r="F78" s="65" t="s">
        <v>264</v>
      </c>
      <c r="G78" s="65" t="s">
        <v>126</v>
      </c>
      <c r="H78" s="65" t="s">
        <v>265</v>
      </c>
      <c r="I78" s="65" t="s">
        <v>266</v>
      </c>
      <c r="J78" s="65" t="s">
        <v>267</v>
      </c>
      <c r="K78" s="65" t="s">
        <v>126</v>
      </c>
      <c r="L78" s="65" t="s">
        <v>268</v>
      </c>
      <c r="M78" s="65" t="s">
        <v>269</v>
      </c>
      <c r="N78" s="65" t="s">
        <v>264</v>
      </c>
      <c r="O78" s="66" t="s">
        <v>266</v>
      </c>
    </row>
    <row r="79" spans="2:15" ht="15">
      <c r="B79" s="64">
        <v>1</v>
      </c>
      <c r="C79" s="67" t="s">
        <v>212</v>
      </c>
      <c r="D79" s="68"/>
      <c r="E79" s="69"/>
      <c r="F79" s="134">
        <f>I70</f>
        <v>0.30328280000000002</v>
      </c>
      <c r="G79" s="71"/>
      <c r="H79" s="70"/>
      <c r="I79" s="134">
        <f>F79+G79-H79</f>
        <v>0.30328280000000002</v>
      </c>
      <c r="J79" s="135"/>
      <c r="K79" s="136">
        <f>AVERAGE(F79,I79)*E79</f>
        <v>0</v>
      </c>
      <c r="L79" s="137"/>
      <c r="M79" s="138">
        <f>J79+K79-L79</f>
        <v>0</v>
      </c>
      <c r="N79" s="139">
        <f>F79-J79</f>
        <v>0.30328280000000002</v>
      </c>
      <c r="O79" s="139">
        <f>I79-M79</f>
        <v>0.30328280000000002</v>
      </c>
    </row>
    <row r="80" spans="2:15" ht="15">
      <c r="B80" s="72">
        <v>2</v>
      </c>
      <c r="C80" s="73" t="s">
        <v>116</v>
      </c>
      <c r="D80" s="74"/>
      <c r="E80" s="75"/>
      <c r="F80" s="140">
        <f>I71</f>
        <v>434.68127679999998</v>
      </c>
      <c r="G80" s="77"/>
      <c r="H80" s="76"/>
      <c r="I80" s="140">
        <f>F80+G80-H80</f>
        <v>434.68127679999998</v>
      </c>
      <c r="J80" s="141"/>
      <c r="K80" s="142">
        <f t="shared" ref="K80:K82" si="47">AVERAGE(F80,I80)*E80</f>
        <v>0</v>
      </c>
      <c r="L80" s="143"/>
      <c r="M80" s="144">
        <f t="shared" ref="M80:M82" si="48">J80+K80-L80</f>
        <v>0</v>
      </c>
      <c r="N80" s="140">
        <f t="shared" ref="N80:N82" si="49">F80-J80</f>
        <v>434.68127679999998</v>
      </c>
      <c r="O80" s="140">
        <f t="shared" ref="O80:O82" si="50">I80-M80</f>
        <v>434.68127679999998</v>
      </c>
    </row>
    <row r="81" spans="2:15" ht="15">
      <c r="B81" s="72">
        <v>3</v>
      </c>
      <c r="C81" s="79" t="s">
        <v>271</v>
      </c>
      <c r="D81" s="74"/>
      <c r="E81" s="75"/>
      <c r="F81" s="140">
        <f>I72</f>
        <v>240.64748510000001</v>
      </c>
      <c r="G81" s="77"/>
      <c r="H81" s="76"/>
      <c r="I81" s="140">
        <f t="shared" ref="I81:I82" si="51">F81+G81-H81</f>
        <v>240.64748510000001</v>
      </c>
      <c r="J81" s="141"/>
      <c r="K81" s="142">
        <f t="shared" si="47"/>
        <v>0</v>
      </c>
      <c r="L81" s="143"/>
      <c r="M81" s="144">
        <f t="shared" si="48"/>
        <v>0</v>
      </c>
      <c r="N81" s="140">
        <f t="shared" si="49"/>
        <v>240.64748510000001</v>
      </c>
      <c r="O81" s="140">
        <f t="shared" si="50"/>
        <v>240.64748510000001</v>
      </c>
    </row>
    <row r="82" spans="2:15" ht="15">
      <c r="B82" s="72"/>
      <c r="C82" s="79" t="s">
        <v>9</v>
      </c>
      <c r="D82" s="74"/>
      <c r="E82" s="80"/>
      <c r="F82" s="140">
        <f>I73</f>
        <v>161.19999999999999</v>
      </c>
      <c r="G82" s="77"/>
      <c r="H82" s="78"/>
      <c r="I82" s="140">
        <f t="shared" si="51"/>
        <v>161.19999999999999</v>
      </c>
      <c r="J82" s="141"/>
      <c r="K82" s="142">
        <f t="shared" si="47"/>
        <v>0</v>
      </c>
      <c r="L82" s="143"/>
      <c r="M82" s="144">
        <f t="shared" si="48"/>
        <v>0</v>
      </c>
      <c r="N82" s="140">
        <f t="shared" si="49"/>
        <v>161.19999999999999</v>
      </c>
      <c r="O82" s="140">
        <f t="shared" si="50"/>
        <v>161.19999999999999</v>
      </c>
    </row>
    <row r="83" spans="2:15" ht="15.75" thickBot="1">
      <c r="B83" s="81"/>
      <c r="C83" s="82" t="s">
        <v>127</v>
      </c>
      <c r="D83" s="82"/>
      <c r="E83" s="145">
        <f>IFERROR((K83-L83)/AVERAGE(F83,I83),0)</f>
        <v>1.920291037118704E-2</v>
      </c>
      <c r="F83" s="146">
        <f>I74</f>
        <v>3557.6559179659989</v>
      </c>
      <c r="G83" s="146">
        <f t="shared" ref="G83:L83" si="52">SUM(G79:G82)</f>
        <v>0</v>
      </c>
      <c r="H83" s="146">
        <f t="shared" si="52"/>
        <v>0</v>
      </c>
      <c r="I83" s="146">
        <f>F83+G83</f>
        <v>3557.6559179659989</v>
      </c>
      <c r="J83" s="147">
        <f>M74</f>
        <v>2177.1266540519364</v>
      </c>
      <c r="K83" s="146">
        <v>68.317347724224234</v>
      </c>
      <c r="L83" s="148">
        <f t="shared" si="52"/>
        <v>0</v>
      </c>
      <c r="M83" s="147">
        <f>J83+K83-L83</f>
        <v>2245.4440017761608</v>
      </c>
      <c r="N83" s="146">
        <f>F83-J83</f>
        <v>1380.5292639140625</v>
      </c>
      <c r="O83" s="146">
        <f>I83-M83</f>
        <v>1312.2119161898381</v>
      </c>
    </row>
  </sheetData>
  <mergeCells count="56">
    <mergeCell ref="B76:O76"/>
    <mergeCell ref="B77:B78"/>
    <mergeCell ref="C77:C78"/>
    <mergeCell ref="D77:D78"/>
    <mergeCell ref="E77:E78"/>
    <mergeCell ref="F77:I77"/>
    <mergeCell ref="J77:M77"/>
    <mergeCell ref="N77:O77"/>
    <mergeCell ref="B67:O67"/>
    <mergeCell ref="B68:B69"/>
    <mergeCell ref="C68:C69"/>
    <mergeCell ref="D68:D69"/>
    <mergeCell ref="E68:E69"/>
    <mergeCell ref="F68:I68"/>
    <mergeCell ref="J68:M68"/>
    <mergeCell ref="N68:O68"/>
    <mergeCell ref="B58:O58"/>
    <mergeCell ref="B59:B60"/>
    <mergeCell ref="C59:C60"/>
    <mergeCell ref="D59:D60"/>
    <mergeCell ref="E59:E60"/>
    <mergeCell ref="F59:I59"/>
    <mergeCell ref="J59:M59"/>
    <mergeCell ref="N59:O59"/>
    <mergeCell ref="B49:O49"/>
    <mergeCell ref="B50:B51"/>
    <mergeCell ref="C50:C51"/>
    <mergeCell ref="D50:D51"/>
    <mergeCell ref="E50:E51"/>
    <mergeCell ref="F50:I50"/>
    <mergeCell ref="J50:M50"/>
    <mergeCell ref="N50:O50"/>
    <mergeCell ref="B40:O40"/>
    <mergeCell ref="B41:B42"/>
    <mergeCell ref="C41:C42"/>
    <mergeCell ref="D41:D42"/>
    <mergeCell ref="E41:E42"/>
    <mergeCell ref="F41:I41"/>
    <mergeCell ref="J41:M41"/>
    <mergeCell ref="N41:O41"/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</mergeCells>
  <pageMargins left="1.02" right="0.25" top="1" bottom="1" header="0.25" footer="0.25"/>
  <pageSetup paperSize="9" scale="29" orientation="landscape" r:id="rId1"/>
  <headerFooter alignWithMargins="0">
    <oddHeader>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62"/>
  <sheetViews>
    <sheetView showGridLines="0" zoomScale="80" zoomScaleNormal="80" zoomScaleSheetLayoutView="90" workbookViewId="0">
      <selection activeCell="M22" sqref="I22:M22"/>
    </sheetView>
  </sheetViews>
  <sheetFormatPr defaultColWidth="9.28515625" defaultRowHeight="15"/>
  <cols>
    <col min="1" max="1" width="2.7109375" style="202" customWidth="1"/>
    <col min="2" max="2" width="6.28515625" style="202" customWidth="1"/>
    <col min="3" max="3" width="56.7109375" style="202" customWidth="1"/>
    <col min="4" max="4" width="13.7109375" style="202" bestFit="1" customWidth="1"/>
    <col min="5" max="5" width="12.5703125" style="202" bestFit="1" customWidth="1"/>
    <col min="6" max="6" width="13.42578125" style="202" bestFit="1" customWidth="1"/>
    <col min="7" max="7" width="13.7109375" style="202" bestFit="1" customWidth="1"/>
    <col min="8" max="8" width="12.5703125" style="202" customWidth="1"/>
    <col min="9" max="9" width="11.7109375" style="202" bestFit="1" customWidth="1"/>
    <col min="10" max="10" width="13.7109375" style="202" bestFit="1" customWidth="1"/>
    <col min="11" max="16" width="11.7109375" style="202" bestFit="1" customWidth="1"/>
    <col min="17" max="16384" width="9.28515625" style="202"/>
  </cols>
  <sheetData>
    <row r="1" spans="2:15" ht="15.75">
      <c r="B1" s="201"/>
    </row>
    <row r="2" spans="2:15" ht="15.75">
      <c r="B2" s="254" t="s">
        <v>401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0"/>
      <c r="O2" s="250"/>
    </row>
    <row r="3" spans="2:15" ht="15.75">
      <c r="B3" s="254" t="s">
        <v>403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0"/>
      <c r="O3" s="250"/>
    </row>
    <row r="4" spans="2:15" ht="15.75">
      <c r="B4" s="218" t="s">
        <v>413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</row>
    <row r="5" spans="2:15" ht="15.75">
      <c r="B5" s="83" t="s">
        <v>45</v>
      </c>
      <c r="C5" s="201" t="s">
        <v>278</v>
      </c>
      <c r="D5" s="203"/>
      <c r="E5" s="203"/>
      <c r="F5" s="203"/>
      <c r="G5" s="203"/>
      <c r="H5" s="203"/>
      <c r="I5" s="203"/>
      <c r="J5" s="203"/>
    </row>
    <row r="6" spans="2:15" ht="15.75">
      <c r="M6" s="7" t="s">
        <v>4</v>
      </c>
    </row>
    <row r="7" spans="2:15" s="6" customFormat="1" ht="15" customHeight="1">
      <c r="B7" s="261" t="s">
        <v>186</v>
      </c>
      <c r="C7" s="264" t="s">
        <v>18</v>
      </c>
      <c r="D7" s="268" t="s">
        <v>383</v>
      </c>
      <c r="E7" s="269"/>
      <c r="F7" s="270"/>
      <c r="G7" s="268" t="s">
        <v>384</v>
      </c>
      <c r="H7" s="269"/>
      <c r="I7" s="302" t="s">
        <v>225</v>
      </c>
      <c r="J7" s="302"/>
      <c r="K7" s="302"/>
      <c r="L7" s="302"/>
      <c r="M7" s="302"/>
    </row>
    <row r="8" spans="2:15" s="6" customFormat="1" ht="47.25">
      <c r="B8" s="262"/>
      <c r="C8" s="264"/>
      <c r="D8" s="204" t="s">
        <v>325</v>
      </c>
      <c r="E8" s="204" t="s">
        <v>243</v>
      </c>
      <c r="F8" s="204" t="s">
        <v>201</v>
      </c>
      <c r="G8" s="204" t="s">
        <v>325</v>
      </c>
      <c r="H8" s="204" t="s">
        <v>242</v>
      </c>
      <c r="I8" s="204" t="s">
        <v>378</v>
      </c>
      <c r="J8" s="204" t="s">
        <v>379</v>
      </c>
      <c r="K8" s="204" t="s">
        <v>380</v>
      </c>
      <c r="L8" s="204" t="s">
        <v>381</v>
      </c>
      <c r="M8" s="204" t="s">
        <v>382</v>
      </c>
    </row>
    <row r="9" spans="2:15" s="6" customFormat="1" ht="15.75">
      <c r="B9" s="263"/>
      <c r="C9" s="265"/>
      <c r="D9" s="204" t="s">
        <v>10</v>
      </c>
      <c r="E9" s="204" t="s">
        <v>12</v>
      </c>
      <c r="F9" s="204" t="s">
        <v>232</v>
      </c>
      <c r="G9" s="204" t="s">
        <v>10</v>
      </c>
      <c r="H9" s="204" t="s">
        <v>5</v>
      </c>
      <c r="I9" s="204" t="s">
        <v>8</v>
      </c>
      <c r="J9" s="204" t="s">
        <v>8</v>
      </c>
      <c r="K9" s="204" t="s">
        <v>8</v>
      </c>
      <c r="L9" s="204" t="s">
        <v>8</v>
      </c>
      <c r="M9" s="204" t="s">
        <v>8</v>
      </c>
    </row>
    <row r="10" spans="2:15">
      <c r="B10" s="205">
        <v>1</v>
      </c>
      <c r="C10" s="206" t="s">
        <v>165</v>
      </c>
      <c r="D10" s="207">
        <f>'F4'!F21*70%</f>
        <v>2362.9987432792996</v>
      </c>
      <c r="E10" s="207">
        <f>D10</f>
        <v>2362.9987432792996</v>
      </c>
      <c r="F10" s="207">
        <f>D10</f>
        <v>2362.9987432792996</v>
      </c>
      <c r="G10" s="208">
        <f>D10</f>
        <v>2362.9987432792996</v>
      </c>
      <c r="H10" s="208">
        <f>E10+E14</f>
        <v>2371.5691425761997</v>
      </c>
      <c r="I10" s="208">
        <f>H10+H14</f>
        <v>2377.5191425761996</v>
      </c>
      <c r="J10" s="208">
        <f t="shared" ref="J10:L10" si="0">I10+I14</f>
        <v>2490.3591425761997</v>
      </c>
      <c r="K10" s="208">
        <f t="shared" si="0"/>
        <v>2490.3591425761997</v>
      </c>
      <c r="L10" s="208">
        <f t="shared" si="0"/>
        <v>2490.3591425761997</v>
      </c>
      <c r="M10" s="208">
        <f>L10+L14</f>
        <v>2490.3591425761997</v>
      </c>
    </row>
    <row r="11" spans="2:15">
      <c r="B11" s="209">
        <f>B10+1</f>
        <v>2</v>
      </c>
      <c r="C11" s="206" t="s">
        <v>166</v>
      </c>
      <c r="D11" s="207">
        <f>'F4'!J21</f>
        <v>1792.7608183850004</v>
      </c>
      <c r="E11" s="210">
        <f>D11</f>
        <v>1792.7608183850004</v>
      </c>
      <c r="F11" s="210">
        <f>D11</f>
        <v>1792.7608183850004</v>
      </c>
      <c r="G11" s="208"/>
      <c r="H11" s="208">
        <f>E11+E15</f>
        <v>1852.0645802897623</v>
      </c>
      <c r="I11" s="208">
        <f>H11+H15</f>
        <v>1911.9172631550391</v>
      </c>
      <c r="J11" s="208">
        <f t="shared" ref="J11:M11" si="1">I11+I15</f>
        <v>1972.1746108792634</v>
      </c>
      <c r="K11" s="208">
        <f t="shared" si="1"/>
        <v>2040.4919586034875</v>
      </c>
      <c r="L11" s="208">
        <f t="shared" si="1"/>
        <v>2108.809306327712</v>
      </c>
      <c r="M11" s="208">
        <f t="shared" si="1"/>
        <v>2177.1266540519364</v>
      </c>
    </row>
    <row r="12" spans="2:15" ht="15.75">
      <c r="B12" s="209">
        <f t="shared" ref="B12:B22" si="2">B11+1</f>
        <v>3</v>
      </c>
      <c r="C12" s="211" t="s">
        <v>167</v>
      </c>
      <c r="D12" s="212">
        <f>D10-D11</f>
        <v>570.23792489429911</v>
      </c>
      <c r="E12" s="212">
        <f t="shared" ref="E12:M12" si="3">E10-E11</f>
        <v>570.23792489429911</v>
      </c>
      <c r="F12" s="212">
        <f t="shared" si="3"/>
        <v>570.23792489429911</v>
      </c>
      <c r="G12" s="212">
        <f>G10-G11</f>
        <v>2362.9987432792996</v>
      </c>
      <c r="H12" s="212">
        <f t="shared" si="3"/>
        <v>519.50456228643748</v>
      </c>
      <c r="I12" s="212">
        <f>I10-I11</f>
        <v>465.60187942116045</v>
      </c>
      <c r="J12" s="212">
        <f t="shared" si="3"/>
        <v>518.18453169693635</v>
      </c>
      <c r="K12" s="212">
        <f t="shared" si="3"/>
        <v>449.86718397271216</v>
      </c>
      <c r="L12" s="212">
        <f t="shared" si="3"/>
        <v>381.54983624848774</v>
      </c>
      <c r="M12" s="212">
        <f t="shared" si="3"/>
        <v>313.23248852426332</v>
      </c>
    </row>
    <row r="13" spans="2:15" ht="30">
      <c r="B13" s="209">
        <f t="shared" si="2"/>
        <v>4</v>
      </c>
      <c r="C13" s="213" t="s">
        <v>168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</row>
    <row r="14" spans="2:15" s="218" customFormat="1" ht="30">
      <c r="B14" s="209">
        <f t="shared" si="2"/>
        <v>5</v>
      </c>
      <c r="C14" s="215" t="s">
        <v>400</v>
      </c>
      <c r="D14" s="214">
        <f>('F4'!G21-'F4'!H21)*70%</f>
        <v>8.570399296899998</v>
      </c>
      <c r="E14" s="214">
        <f>D14</f>
        <v>8.570399296899998</v>
      </c>
      <c r="F14" s="216">
        <f>E14</f>
        <v>8.570399296899998</v>
      </c>
      <c r="G14" s="217"/>
      <c r="H14" s="217">
        <f>F3.1!H22*70%</f>
        <v>5.9499999999999993</v>
      </c>
      <c r="I14" s="217">
        <f>F3.1!H30*70%</f>
        <v>112.83999999999999</v>
      </c>
      <c r="J14" s="217">
        <f>F3.1!H36*70%</f>
        <v>0</v>
      </c>
      <c r="K14" s="217">
        <f>F3.1!H42*70%</f>
        <v>0</v>
      </c>
      <c r="L14" s="217">
        <f>F3.1!H48*70%</f>
        <v>0</v>
      </c>
      <c r="M14" s="217">
        <f>F3.1!H54*70%</f>
        <v>0</v>
      </c>
    </row>
    <row r="15" spans="2:15">
      <c r="B15" s="209">
        <f t="shared" si="2"/>
        <v>6</v>
      </c>
      <c r="C15" s="213" t="s">
        <v>173</v>
      </c>
      <c r="D15" s="219">
        <f>'F1'!F12</f>
        <v>86.43</v>
      </c>
      <c r="E15" s="219">
        <f>'F1'!G12</f>
        <v>59.303761904761892</v>
      </c>
      <c r="F15" s="219">
        <f>'F1'!H12</f>
        <v>59.303761904761892</v>
      </c>
      <c r="G15" s="219">
        <f>'F1'!I12</f>
        <v>86.433999999999997</v>
      </c>
      <c r="H15" s="219">
        <f>'F1'!J12</f>
        <v>59.852682865276883</v>
      </c>
      <c r="I15" s="219">
        <f>'F1'!K12</f>
        <v>60.25734772422426</v>
      </c>
      <c r="J15" s="219">
        <f>'F1'!L12</f>
        <v>68.317347724224248</v>
      </c>
      <c r="K15" s="219">
        <f>'F1'!M12</f>
        <v>68.317347724224263</v>
      </c>
      <c r="L15" s="219">
        <f>'F1'!N12</f>
        <v>68.317347724224248</v>
      </c>
      <c r="M15" s="219">
        <f>'F1'!O12</f>
        <v>68.317347724224234</v>
      </c>
    </row>
    <row r="16" spans="2:15" ht="15.75">
      <c r="B16" s="209">
        <f t="shared" si="2"/>
        <v>7</v>
      </c>
      <c r="C16" s="206" t="s">
        <v>169</v>
      </c>
      <c r="D16" s="212">
        <f>D12-D13+D14-D15</f>
        <v>492.37832419119906</v>
      </c>
      <c r="E16" s="212">
        <f t="shared" ref="E16:M16" si="4">E12-E13+E14-E15</f>
        <v>519.50456228643714</v>
      </c>
      <c r="F16" s="212">
        <f t="shared" si="4"/>
        <v>519.50456228643714</v>
      </c>
      <c r="G16" s="212">
        <f t="shared" si="4"/>
        <v>2276.5647432792994</v>
      </c>
      <c r="H16" s="212">
        <f t="shared" si="4"/>
        <v>465.60187942116062</v>
      </c>
      <c r="I16" s="212">
        <f t="shared" si="4"/>
        <v>518.18453169693623</v>
      </c>
      <c r="J16" s="212">
        <f t="shared" si="4"/>
        <v>449.8671839727121</v>
      </c>
      <c r="K16" s="212">
        <f t="shared" si="4"/>
        <v>381.54983624848791</v>
      </c>
      <c r="L16" s="212">
        <f t="shared" si="4"/>
        <v>313.23248852426349</v>
      </c>
      <c r="M16" s="212">
        <f t="shared" si="4"/>
        <v>244.91514080003907</v>
      </c>
    </row>
    <row r="17" spans="2:13" ht="15.75">
      <c r="B17" s="209">
        <f t="shared" si="2"/>
        <v>8</v>
      </c>
      <c r="C17" s="206" t="s">
        <v>170</v>
      </c>
      <c r="D17" s="212">
        <f>D10-D13+D14-D15</f>
        <v>2285.1391425761999</v>
      </c>
      <c r="E17" s="212">
        <f t="shared" ref="E17:M17" si="5">E10-E13+E14-E15</f>
        <v>2312.2653806714379</v>
      </c>
      <c r="F17" s="212">
        <f t="shared" si="5"/>
        <v>2312.2653806714379</v>
      </c>
      <c r="G17" s="212">
        <f t="shared" si="5"/>
        <v>2276.5647432792994</v>
      </c>
      <c r="H17" s="212">
        <f>H10-H13+H14-H15</f>
        <v>2317.6664597109225</v>
      </c>
      <c r="I17" s="212">
        <f t="shared" si="5"/>
        <v>2430.1017948519752</v>
      </c>
      <c r="J17" s="212">
        <f t="shared" si="5"/>
        <v>2422.0417948519753</v>
      </c>
      <c r="K17" s="212">
        <f t="shared" si="5"/>
        <v>2422.0417948519753</v>
      </c>
      <c r="L17" s="212">
        <f t="shared" si="5"/>
        <v>2422.0417948519753</v>
      </c>
      <c r="M17" s="212">
        <f t="shared" si="5"/>
        <v>2422.0417948519753</v>
      </c>
    </row>
    <row r="18" spans="2:13" ht="15.75">
      <c r="B18" s="209">
        <f t="shared" si="2"/>
        <v>9</v>
      </c>
      <c r="C18" s="206" t="s">
        <v>205</v>
      </c>
      <c r="D18" s="212">
        <f>AVERAGE(D12,D16)</f>
        <v>531.30812454274906</v>
      </c>
      <c r="E18" s="212">
        <f t="shared" ref="E18:M18" si="6">AVERAGE(E12,E16)</f>
        <v>544.87124359036807</v>
      </c>
      <c r="F18" s="212">
        <f t="shared" si="6"/>
        <v>544.87124359036807</v>
      </c>
      <c r="G18" s="212">
        <f t="shared" si="6"/>
        <v>2319.7817432792995</v>
      </c>
      <c r="H18" s="212">
        <f t="shared" si="6"/>
        <v>492.55322085379908</v>
      </c>
      <c r="I18" s="212">
        <f t="shared" si="6"/>
        <v>491.89320555904834</v>
      </c>
      <c r="J18" s="212">
        <f t="shared" si="6"/>
        <v>484.02585783482425</v>
      </c>
      <c r="K18" s="212">
        <f t="shared" si="6"/>
        <v>415.70851011060006</v>
      </c>
      <c r="L18" s="212">
        <f t="shared" si="6"/>
        <v>347.39116238637564</v>
      </c>
      <c r="M18" s="212">
        <f t="shared" si="6"/>
        <v>279.07381466215122</v>
      </c>
    </row>
    <row r="19" spans="2:13">
      <c r="B19" s="209">
        <f t="shared" si="2"/>
        <v>10</v>
      </c>
      <c r="C19" s="213" t="s">
        <v>204</v>
      </c>
      <c r="D19" s="220">
        <v>0.10150000000000001</v>
      </c>
      <c r="E19" s="220">
        <v>0.10150000000000001</v>
      </c>
      <c r="F19" s="220">
        <v>0.10150000000000001</v>
      </c>
      <c r="G19" s="220">
        <v>0.10150000000000001</v>
      </c>
      <c r="H19" s="220">
        <v>0.10150000000000001</v>
      </c>
      <c r="I19" s="220">
        <v>0.10150000000000001</v>
      </c>
      <c r="J19" s="220">
        <v>0.10150000000000001</v>
      </c>
      <c r="K19" s="220">
        <v>0.10150000000000001</v>
      </c>
      <c r="L19" s="220">
        <v>0.10150000000000001</v>
      </c>
      <c r="M19" s="220">
        <v>0.10150000000000001</v>
      </c>
    </row>
    <row r="20" spans="2:13" ht="15.75">
      <c r="B20" s="209">
        <f t="shared" si="2"/>
        <v>11</v>
      </c>
      <c r="C20" s="206" t="s">
        <v>279</v>
      </c>
      <c r="D20" s="212">
        <f>D18*D19</f>
        <v>53.92777464108903</v>
      </c>
      <c r="E20" s="212">
        <f>E18*E19</f>
        <v>55.304431224422359</v>
      </c>
      <c r="F20" s="212">
        <f t="shared" ref="F20:M20" si="7">F18*F19</f>
        <v>55.304431224422359</v>
      </c>
      <c r="G20" s="212">
        <f t="shared" si="7"/>
        <v>235.4578469428489</v>
      </c>
      <c r="H20" s="212">
        <f t="shared" si="7"/>
        <v>49.994151916660613</v>
      </c>
      <c r="I20" s="212">
        <f t="shared" si="7"/>
        <v>49.927160364243413</v>
      </c>
      <c r="J20" s="212">
        <f t="shared" si="7"/>
        <v>49.128624570234663</v>
      </c>
      <c r="K20" s="212">
        <f t="shared" si="7"/>
        <v>42.194413776225907</v>
      </c>
      <c r="L20" s="212">
        <f t="shared" si="7"/>
        <v>35.26020298221713</v>
      </c>
      <c r="M20" s="212">
        <f t="shared" si="7"/>
        <v>28.32599218820835</v>
      </c>
    </row>
    <row r="21" spans="2:13">
      <c r="B21" s="209">
        <f t="shared" si="2"/>
        <v>12</v>
      </c>
      <c r="C21" s="206" t="s">
        <v>282</v>
      </c>
      <c r="D21" s="221"/>
      <c r="E21" s="221"/>
      <c r="F21" s="221"/>
      <c r="G21" s="221"/>
      <c r="H21" s="221"/>
      <c r="I21" s="221"/>
      <c r="J21" s="221"/>
      <c r="K21" s="221"/>
      <c r="L21" s="221"/>
      <c r="M21" s="221"/>
    </row>
    <row r="22" spans="2:13" ht="15.75">
      <c r="B22" s="209">
        <f t="shared" si="2"/>
        <v>13</v>
      </c>
      <c r="C22" s="206" t="s">
        <v>283</v>
      </c>
      <c r="D22" s="212">
        <v>56.28</v>
      </c>
      <c r="E22" s="212">
        <f t="shared" ref="E22:M22" si="8">E20+E21</f>
        <v>55.304431224422359</v>
      </c>
      <c r="F22" s="212">
        <f t="shared" si="8"/>
        <v>55.304431224422359</v>
      </c>
      <c r="G22" s="212">
        <v>47.51</v>
      </c>
      <c r="H22" s="212">
        <f t="shared" si="8"/>
        <v>49.994151916660613</v>
      </c>
      <c r="I22" s="212">
        <f t="shared" si="8"/>
        <v>49.927160364243413</v>
      </c>
      <c r="J22" s="212">
        <f t="shared" si="8"/>
        <v>49.128624570234663</v>
      </c>
      <c r="K22" s="212">
        <f t="shared" si="8"/>
        <v>42.194413776225907</v>
      </c>
      <c r="L22" s="212">
        <f t="shared" si="8"/>
        <v>35.26020298221713</v>
      </c>
      <c r="M22" s="212">
        <f t="shared" si="8"/>
        <v>28.32599218820835</v>
      </c>
    </row>
    <row r="23" spans="2:13">
      <c r="B23" s="1"/>
    </row>
    <row r="24" spans="2:13">
      <c r="B24" s="1"/>
      <c r="C24" s="202" t="s">
        <v>245</v>
      </c>
    </row>
    <row r="25" spans="2:13">
      <c r="C25" s="202" t="s">
        <v>364</v>
      </c>
    </row>
    <row r="27" spans="2:13" ht="15.75">
      <c r="B27" s="83" t="s">
        <v>50</v>
      </c>
      <c r="C27" s="201" t="s">
        <v>280</v>
      </c>
    </row>
    <row r="28" spans="2:13" ht="15.75">
      <c r="J28" s="7" t="s">
        <v>4</v>
      </c>
    </row>
    <row r="29" spans="2:13" ht="15" customHeight="1">
      <c r="B29" s="261" t="s">
        <v>186</v>
      </c>
      <c r="C29" s="264" t="s">
        <v>18</v>
      </c>
      <c r="D29" s="222" t="s">
        <v>230</v>
      </c>
      <c r="E29" s="268" t="s">
        <v>229</v>
      </c>
      <c r="F29" s="269"/>
      <c r="G29" s="270"/>
      <c r="H29" s="300"/>
      <c r="I29" s="300"/>
      <c r="J29" s="301"/>
    </row>
    <row r="30" spans="2:13" ht="15.75">
      <c r="B30" s="262"/>
      <c r="C30" s="264"/>
      <c r="D30" s="204" t="s">
        <v>243</v>
      </c>
      <c r="E30" s="204" t="s">
        <v>233</v>
      </c>
      <c r="F30" s="204" t="s">
        <v>234</v>
      </c>
      <c r="G30" s="204" t="s">
        <v>242</v>
      </c>
      <c r="H30" s="204" t="s">
        <v>226</v>
      </c>
      <c r="I30" s="204" t="s">
        <v>227</v>
      </c>
      <c r="J30" s="204" t="s">
        <v>228</v>
      </c>
    </row>
    <row r="31" spans="2:13" ht="15.75">
      <c r="B31" s="263"/>
      <c r="C31" s="265"/>
      <c r="D31" s="204" t="s">
        <v>12</v>
      </c>
      <c r="E31" s="204" t="s">
        <v>3</v>
      </c>
      <c r="F31" s="204" t="s">
        <v>5</v>
      </c>
      <c r="G31" s="204" t="s">
        <v>5</v>
      </c>
      <c r="H31" s="204" t="s">
        <v>8</v>
      </c>
      <c r="I31" s="204" t="s">
        <v>8</v>
      </c>
      <c r="J31" s="204" t="s">
        <v>8</v>
      </c>
    </row>
    <row r="32" spans="2:13" ht="15.75">
      <c r="B32" s="209">
        <v>1</v>
      </c>
      <c r="C32" s="223" t="s">
        <v>185</v>
      </c>
      <c r="D32" s="206"/>
      <c r="E32" s="206"/>
      <c r="F32" s="206"/>
      <c r="G32" s="206"/>
      <c r="H32" s="206"/>
      <c r="I32" s="206"/>
      <c r="J32" s="206"/>
    </row>
    <row r="33" spans="2:10">
      <c r="B33" s="206"/>
      <c r="C33" s="206" t="s">
        <v>13</v>
      </c>
      <c r="D33" s="206"/>
      <c r="E33" s="206"/>
      <c r="F33" s="206"/>
      <c r="G33" s="206"/>
      <c r="H33" s="206"/>
      <c r="I33" s="206"/>
      <c r="J33" s="206"/>
    </row>
    <row r="34" spans="2:10">
      <c r="B34" s="206"/>
      <c r="C34" s="206" t="s">
        <v>158</v>
      </c>
      <c r="D34" s="206"/>
      <c r="E34" s="206"/>
      <c r="F34" s="206"/>
      <c r="G34" s="206"/>
      <c r="H34" s="206"/>
      <c r="I34" s="206"/>
      <c r="J34" s="206"/>
    </row>
    <row r="35" spans="2:10">
      <c r="B35" s="206"/>
      <c r="C35" s="206" t="s">
        <v>14</v>
      </c>
      <c r="D35" s="206"/>
      <c r="E35" s="206"/>
      <c r="F35" s="206"/>
      <c r="G35" s="206"/>
      <c r="H35" s="206"/>
      <c r="I35" s="206"/>
      <c r="J35" s="206"/>
    </row>
    <row r="36" spans="2:10" ht="15.75">
      <c r="B36" s="206"/>
      <c r="C36" s="206" t="s">
        <v>15</v>
      </c>
      <c r="D36" s="224">
        <f>D33+D34-D35</f>
        <v>0</v>
      </c>
      <c r="E36" s="224">
        <f t="shared" ref="E36:J36" si="9">E33+E34-E35</f>
        <v>0</v>
      </c>
      <c r="F36" s="224">
        <f t="shared" si="9"/>
        <v>0</v>
      </c>
      <c r="G36" s="224">
        <f t="shared" si="9"/>
        <v>0</v>
      </c>
      <c r="H36" s="224">
        <f t="shared" si="9"/>
        <v>0</v>
      </c>
      <c r="I36" s="224">
        <f t="shared" si="9"/>
        <v>0</v>
      </c>
      <c r="J36" s="224">
        <f t="shared" si="9"/>
        <v>0</v>
      </c>
    </row>
    <row r="37" spans="2:10" ht="15.75">
      <c r="B37" s="206"/>
      <c r="C37" s="206" t="s">
        <v>206</v>
      </c>
      <c r="D37" s="224">
        <f>AVERAGE(D33,D36)</f>
        <v>0</v>
      </c>
      <c r="E37" s="224">
        <f t="shared" ref="E37:J37" si="10">AVERAGE(E33,E36)</f>
        <v>0</v>
      </c>
      <c r="F37" s="224">
        <f t="shared" si="10"/>
        <v>0</v>
      </c>
      <c r="G37" s="224">
        <f t="shared" si="10"/>
        <v>0</v>
      </c>
      <c r="H37" s="224">
        <f t="shared" si="10"/>
        <v>0</v>
      </c>
      <c r="I37" s="224">
        <f t="shared" si="10"/>
        <v>0</v>
      </c>
      <c r="J37" s="224">
        <f t="shared" si="10"/>
        <v>0</v>
      </c>
    </row>
    <row r="38" spans="2:10">
      <c r="B38" s="206"/>
      <c r="C38" s="206" t="s">
        <v>16</v>
      </c>
      <c r="D38" s="225"/>
      <c r="E38" s="225"/>
      <c r="F38" s="225"/>
      <c r="G38" s="225"/>
      <c r="H38" s="225"/>
      <c r="I38" s="225"/>
      <c r="J38" s="225"/>
    </row>
    <row r="39" spans="2:10" ht="15.75">
      <c r="B39" s="206"/>
      <c r="C39" s="206" t="s">
        <v>279</v>
      </c>
      <c r="D39" s="224">
        <f>D37*D38</f>
        <v>0</v>
      </c>
      <c r="E39" s="224">
        <f t="shared" ref="E39:J39" si="11">E37*E38</f>
        <v>0</v>
      </c>
      <c r="F39" s="224">
        <f t="shared" si="11"/>
        <v>0</v>
      </c>
      <c r="G39" s="224">
        <f t="shared" si="11"/>
        <v>0</v>
      </c>
      <c r="H39" s="224">
        <f t="shared" si="11"/>
        <v>0</v>
      </c>
      <c r="I39" s="224">
        <f t="shared" si="11"/>
        <v>0</v>
      </c>
      <c r="J39" s="224">
        <f t="shared" si="11"/>
        <v>0</v>
      </c>
    </row>
    <row r="40" spans="2:10">
      <c r="B40" s="206"/>
      <c r="C40" s="206" t="s">
        <v>282</v>
      </c>
      <c r="D40" s="210"/>
      <c r="E40" s="210"/>
      <c r="F40" s="210"/>
      <c r="G40" s="210"/>
      <c r="H40" s="210"/>
      <c r="I40" s="210"/>
      <c r="J40" s="210"/>
    </row>
    <row r="41" spans="2:10" ht="15.75">
      <c r="B41" s="206"/>
      <c r="C41" s="206" t="s">
        <v>283</v>
      </c>
      <c r="D41" s="224">
        <f>D39+D40</f>
        <v>0</v>
      </c>
      <c r="E41" s="224">
        <f t="shared" ref="E41:J41" si="12">E39+E40</f>
        <v>0</v>
      </c>
      <c r="F41" s="224">
        <f t="shared" si="12"/>
        <v>0</v>
      </c>
      <c r="G41" s="224">
        <f t="shared" si="12"/>
        <v>0</v>
      </c>
      <c r="H41" s="224">
        <f t="shared" si="12"/>
        <v>0</v>
      </c>
      <c r="I41" s="224">
        <f t="shared" si="12"/>
        <v>0</v>
      </c>
      <c r="J41" s="224">
        <f t="shared" si="12"/>
        <v>0</v>
      </c>
    </row>
    <row r="42" spans="2:10" ht="15.75">
      <c r="B42" s="209">
        <v>2</v>
      </c>
      <c r="C42" s="223" t="s">
        <v>184</v>
      </c>
      <c r="D42" s="210"/>
      <c r="E42" s="210"/>
      <c r="F42" s="210"/>
      <c r="G42" s="210"/>
      <c r="H42" s="210"/>
      <c r="I42" s="210"/>
      <c r="J42" s="210"/>
    </row>
    <row r="43" spans="2:10">
      <c r="B43" s="206"/>
      <c r="C43" s="206" t="s">
        <v>13</v>
      </c>
      <c r="D43" s="210"/>
      <c r="E43" s="210"/>
      <c r="F43" s="210"/>
      <c r="G43" s="210"/>
      <c r="H43" s="210"/>
      <c r="I43" s="210"/>
      <c r="J43" s="210"/>
    </row>
    <row r="44" spans="2:10">
      <c r="B44" s="206"/>
      <c r="C44" s="206" t="s">
        <v>158</v>
      </c>
      <c r="D44" s="210"/>
      <c r="E44" s="210"/>
      <c r="F44" s="210"/>
      <c r="G44" s="210"/>
      <c r="H44" s="210"/>
      <c r="I44" s="210"/>
      <c r="J44" s="210"/>
    </row>
    <row r="45" spans="2:10">
      <c r="B45" s="206"/>
      <c r="C45" s="206" t="s">
        <v>14</v>
      </c>
      <c r="D45" s="210"/>
      <c r="E45" s="210"/>
      <c r="F45" s="210"/>
      <c r="G45" s="210"/>
      <c r="H45" s="210"/>
      <c r="I45" s="210"/>
      <c r="J45" s="210"/>
    </row>
    <row r="46" spans="2:10" ht="15.75">
      <c r="B46" s="206"/>
      <c r="C46" s="206" t="s">
        <v>15</v>
      </c>
      <c r="D46" s="224">
        <f>D43+D44-D45</f>
        <v>0</v>
      </c>
      <c r="E46" s="224">
        <f t="shared" ref="E46:J46" si="13">E43+E44-E45</f>
        <v>0</v>
      </c>
      <c r="F46" s="224">
        <f t="shared" si="13"/>
        <v>0</v>
      </c>
      <c r="G46" s="224">
        <f t="shared" si="13"/>
        <v>0</v>
      </c>
      <c r="H46" s="224">
        <f t="shared" si="13"/>
        <v>0</v>
      </c>
      <c r="I46" s="224">
        <f t="shared" si="13"/>
        <v>0</v>
      </c>
      <c r="J46" s="224">
        <f t="shared" si="13"/>
        <v>0</v>
      </c>
    </row>
    <row r="47" spans="2:10" ht="15.75">
      <c r="B47" s="206"/>
      <c r="C47" s="206" t="s">
        <v>206</v>
      </c>
      <c r="D47" s="224">
        <f>AVERAGE(D43,D46)</f>
        <v>0</v>
      </c>
      <c r="E47" s="224">
        <f t="shared" ref="E47:J47" si="14">AVERAGE(E43,E46)</f>
        <v>0</v>
      </c>
      <c r="F47" s="224">
        <f t="shared" si="14"/>
        <v>0</v>
      </c>
      <c r="G47" s="224">
        <f t="shared" si="14"/>
        <v>0</v>
      </c>
      <c r="H47" s="224">
        <f t="shared" si="14"/>
        <v>0</v>
      </c>
      <c r="I47" s="224">
        <f t="shared" si="14"/>
        <v>0</v>
      </c>
      <c r="J47" s="224">
        <f t="shared" si="14"/>
        <v>0</v>
      </c>
    </row>
    <row r="48" spans="2:10">
      <c r="B48" s="206"/>
      <c r="C48" s="206" t="s">
        <v>16</v>
      </c>
      <c r="D48" s="225"/>
      <c r="E48" s="225"/>
      <c r="F48" s="225"/>
      <c r="G48" s="225"/>
      <c r="H48" s="225"/>
      <c r="I48" s="225"/>
      <c r="J48" s="225"/>
    </row>
    <row r="49" spans="2:10" ht="15.75">
      <c r="B49" s="206"/>
      <c r="C49" s="206" t="s">
        <v>279</v>
      </c>
      <c r="D49" s="224">
        <f>D47*D48</f>
        <v>0</v>
      </c>
      <c r="E49" s="224">
        <f t="shared" ref="E49:J49" si="15">E47*E48</f>
        <v>0</v>
      </c>
      <c r="F49" s="224">
        <f t="shared" si="15"/>
        <v>0</v>
      </c>
      <c r="G49" s="224">
        <f t="shared" si="15"/>
        <v>0</v>
      </c>
      <c r="H49" s="224">
        <f t="shared" si="15"/>
        <v>0</v>
      </c>
      <c r="I49" s="224">
        <f t="shared" si="15"/>
        <v>0</v>
      </c>
      <c r="J49" s="224">
        <f t="shared" si="15"/>
        <v>0</v>
      </c>
    </row>
    <row r="50" spans="2:10">
      <c r="B50" s="206"/>
      <c r="C50" s="206" t="s">
        <v>282</v>
      </c>
      <c r="D50" s="210"/>
      <c r="E50" s="210"/>
      <c r="F50" s="210"/>
      <c r="G50" s="210"/>
      <c r="H50" s="210"/>
      <c r="I50" s="210"/>
      <c r="J50" s="210"/>
    </row>
    <row r="51" spans="2:10" ht="15.75">
      <c r="B51" s="206"/>
      <c r="C51" s="206" t="s">
        <v>283</v>
      </c>
      <c r="D51" s="224">
        <f>D49+D50</f>
        <v>0</v>
      </c>
      <c r="E51" s="224">
        <f t="shared" ref="E51:J51" si="16">E49+E50</f>
        <v>0</v>
      </c>
      <c r="F51" s="224">
        <f t="shared" si="16"/>
        <v>0</v>
      </c>
      <c r="G51" s="224">
        <f t="shared" si="16"/>
        <v>0</v>
      </c>
      <c r="H51" s="224">
        <f t="shared" si="16"/>
        <v>0</v>
      </c>
      <c r="I51" s="224">
        <f t="shared" si="16"/>
        <v>0</v>
      </c>
      <c r="J51" s="224">
        <f t="shared" si="16"/>
        <v>0</v>
      </c>
    </row>
    <row r="52" spans="2:10">
      <c r="B52" s="206"/>
      <c r="C52" s="206" t="s">
        <v>281</v>
      </c>
      <c r="D52" s="210"/>
      <c r="E52" s="210"/>
      <c r="F52" s="210"/>
      <c r="G52" s="210"/>
      <c r="H52" s="210"/>
      <c r="I52" s="210"/>
      <c r="J52" s="210"/>
    </row>
    <row r="53" spans="2:10" ht="15.75">
      <c r="B53" s="209"/>
      <c r="C53" s="223" t="s">
        <v>127</v>
      </c>
      <c r="D53" s="210"/>
      <c r="E53" s="210"/>
      <c r="F53" s="210"/>
      <c r="G53" s="210"/>
      <c r="H53" s="210"/>
      <c r="I53" s="210"/>
      <c r="J53" s="210"/>
    </row>
    <row r="54" spans="2:10" ht="15.75">
      <c r="B54" s="206"/>
      <c r="C54" s="206" t="s">
        <v>13</v>
      </c>
      <c r="D54" s="224">
        <f>D33+D43</f>
        <v>0</v>
      </c>
      <c r="E54" s="224">
        <f t="shared" ref="E54:J56" si="17">E33+E43</f>
        <v>0</v>
      </c>
      <c r="F54" s="224">
        <f t="shared" si="17"/>
        <v>0</v>
      </c>
      <c r="G54" s="224">
        <f t="shared" si="17"/>
        <v>0</v>
      </c>
      <c r="H54" s="224">
        <f t="shared" si="17"/>
        <v>0</v>
      </c>
      <c r="I54" s="224">
        <f t="shared" si="17"/>
        <v>0</v>
      </c>
      <c r="J54" s="224">
        <f t="shared" si="17"/>
        <v>0</v>
      </c>
    </row>
    <row r="55" spans="2:10" ht="15.75">
      <c r="B55" s="206"/>
      <c r="C55" s="206" t="s">
        <v>158</v>
      </c>
      <c r="D55" s="224">
        <f>D34+D44</f>
        <v>0</v>
      </c>
      <c r="E55" s="224">
        <f t="shared" si="17"/>
        <v>0</v>
      </c>
      <c r="F55" s="224">
        <f t="shared" si="17"/>
        <v>0</v>
      </c>
      <c r="G55" s="224">
        <f t="shared" si="17"/>
        <v>0</v>
      </c>
      <c r="H55" s="224">
        <f t="shared" si="17"/>
        <v>0</v>
      </c>
      <c r="I55" s="224">
        <f t="shared" si="17"/>
        <v>0</v>
      </c>
      <c r="J55" s="224">
        <f t="shared" si="17"/>
        <v>0</v>
      </c>
    </row>
    <row r="56" spans="2:10" ht="15.75">
      <c r="B56" s="206"/>
      <c r="C56" s="206" t="s">
        <v>14</v>
      </c>
      <c r="D56" s="224">
        <f>D35+D45</f>
        <v>0</v>
      </c>
      <c r="E56" s="224">
        <f t="shared" si="17"/>
        <v>0</v>
      </c>
      <c r="F56" s="224">
        <f t="shared" si="17"/>
        <v>0</v>
      </c>
      <c r="G56" s="224">
        <f t="shared" si="17"/>
        <v>0</v>
      </c>
      <c r="H56" s="224">
        <f t="shared" si="17"/>
        <v>0</v>
      </c>
      <c r="I56" s="224">
        <f t="shared" si="17"/>
        <v>0</v>
      </c>
      <c r="J56" s="224">
        <f t="shared" si="17"/>
        <v>0</v>
      </c>
    </row>
    <row r="57" spans="2:10" ht="15.75">
      <c r="B57" s="206"/>
      <c r="C57" s="206" t="s">
        <v>15</v>
      </c>
      <c r="D57" s="224">
        <f>D54+D55-D56</f>
        <v>0</v>
      </c>
      <c r="E57" s="224">
        <f t="shared" ref="E57:J57" si="18">E54+E55-E56</f>
        <v>0</v>
      </c>
      <c r="F57" s="224">
        <f t="shared" si="18"/>
        <v>0</v>
      </c>
      <c r="G57" s="224">
        <f t="shared" si="18"/>
        <v>0</v>
      </c>
      <c r="H57" s="224">
        <f t="shared" si="18"/>
        <v>0</v>
      </c>
      <c r="I57" s="224">
        <f t="shared" si="18"/>
        <v>0</v>
      </c>
      <c r="J57" s="224">
        <f t="shared" si="18"/>
        <v>0</v>
      </c>
    </row>
    <row r="58" spans="2:10" ht="15.75">
      <c r="B58" s="206"/>
      <c r="C58" s="206" t="s">
        <v>206</v>
      </c>
      <c r="D58" s="224">
        <f>AVERAGE(D54,D57)</f>
        <v>0</v>
      </c>
      <c r="E58" s="224">
        <f t="shared" ref="E58:J58" si="19">AVERAGE(E54,E57)</f>
        <v>0</v>
      </c>
      <c r="F58" s="224">
        <f t="shared" si="19"/>
        <v>0</v>
      </c>
      <c r="G58" s="224">
        <f t="shared" si="19"/>
        <v>0</v>
      </c>
      <c r="H58" s="224">
        <f t="shared" si="19"/>
        <v>0</v>
      </c>
      <c r="I58" s="224">
        <f t="shared" si="19"/>
        <v>0</v>
      </c>
      <c r="J58" s="224">
        <f t="shared" si="19"/>
        <v>0</v>
      </c>
    </row>
    <row r="59" spans="2:10" ht="15.75">
      <c r="B59" s="206"/>
      <c r="C59" s="206" t="s">
        <v>16</v>
      </c>
      <c r="D59" s="226">
        <f>IFERROR(D60/D58,0)</f>
        <v>0</v>
      </c>
      <c r="E59" s="226">
        <f t="shared" ref="E59:J59" si="20">IFERROR(E60/E58,0)</f>
        <v>0</v>
      </c>
      <c r="F59" s="226">
        <f t="shared" si="20"/>
        <v>0</v>
      </c>
      <c r="G59" s="226">
        <f t="shared" si="20"/>
        <v>0</v>
      </c>
      <c r="H59" s="226">
        <f t="shared" si="20"/>
        <v>0</v>
      </c>
      <c r="I59" s="226">
        <f t="shared" si="20"/>
        <v>0</v>
      </c>
      <c r="J59" s="226">
        <f t="shared" si="20"/>
        <v>0</v>
      </c>
    </row>
    <row r="60" spans="2:10" ht="15.75">
      <c r="B60" s="206"/>
      <c r="C60" s="206" t="s">
        <v>279</v>
      </c>
      <c r="D60" s="224">
        <f>D39+D49</f>
        <v>0</v>
      </c>
      <c r="E60" s="224">
        <f t="shared" ref="E60:J61" si="21">E39+E49</f>
        <v>0</v>
      </c>
      <c r="F60" s="224">
        <f t="shared" si="21"/>
        <v>0</v>
      </c>
      <c r="G60" s="224">
        <f t="shared" si="21"/>
        <v>0</v>
      </c>
      <c r="H60" s="224">
        <f t="shared" si="21"/>
        <v>0</v>
      </c>
      <c r="I60" s="224">
        <f t="shared" si="21"/>
        <v>0</v>
      </c>
      <c r="J60" s="224">
        <f t="shared" si="21"/>
        <v>0</v>
      </c>
    </row>
    <row r="61" spans="2:10" ht="15.75">
      <c r="B61" s="206"/>
      <c r="C61" s="206" t="s">
        <v>282</v>
      </c>
      <c r="D61" s="224">
        <f>D40+D50</f>
        <v>0</v>
      </c>
      <c r="E61" s="224">
        <f t="shared" si="21"/>
        <v>0</v>
      </c>
      <c r="F61" s="224">
        <f t="shared" si="21"/>
        <v>0</v>
      </c>
      <c r="G61" s="224">
        <f t="shared" si="21"/>
        <v>0</v>
      </c>
      <c r="H61" s="224">
        <f t="shared" si="21"/>
        <v>0</v>
      </c>
      <c r="I61" s="224">
        <f t="shared" si="21"/>
        <v>0</v>
      </c>
      <c r="J61" s="224">
        <f t="shared" si="21"/>
        <v>0</v>
      </c>
    </row>
    <row r="62" spans="2:10" ht="15.75">
      <c r="B62" s="206"/>
      <c r="C62" s="206" t="s">
        <v>283</v>
      </c>
      <c r="D62" s="224">
        <f>D60+D61</f>
        <v>0</v>
      </c>
      <c r="E62" s="224">
        <f t="shared" ref="E62:J62" si="22">E60+E61</f>
        <v>0</v>
      </c>
      <c r="F62" s="224">
        <f t="shared" si="22"/>
        <v>0</v>
      </c>
      <c r="G62" s="224">
        <f t="shared" si="22"/>
        <v>0</v>
      </c>
      <c r="H62" s="224">
        <f t="shared" si="22"/>
        <v>0</v>
      </c>
      <c r="I62" s="224">
        <f t="shared" si="22"/>
        <v>0</v>
      </c>
      <c r="J62" s="224">
        <f t="shared" si="22"/>
        <v>0</v>
      </c>
    </row>
  </sheetData>
  <mergeCells count="11">
    <mergeCell ref="B2:M2"/>
    <mergeCell ref="B3:M3"/>
    <mergeCell ref="E29:G29"/>
    <mergeCell ref="H29:J29"/>
    <mergeCell ref="B7:B9"/>
    <mergeCell ref="C7:C9"/>
    <mergeCell ref="D7:F7"/>
    <mergeCell ref="G7:H7"/>
    <mergeCell ref="I7:M7"/>
    <mergeCell ref="B29:B31"/>
    <mergeCell ref="C29:C31"/>
  </mergeCells>
  <pageMargins left="1.02" right="0.25" top="1" bottom="1" header="0.25" footer="0.25"/>
  <pageSetup paperSize="9" scale="45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zoomScale="80" zoomScaleNormal="80" zoomScaleSheetLayoutView="90" workbookViewId="0">
      <selection activeCell="O24" sqref="O24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customWidth="1"/>
    <col min="9" max="9" width="11.7109375" style="5" bestFit="1" customWidth="1"/>
    <col min="10" max="10" width="13.7109375" style="5" bestFit="1" customWidth="1"/>
    <col min="11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54" t="s">
        <v>401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2:13" ht="15.75">
      <c r="B3" s="254" t="s">
        <v>403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</row>
    <row r="4" spans="2:13" ht="15.75">
      <c r="B4" s="303" t="s">
        <v>291</v>
      </c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86" t="s">
        <v>186</v>
      </c>
      <c r="C7" s="282" t="s">
        <v>18</v>
      </c>
      <c r="D7" s="276" t="s">
        <v>383</v>
      </c>
      <c r="E7" s="277"/>
      <c r="F7" s="278"/>
      <c r="G7" s="276" t="s">
        <v>384</v>
      </c>
      <c r="H7" s="277"/>
      <c r="I7" s="275" t="s">
        <v>225</v>
      </c>
      <c r="J7" s="275"/>
      <c r="K7" s="275"/>
      <c r="L7" s="275"/>
      <c r="M7" s="275"/>
    </row>
    <row r="8" spans="2:13" s="19" customFormat="1" ht="45">
      <c r="B8" s="287"/>
      <c r="C8" s="282"/>
      <c r="D8" s="21" t="s">
        <v>325</v>
      </c>
      <c r="E8" s="21" t="s">
        <v>243</v>
      </c>
      <c r="F8" s="21" t="s">
        <v>201</v>
      </c>
      <c r="G8" s="21" t="s">
        <v>325</v>
      </c>
      <c r="H8" s="21" t="s">
        <v>242</v>
      </c>
      <c r="I8" s="21" t="s">
        <v>378</v>
      </c>
      <c r="J8" s="21" t="s">
        <v>379</v>
      </c>
      <c r="K8" s="21" t="s">
        <v>380</v>
      </c>
      <c r="L8" s="21" t="s">
        <v>381</v>
      </c>
      <c r="M8" s="21" t="s">
        <v>382</v>
      </c>
    </row>
    <row r="9" spans="2:13" s="19" customFormat="1" ht="15">
      <c r="B9" s="288"/>
      <c r="C9" s="289"/>
      <c r="D9" s="21" t="s">
        <v>10</v>
      </c>
      <c r="E9" s="21" t="s">
        <v>12</v>
      </c>
      <c r="F9" s="21" t="s">
        <v>232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1">
        <v>1</v>
      </c>
      <c r="C10" s="29" t="s">
        <v>284</v>
      </c>
      <c r="D10" s="2"/>
      <c r="E10" s="29"/>
      <c r="F10" s="29"/>
      <c r="G10" s="24"/>
      <c r="H10" s="24"/>
      <c r="I10" s="24"/>
      <c r="J10" s="24"/>
      <c r="K10" s="24"/>
      <c r="L10" s="24"/>
      <c r="M10" s="24"/>
    </row>
    <row r="11" spans="2:13">
      <c r="B11" s="23">
        <f>B10+1</f>
        <v>2</v>
      </c>
      <c r="C11" s="29" t="s">
        <v>285</v>
      </c>
      <c r="D11" s="2"/>
      <c r="E11" s="29"/>
      <c r="F11" s="29"/>
      <c r="G11" s="24"/>
      <c r="H11" s="24"/>
      <c r="I11" s="24"/>
      <c r="J11" s="24"/>
      <c r="K11" s="24"/>
      <c r="L11" s="24"/>
      <c r="M11" s="24"/>
    </row>
    <row r="12" spans="2:13">
      <c r="B12" s="23">
        <f t="shared" ref="B12:B20" si="0">B11+1</f>
        <v>3</v>
      </c>
      <c r="C12" s="31" t="s">
        <v>286</v>
      </c>
      <c r="D12" s="2"/>
      <c r="E12" s="29"/>
      <c r="F12" s="29"/>
      <c r="G12" s="24"/>
      <c r="H12" s="24"/>
      <c r="I12" s="24"/>
      <c r="J12" s="24"/>
      <c r="K12" s="24"/>
      <c r="L12" s="24"/>
      <c r="M12" s="24"/>
    </row>
    <row r="13" spans="2:13">
      <c r="B13" s="23">
        <f t="shared" si="0"/>
        <v>4</v>
      </c>
      <c r="C13" s="84" t="s">
        <v>287</v>
      </c>
      <c r="D13" s="152">
        <f>'F2'!E14/12</f>
        <v>7.2670124999999999</v>
      </c>
      <c r="E13" s="152">
        <f>'F2'!F14/12</f>
        <v>15.928696772016933</v>
      </c>
      <c r="F13" s="152">
        <f>'F2'!G14/12</f>
        <v>15.928696772016933</v>
      </c>
      <c r="G13" s="152">
        <f>'F2'!H14/12</f>
        <v>7.6324049999999994</v>
      </c>
      <c r="H13" s="152">
        <f>'F2'!I14/12</f>
        <v>14.95376094495996</v>
      </c>
      <c r="I13" s="152">
        <f>'F1'!K11/12</f>
        <v>12.287250702608068</v>
      </c>
      <c r="J13" s="152">
        <f>'F1'!L11/12</f>
        <v>12.974927467309252</v>
      </c>
      <c r="K13" s="152">
        <f>'F1'!M11/12</f>
        <v>13.629230572134082</v>
      </c>
      <c r="L13" s="152">
        <f>'F1'!N11/12</f>
        <v>14.320984239941881</v>
      </c>
      <c r="M13" s="152">
        <f>'F1'!O11/12</f>
        <v>15.052336151547914</v>
      </c>
    </row>
    <row r="14" spans="2:13" s="35" customFormat="1" ht="15">
      <c r="B14" s="23">
        <f t="shared" si="0"/>
        <v>5</v>
      </c>
      <c r="C14" s="40" t="s">
        <v>288</v>
      </c>
      <c r="D14" s="152">
        <f>'F1'!F11*15%</f>
        <v>13.080622499999999</v>
      </c>
      <c r="E14" s="160">
        <f>'F1'!G11*15%</f>
        <v>28.671654189630477</v>
      </c>
      <c r="F14" s="160">
        <f>'F1'!H11*15%</f>
        <v>28.671654189630477</v>
      </c>
      <c r="G14" s="160">
        <f>'F1'!I11*15%</f>
        <v>13.738328999999998</v>
      </c>
      <c r="H14" s="160">
        <f>'F1'!J11*15%</f>
        <v>26.916769700927926</v>
      </c>
      <c r="I14" s="160">
        <f>'F4'!F47*1%</f>
        <v>33.964559179659993</v>
      </c>
      <c r="J14" s="160">
        <f>'F4'!F56*1%</f>
        <v>35.576559179659988</v>
      </c>
      <c r="K14" s="160">
        <f>'F4'!F65*1%</f>
        <v>35.576559179659988</v>
      </c>
      <c r="L14" s="160">
        <f>'F4'!F74*1%</f>
        <v>35.576559179659988</v>
      </c>
      <c r="M14" s="160">
        <f>'F4'!F83*1%</f>
        <v>35.576559179659988</v>
      </c>
    </row>
    <row r="15" spans="2:13">
      <c r="B15" s="23">
        <f t="shared" si="0"/>
        <v>6</v>
      </c>
      <c r="C15" s="84" t="s">
        <v>361</v>
      </c>
      <c r="D15" s="152">
        <f>('F1'!F17+'F1'!F16)*2/12</f>
        <v>73.466363494157633</v>
      </c>
      <c r="E15" s="152">
        <f ca="1">('F1'!G17+'F1'!G16)*2/12</f>
        <v>90.365916736064264</v>
      </c>
      <c r="F15" s="152">
        <f ca="1">('F1'!H17+'F1'!H16)*2/12</f>
        <v>90.365916736064264</v>
      </c>
      <c r="G15" s="152">
        <f>('F1'!I17+'F1'!I16)*2/12</f>
        <v>72.777815160824289</v>
      </c>
      <c r="H15" s="152">
        <f ca="1">('F1'!J17+'F1'!J16)*2/12</f>
        <v>87.791682927995552</v>
      </c>
      <c r="I15" s="152">
        <f ca="1">('F1'!K17+'F1'!K16)*45/365</f>
        <v>61.467020195807208</v>
      </c>
      <c r="J15" s="152">
        <f ca="1">('F1'!L17+'F1'!L16)*45/365</f>
        <v>64.098676706612125</v>
      </c>
      <c r="K15" s="152">
        <f ca="1">('F1'!M17+'F1'!M16)*45/365</f>
        <v>64.221508915989219</v>
      </c>
      <c r="L15" s="152">
        <f ca="1">('F1'!N17+'F1'!N16)*45/365</f>
        <v>64.400924145646712</v>
      </c>
      <c r="M15" s="152">
        <f ca="1">('F1'!O17+'F1'!O16)*45/365</f>
        <v>64.640167267155263</v>
      </c>
    </row>
    <row r="16" spans="2:13">
      <c r="B16" s="23"/>
      <c r="C16" s="84" t="s">
        <v>289</v>
      </c>
      <c r="D16" s="85"/>
      <c r="E16" s="31"/>
      <c r="F16" s="3"/>
      <c r="G16" s="31"/>
      <c r="H16" s="31"/>
      <c r="I16" s="31"/>
      <c r="J16" s="31"/>
      <c r="K16" s="31"/>
      <c r="L16" s="31"/>
      <c r="M16" s="31"/>
    </row>
    <row r="17" spans="2:13">
      <c r="B17" s="23">
        <f>B15+1</f>
        <v>7</v>
      </c>
      <c r="C17" s="29" t="s">
        <v>362</v>
      </c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2:13" ht="15">
      <c r="B18" s="23">
        <f t="shared" si="0"/>
        <v>8</v>
      </c>
      <c r="C18" s="29" t="s">
        <v>44</v>
      </c>
      <c r="D18" s="133">
        <f>SUM(D10:D15)-D17</f>
        <v>93.81399849415763</v>
      </c>
      <c r="E18" s="133">
        <f ca="1">SUM(E10:E15)-E17</f>
        <v>134.96626769771166</v>
      </c>
      <c r="F18" s="133">
        <f t="shared" ref="F18:M18" ca="1" si="1">SUM(F10:F15)-F17</f>
        <v>134.96626769771166</v>
      </c>
      <c r="G18" s="133">
        <f t="shared" si="1"/>
        <v>94.148549160824288</v>
      </c>
      <c r="H18" s="133">
        <f t="shared" ca="1" si="1"/>
        <v>129.66221357388343</v>
      </c>
      <c r="I18" s="133">
        <f t="shared" ca="1" si="1"/>
        <v>107.71883007807527</v>
      </c>
      <c r="J18" s="133">
        <f t="shared" ca="1" si="1"/>
        <v>112.65016335358136</v>
      </c>
      <c r="K18" s="133">
        <f t="shared" ca="1" si="1"/>
        <v>113.42729866778329</v>
      </c>
      <c r="L18" s="133">
        <f t="shared" ca="1" si="1"/>
        <v>114.29846756524859</v>
      </c>
      <c r="M18" s="133">
        <f t="shared" ca="1" si="1"/>
        <v>115.26906259836316</v>
      </c>
    </row>
    <row r="19" spans="2:13">
      <c r="B19" s="23">
        <f t="shared" si="0"/>
        <v>9</v>
      </c>
      <c r="C19" s="29" t="s">
        <v>290</v>
      </c>
      <c r="D19" s="150">
        <v>8.5500000000000007E-2</v>
      </c>
      <c r="E19" s="150">
        <v>9.4399999999999998E-2</v>
      </c>
      <c r="F19" s="150">
        <v>9.4399999999999998E-2</v>
      </c>
      <c r="G19" s="150">
        <v>8.5500000000000007E-2</v>
      </c>
      <c r="H19" s="150">
        <v>0.1008</v>
      </c>
      <c r="I19" s="150">
        <v>0.10150000000000001</v>
      </c>
      <c r="J19" s="150">
        <v>0.10150000000000001</v>
      </c>
      <c r="K19" s="150">
        <v>0.10150000000000001</v>
      </c>
      <c r="L19" s="150">
        <v>0.10150000000000001</v>
      </c>
      <c r="M19" s="150">
        <v>0.10150000000000001</v>
      </c>
    </row>
    <row r="20" spans="2:13" ht="15">
      <c r="B20" s="23">
        <f t="shared" si="0"/>
        <v>10</v>
      </c>
      <c r="C20" s="84" t="s">
        <v>291</v>
      </c>
      <c r="D20" s="133">
        <v>8.41</v>
      </c>
      <c r="E20" s="133">
        <f t="shared" ref="E20:M20" ca="1" si="2">E18*E19</f>
        <v>12.740815670663981</v>
      </c>
      <c r="F20" s="133">
        <f t="shared" ca="1" si="2"/>
        <v>12.740815670663981</v>
      </c>
      <c r="G20" s="133">
        <v>8.66</v>
      </c>
      <c r="H20" s="133">
        <f t="shared" ca="1" si="2"/>
        <v>13.06995112824745</v>
      </c>
      <c r="I20" s="133">
        <f t="shared" ca="1" si="2"/>
        <v>10.933461252924641</v>
      </c>
      <c r="J20" s="133">
        <f t="shared" ca="1" si="2"/>
        <v>11.433991580388509</v>
      </c>
      <c r="K20" s="133">
        <f t="shared" ca="1" si="2"/>
        <v>11.512870814780005</v>
      </c>
      <c r="L20" s="133">
        <f t="shared" ca="1" si="2"/>
        <v>11.601294457872733</v>
      </c>
      <c r="M20" s="133">
        <f t="shared" ca="1" si="2"/>
        <v>11.699809853733862</v>
      </c>
    </row>
    <row r="22" spans="2:13">
      <c r="C22" s="5" t="s">
        <v>245</v>
      </c>
    </row>
    <row r="23" spans="2:13">
      <c r="C23" s="5" t="s">
        <v>363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O23" sqref="O23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54" t="s">
        <v>401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2:13" ht="15.75">
      <c r="B3" s="254" t="s">
        <v>403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</row>
    <row r="4" spans="2:13" ht="15.75">
      <c r="B4" s="303" t="s">
        <v>237</v>
      </c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86" t="s">
        <v>186</v>
      </c>
      <c r="C7" s="282" t="s">
        <v>18</v>
      </c>
      <c r="D7" s="276" t="s">
        <v>383</v>
      </c>
      <c r="E7" s="277"/>
      <c r="F7" s="278"/>
      <c r="G7" s="276" t="s">
        <v>384</v>
      </c>
      <c r="H7" s="277"/>
      <c r="I7" s="275" t="s">
        <v>225</v>
      </c>
      <c r="J7" s="275"/>
      <c r="K7" s="275"/>
      <c r="L7" s="275"/>
      <c r="M7" s="275"/>
    </row>
    <row r="8" spans="2:13" s="19" customFormat="1" ht="45">
      <c r="B8" s="287"/>
      <c r="C8" s="282"/>
      <c r="D8" s="21" t="s">
        <v>325</v>
      </c>
      <c r="E8" s="21" t="s">
        <v>243</v>
      </c>
      <c r="F8" s="21" t="s">
        <v>201</v>
      </c>
      <c r="G8" s="21" t="s">
        <v>325</v>
      </c>
      <c r="H8" s="21" t="s">
        <v>242</v>
      </c>
      <c r="I8" s="21" t="s">
        <v>378</v>
      </c>
      <c r="J8" s="21" t="s">
        <v>379</v>
      </c>
      <c r="K8" s="21" t="s">
        <v>380</v>
      </c>
      <c r="L8" s="21" t="s">
        <v>381</v>
      </c>
      <c r="M8" s="21" t="s">
        <v>382</v>
      </c>
    </row>
    <row r="9" spans="2:13" s="19" customFormat="1" ht="15">
      <c r="B9" s="288"/>
      <c r="C9" s="289"/>
      <c r="D9" s="21" t="s">
        <v>10</v>
      </c>
      <c r="E9" s="21" t="s">
        <v>12</v>
      </c>
      <c r="F9" s="21" t="s">
        <v>232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1">
        <v>1</v>
      </c>
      <c r="C10" s="29" t="s">
        <v>215</v>
      </c>
      <c r="D10" s="164">
        <f>'F4'!F21*30%</f>
        <v>1012.7137471196997</v>
      </c>
      <c r="E10" s="160">
        <f>'F4'!F21*30%</f>
        <v>1012.7137471196997</v>
      </c>
      <c r="F10" s="160">
        <f>E10</f>
        <v>1012.7137471196997</v>
      </c>
      <c r="G10" s="165">
        <f>D14</f>
        <v>1012.7137471196997</v>
      </c>
      <c r="H10" s="165">
        <f>E14</f>
        <v>1016.3865945197997</v>
      </c>
      <c r="I10" s="165">
        <f>H14</f>
        <v>1018.9365945197997</v>
      </c>
      <c r="J10" s="165">
        <f>I14</f>
        <v>1067.2965945197996</v>
      </c>
      <c r="K10" s="165">
        <f>J14</f>
        <v>1067.2965945197996</v>
      </c>
      <c r="L10" s="165">
        <f>K14</f>
        <v>1067.2965945197996</v>
      </c>
      <c r="M10" s="165">
        <f>L14</f>
        <v>1067.2965945197996</v>
      </c>
    </row>
    <row r="11" spans="2:13">
      <c r="B11" s="23">
        <f>B10+1</f>
        <v>2</v>
      </c>
      <c r="C11" s="29" t="s">
        <v>216</v>
      </c>
      <c r="D11" s="164"/>
      <c r="E11" s="160">
        <f>F3.1!H15</f>
        <v>12.242824666999999</v>
      </c>
      <c r="F11" s="160">
        <f>E11</f>
        <v>12.242824666999999</v>
      </c>
      <c r="G11" s="165"/>
      <c r="H11" s="165">
        <f>F3.1!H22</f>
        <v>8.5</v>
      </c>
      <c r="I11" s="165">
        <f>F3.1!H30</f>
        <v>161.19999999999999</v>
      </c>
      <c r="J11" s="165">
        <f>F3.1!H34</f>
        <v>0</v>
      </c>
      <c r="K11" s="165">
        <f>F3.1!H40</f>
        <v>0</v>
      </c>
      <c r="L11" s="165">
        <f>F3.1!H46</f>
        <v>0</v>
      </c>
      <c r="M11" s="165">
        <f>F3.1!H52</f>
        <v>0</v>
      </c>
    </row>
    <row r="12" spans="2:13">
      <c r="B12" s="23">
        <f t="shared" ref="B12:B22" si="0">B11+1</f>
        <v>3</v>
      </c>
      <c r="C12" s="31" t="s">
        <v>19</v>
      </c>
      <c r="D12" s="164">
        <f>D11*30%</f>
        <v>0</v>
      </c>
      <c r="E12" s="164">
        <f>E11*30%</f>
        <v>3.6728474000999993</v>
      </c>
      <c r="F12" s="164">
        <f>F11*30%</f>
        <v>3.6728474000999993</v>
      </c>
      <c r="G12" s="164">
        <f t="shared" ref="G12" si="1">G11*25%</f>
        <v>0</v>
      </c>
      <c r="H12" s="164">
        <f>H11*30%</f>
        <v>2.5499999999999998</v>
      </c>
      <c r="I12" s="164">
        <f>I11*30%</f>
        <v>48.359999999999992</v>
      </c>
      <c r="J12" s="164">
        <f t="shared" ref="J12:M12" si="2">J11*30%</f>
        <v>0</v>
      </c>
      <c r="K12" s="164">
        <f t="shared" si="2"/>
        <v>0</v>
      </c>
      <c r="L12" s="164">
        <f t="shared" si="2"/>
        <v>0</v>
      </c>
      <c r="M12" s="164">
        <f t="shared" si="2"/>
        <v>0</v>
      </c>
    </row>
    <row r="13" spans="2:13" ht="28.5">
      <c r="B13" s="23">
        <f t="shared" si="0"/>
        <v>4</v>
      </c>
      <c r="C13" s="84" t="s">
        <v>20</v>
      </c>
      <c r="D13" s="200"/>
      <c r="E13" s="160"/>
      <c r="F13" s="164"/>
      <c r="G13" s="160"/>
      <c r="H13" s="160"/>
      <c r="I13" s="160"/>
      <c r="J13" s="160"/>
      <c r="K13" s="160"/>
      <c r="L13" s="160"/>
      <c r="M13" s="160"/>
    </row>
    <row r="14" spans="2:13" s="35" customFormat="1" ht="15">
      <c r="B14" s="23">
        <f t="shared" si="0"/>
        <v>5</v>
      </c>
      <c r="C14" s="40" t="s">
        <v>21</v>
      </c>
      <c r="D14" s="166">
        <f>D10+D12-D13</f>
        <v>1012.7137471196997</v>
      </c>
      <c r="E14" s="166">
        <f t="shared" ref="E14:M14" si="3">E10+E12-E13</f>
        <v>1016.3865945197997</v>
      </c>
      <c r="F14" s="166">
        <f>F10+F12-F13</f>
        <v>1016.3865945197997</v>
      </c>
      <c r="G14" s="166">
        <f t="shared" si="3"/>
        <v>1012.7137471196997</v>
      </c>
      <c r="H14" s="166">
        <f t="shared" si="3"/>
        <v>1018.9365945197997</v>
      </c>
      <c r="I14" s="166">
        <f t="shared" si="3"/>
        <v>1067.2965945197996</v>
      </c>
      <c r="J14" s="166">
        <f t="shared" si="3"/>
        <v>1067.2965945197996</v>
      </c>
      <c r="K14" s="166">
        <f t="shared" si="3"/>
        <v>1067.2965945197996</v>
      </c>
      <c r="L14" s="166">
        <f t="shared" si="3"/>
        <v>1067.2965945197996</v>
      </c>
      <c r="M14" s="166">
        <f t="shared" si="3"/>
        <v>1067.2965945197996</v>
      </c>
    </row>
    <row r="15" spans="2:13" s="35" customFormat="1" ht="15">
      <c r="B15" s="23"/>
      <c r="C15" s="86" t="s">
        <v>292</v>
      </c>
      <c r="D15" s="85"/>
      <c r="E15" s="31"/>
      <c r="F15" s="3"/>
      <c r="G15" s="31"/>
      <c r="H15" s="31"/>
      <c r="I15" s="31"/>
      <c r="J15" s="31"/>
      <c r="K15" s="31"/>
      <c r="L15" s="31"/>
      <c r="M15" s="31"/>
    </row>
    <row r="16" spans="2:13" s="35" customFormat="1" ht="15">
      <c r="B16" s="23">
        <f>B14+1</f>
        <v>6</v>
      </c>
      <c r="C16" s="40" t="s">
        <v>293</v>
      </c>
      <c r="D16" s="149">
        <v>0.16500000000000001</v>
      </c>
      <c r="E16" s="149">
        <v>0.16500000000000001</v>
      </c>
      <c r="F16" s="149">
        <v>0.16500000000000001</v>
      </c>
      <c r="G16" s="149">
        <v>0.16500000000000001</v>
      </c>
      <c r="H16" s="149">
        <v>0.16500000000000001</v>
      </c>
      <c r="I16" s="149">
        <v>0.16500000000000001</v>
      </c>
      <c r="J16" s="149">
        <v>0.16500000000000001</v>
      </c>
      <c r="K16" s="149">
        <v>0.16500000000000001</v>
      </c>
      <c r="L16" s="149">
        <v>0.16500000000000001</v>
      </c>
      <c r="M16" s="149">
        <v>0.16500000000000001</v>
      </c>
    </row>
    <row r="17" spans="2:13" s="35" customFormat="1" ht="15">
      <c r="B17" s="23">
        <f>B16+1</f>
        <v>7</v>
      </c>
      <c r="C17" s="40" t="s">
        <v>294</v>
      </c>
      <c r="D17" s="150">
        <v>0.17471999999999999</v>
      </c>
      <c r="E17" s="150">
        <v>0.25168000000000001</v>
      </c>
      <c r="F17" s="150">
        <v>0.25168000000000001</v>
      </c>
      <c r="G17" s="150">
        <v>0.17471999999999999</v>
      </c>
      <c r="H17" s="150">
        <v>0.25168000000000001</v>
      </c>
      <c r="I17" s="150">
        <v>0.25168000000000001</v>
      </c>
      <c r="J17" s="150">
        <v>0.25168000000000001</v>
      </c>
      <c r="K17" s="150">
        <v>0.25168000000000001</v>
      </c>
      <c r="L17" s="150">
        <v>0.25168000000000001</v>
      </c>
      <c r="M17" s="150">
        <v>0.25168000000000001</v>
      </c>
    </row>
    <row r="18" spans="2:13" s="35" customFormat="1" ht="15">
      <c r="B18" s="23">
        <f>B17+1</f>
        <v>8</v>
      </c>
      <c r="C18" s="32" t="s">
        <v>292</v>
      </c>
      <c r="D18" s="151">
        <f>D16/(1-D17)</f>
        <v>0.19993214424195424</v>
      </c>
      <c r="E18" s="151">
        <f t="shared" ref="E18:M18" si="4">E16/(1-E17)</f>
        <v>0.22049390635022451</v>
      </c>
      <c r="F18" s="151">
        <f t="shared" si="4"/>
        <v>0.22049390635022451</v>
      </c>
      <c r="G18" s="151">
        <f t="shared" si="4"/>
        <v>0.19993214424195424</v>
      </c>
      <c r="H18" s="151">
        <f t="shared" si="4"/>
        <v>0.22049390635022451</v>
      </c>
      <c r="I18" s="151">
        <f t="shared" si="4"/>
        <v>0.22049390635022451</v>
      </c>
      <c r="J18" s="151">
        <f t="shared" si="4"/>
        <v>0.22049390635022451</v>
      </c>
      <c r="K18" s="151">
        <f t="shared" si="4"/>
        <v>0.22049390635022451</v>
      </c>
      <c r="L18" s="151">
        <f t="shared" si="4"/>
        <v>0.22049390635022451</v>
      </c>
      <c r="M18" s="151">
        <f t="shared" si="4"/>
        <v>0.22049390635022451</v>
      </c>
    </row>
    <row r="19" spans="2:13" ht="15">
      <c r="B19" s="23"/>
      <c r="C19" s="86" t="s">
        <v>171</v>
      </c>
      <c r="D19" s="132"/>
      <c r="E19" s="31"/>
      <c r="F19" s="3"/>
      <c r="G19" s="31"/>
      <c r="H19" s="31"/>
      <c r="I19" s="31"/>
      <c r="J19" s="31"/>
      <c r="K19" s="31"/>
      <c r="L19" s="31"/>
      <c r="M19" s="31"/>
    </row>
    <row r="20" spans="2:13" ht="17.25" customHeight="1">
      <c r="B20" s="23">
        <f>B18+1</f>
        <v>9</v>
      </c>
      <c r="C20" s="84" t="s">
        <v>217</v>
      </c>
      <c r="D20" s="133">
        <f>D10*D18</f>
        <v>202.47403096494577</v>
      </c>
      <c r="E20" s="133">
        <f t="shared" ref="E20:M20" si="5">E10*E18</f>
        <v>223.29721011699601</v>
      </c>
      <c r="F20" s="133">
        <f t="shared" si="5"/>
        <v>223.29721011699601</v>
      </c>
      <c r="G20" s="133">
        <f t="shared" si="5"/>
        <v>202.47403096494577</v>
      </c>
      <c r="H20" s="133">
        <f t="shared" si="5"/>
        <v>224.10705058767232</v>
      </c>
      <c r="I20" s="133">
        <f t="shared" si="5"/>
        <v>224.66931004886538</v>
      </c>
      <c r="J20" s="133">
        <f t="shared" si="5"/>
        <v>235.33239535996222</v>
      </c>
      <c r="K20" s="133">
        <f t="shared" si="5"/>
        <v>235.33239535996222</v>
      </c>
      <c r="L20" s="133">
        <f t="shared" si="5"/>
        <v>235.33239535996222</v>
      </c>
      <c r="M20" s="133">
        <f t="shared" si="5"/>
        <v>235.33239535996222</v>
      </c>
    </row>
    <row r="21" spans="2:13" ht="18.75" customHeight="1">
      <c r="B21" s="23">
        <f t="shared" si="0"/>
        <v>10</v>
      </c>
      <c r="C21" s="84" t="s">
        <v>218</v>
      </c>
      <c r="D21" s="133">
        <f>AVERAGE(D10,D14)*D18-D20</f>
        <v>0</v>
      </c>
      <c r="E21" s="133">
        <f t="shared" ref="E21:M21" si="6">AVERAGE(E10,E14)*E18-E20</f>
        <v>0.40492023533815313</v>
      </c>
      <c r="F21" s="133">
        <f t="shared" si="6"/>
        <v>0.40492023533815313</v>
      </c>
      <c r="G21" s="133">
        <f t="shared" si="6"/>
        <v>0</v>
      </c>
      <c r="H21" s="133">
        <f t="shared" si="6"/>
        <v>0.28112973059654678</v>
      </c>
      <c r="I21" s="133">
        <f t="shared" si="6"/>
        <v>5.3315426555483896</v>
      </c>
      <c r="J21" s="133">
        <f t="shared" si="6"/>
        <v>0</v>
      </c>
      <c r="K21" s="133">
        <f t="shared" si="6"/>
        <v>0</v>
      </c>
      <c r="L21" s="133">
        <f t="shared" si="6"/>
        <v>0</v>
      </c>
      <c r="M21" s="133">
        <f t="shared" si="6"/>
        <v>0</v>
      </c>
    </row>
    <row r="22" spans="2:13" ht="15">
      <c r="B22" s="23">
        <f t="shared" si="0"/>
        <v>11</v>
      </c>
      <c r="C22" s="41" t="s">
        <v>172</v>
      </c>
      <c r="D22" s="133">
        <f>D20+D21</f>
        <v>202.47403096494577</v>
      </c>
      <c r="E22" s="133">
        <f t="shared" ref="E22:M22" si="7">E20+E21</f>
        <v>223.70213035233417</v>
      </c>
      <c r="F22" s="133">
        <f t="shared" si="7"/>
        <v>223.70213035233417</v>
      </c>
      <c r="G22" s="133">
        <f t="shared" si="7"/>
        <v>202.47403096494577</v>
      </c>
      <c r="H22" s="133">
        <f t="shared" si="7"/>
        <v>224.38818031826887</v>
      </c>
      <c r="I22" s="133">
        <f t="shared" si="7"/>
        <v>230.00085270441377</v>
      </c>
      <c r="J22" s="133">
        <f t="shared" si="7"/>
        <v>235.33239535996222</v>
      </c>
      <c r="K22" s="133">
        <f t="shared" si="7"/>
        <v>235.33239535996222</v>
      </c>
      <c r="L22" s="133">
        <f t="shared" si="7"/>
        <v>235.33239535996222</v>
      </c>
      <c r="M22" s="133">
        <f t="shared" si="7"/>
        <v>235.33239535996222</v>
      </c>
    </row>
    <row r="23" spans="2:13">
      <c r="C23" s="5" t="s">
        <v>245</v>
      </c>
    </row>
    <row r="24" spans="2:13">
      <c r="C24" s="5" t="s">
        <v>364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B4" sqref="B4:M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54" t="s">
        <v>401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2:13" ht="15.75">
      <c r="B3" s="254" t="s">
        <v>403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</row>
    <row r="4" spans="2:13" ht="15.75">
      <c r="B4" s="303" t="s">
        <v>152</v>
      </c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86" t="s">
        <v>186</v>
      </c>
      <c r="C7" s="282" t="s">
        <v>18</v>
      </c>
      <c r="D7" s="276" t="s">
        <v>383</v>
      </c>
      <c r="E7" s="277"/>
      <c r="F7" s="278"/>
      <c r="G7" s="276" t="s">
        <v>384</v>
      </c>
      <c r="H7" s="277"/>
      <c r="I7" s="275" t="s">
        <v>225</v>
      </c>
      <c r="J7" s="275"/>
      <c r="K7" s="275"/>
      <c r="L7" s="275"/>
      <c r="M7" s="275"/>
    </row>
    <row r="8" spans="2:13" s="19" customFormat="1" ht="30">
      <c r="B8" s="287"/>
      <c r="C8" s="282"/>
      <c r="D8" s="21" t="s">
        <v>325</v>
      </c>
      <c r="E8" s="21" t="s">
        <v>243</v>
      </c>
      <c r="F8" s="21" t="s">
        <v>201</v>
      </c>
      <c r="G8" s="21" t="s">
        <v>325</v>
      </c>
      <c r="H8" s="21" t="s">
        <v>242</v>
      </c>
      <c r="I8" s="21" t="s">
        <v>378</v>
      </c>
      <c r="J8" s="21" t="s">
        <v>379</v>
      </c>
      <c r="K8" s="21" t="s">
        <v>380</v>
      </c>
      <c r="L8" s="21" t="s">
        <v>381</v>
      </c>
      <c r="M8" s="21" t="s">
        <v>382</v>
      </c>
    </row>
    <row r="9" spans="2:13" s="19" customFormat="1" ht="15">
      <c r="B9" s="288"/>
      <c r="C9" s="289"/>
      <c r="D9" s="21" t="s">
        <v>10</v>
      </c>
      <c r="E9" s="21" t="s">
        <v>12</v>
      </c>
      <c r="F9" s="21" t="s">
        <v>232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1">
        <v>1</v>
      </c>
      <c r="C10" s="29" t="s">
        <v>295</v>
      </c>
      <c r="D10" s="2"/>
      <c r="E10" s="160">
        <v>0.20526093266848103</v>
      </c>
      <c r="F10" s="160">
        <v>0.20526093266848103</v>
      </c>
      <c r="G10" s="165"/>
      <c r="H10" s="165">
        <v>0.19271495388290441</v>
      </c>
      <c r="I10" s="165">
        <v>0.20526093266848103</v>
      </c>
      <c r="J10" s="165">
        <v>0.21347136997522029</v>
      </c>
      <c r="K10" s="165">
        <v>0.2220102247742291</v>
      </c>
      <c r="L10" s="165">
        <v>0.23089063376519828</v>
      </c>
      <c r="M10" s="165">
        <v>0.24012625911580621</v>
      </c>
    </row>
    <row r="11" spans="2:13">
      <c r="B11" s="61">
        <f>B10+1</f>
        <v>2</v>
      </c>
      <c r="C11" s="29" t="s">
        <v>296</v>
      </c>
      <c r="D11" s="2"/>
      <c r="E11" s="160">
        <v>0</v>
      </c>
      <c r="F11" s="160">
        <v>0</v>
      </c>
      <c r="G11" s="165"/>
      <c r="H11" s="165">
        <v>0</v>
      </c>
      <c r="I11" s="165">
        <v>0</v>
      </c>
      <c r="J11" s="165">
        <v>0</v>
      </c>
      <c r="K11" s="165">
        <v>0</v>
      </c>
      <c r="L11" s="165">
        <v>0</v>
      </c>
      <c r="M11" s="165">
        <v>0</v>
      </c>
    </row>
    <row r="12" spans="2:13">
      <c r="B12" s="61">
        <f>B11+1</f>
        <v>3</v>
      </c>
      <c r="C12" s="29" t="s">
        <v>297</v>
      </c>
      <c r="D12" s="2"/>
      <c r="E12" s="160">
        <v>1.5338123223071563</v>
      </c>
      <c r="F12" s="160">
        <v>1.5338123223071563</v>
      </c>
      <c r="G12" s="165"/>
      <c r="H12" s="165">
        <v>0.21513550000000001</v>
      </c>
      <c r="I12" s="165">
        <v>1.5338123223071563</v>
      </c>
      <c r="J12" s="165">
        <v>1.5951648151994426</v>
      </c>
      <c r="K12" s="165">
        <v>1.6589714078074205</v>
      </c>
      <c r="L12" s="165">
        <v>1.7253302641197175</v>
      </c>
      <c r="M12" s="165">
        <v>1.7943434746845062</v>
      </c>
    </row>
    <row r="13" spans="2:13">
      <c r="B13" s="23">
        <f t="shared" ref="B13:B21" si="0">B12+1</f>
        <v>4</v>
      </c>
      <c r="C13" s="31" t="s">
        <v>298</v>
      </c>
      <c r="D13" s="2"/>
      <c r="E13" s="160">
        <v>0</v>
      </c>
      <c r="F13" s="160">
        <v>0</v>
      </c>
      <c r="G13" s="165"/>
      <c r="H13" s="165">
        <v>0</v>
      </c>
      <c r="I13" s="165">
        <v>0</v>
      </c>
      <c r="J13" s="165">
        <v>0</v>
      </c>
      <c r="K13" s="165">
        <v>0</v>
      </c>
      <c r="L13" s="165">
        <v>0</v>
      </c>
      <c r="M13" s="165">
        <v>0</v>
      </c>
    </row>
    <row r="14" spans="2:13" ht="15.75" customHeight="1">
      <c r="B14" s="23">
        <f t="shared" si="0"/>
        <v>5</v>
      </c>
      <c r="C14" s="84" t="s">
        <v>299</v>
      </c>
      <c r="D14" s="85"/>
      <c r="E14" s="160">
        <v>0</v>
      </c>
      <c r="F14" s="164">
        <v>0</v>
      </c>
      <c r="G14" s="160"/>
      <c r="H14" s="160">
        <v>0</v>
      </c>
      <c r="I14" s="160">
        <v>0</v>
      </c>
      <c r="J14" s="160">
        <v>0</v>
      </c>
      <c r="K14" s="160">
        <v>0</v>
      </c>
      <c r="L14" s="160">
        <v>0</v>
      </c>
      <c r="M14" s="160">
        <v>0</v>
      </c>
    </row>
    <row r="15" spans="2:13" s="35" customFormat="1" ht="15">
      <c r="B15" s="23">
        <f t="shared" si="0"/>
        <v>6</v>
      </c>
      <c r="C15" s="40" t="s">
        <v>300</v>
      </c>
      <c r="D15" s="85"/>
      <c r="E15" s="160">
        <v>2.1388714418762431E-2</v>
      </c>
      <c r="F15" s="164">
        <v>2.1388714418762431E-2</v>
      </c>
      <c r="G15" s="160"/>
      <c r="H15" s="160">
        <v>9.071935184185774E-3</v>
      </c>
      <c r="I15" s="160">
        <v>2.1388714418762431E-2</v>
      </c>
      <c r="J15" s="160">
        <v>2.224426299551293E-2</v>
      </c>
      <c r="K15" s="160">
        <v>2.3134033515333448E-2</v>
      </c>
      <c r="L15" s="160">
        <v>2.4059394855946787E-2</v>
      </c>
      <c r="M15" s="160">
        <v>2.5021770650184658E-2</v>
      </c>
    </row>
    <row r="16" spans="2:13" s="35" customFormat="1" ht="15">
      <c r="B16" s="23">
        <f t="shared" si="0"/>
        <v>7</v>
      </c>
      <c r="C16" s="84" t="s">
        <v>301</v>
      </c>
      <c r="D16" s="85"/>
      <c r="E16" s="160">
        <v>0</v>
      </c>
      <c r="F16" s="164">
        <v>0</v>
      </c>
      <c r="G16" s="160"/>
      <c r="H16" s="160">
        <v>0</v>
      </c>
      <c r="I16" s="160">
        <v>0</v>
      </c>
      <c r="J16" s="160">
        <v>0</v>
      </c>
      <c r="K16" s="160">
        <v>0</v>
      </c>
      <c r="L16" s="160">
        <v>0</v>
      </c>
      <c r="M16" s="160">
        <v>0</v>
      </c>
    </row>
    <row r="17" spans="2:13" s="35" customFormat="1" ht="12.75" customHeight="1">
      <c r="B17" s="23">
        <f t="shared" si="0"/>
        <v>8</v>
      </c>
      <c r="C17" s="40" t="s">
        <v>302</v>
      </c>
      <c r="D17" s="85"/>
      <c r="E17" s="160">
        <v>2.2315081800379317E-3</v>
      </c>
      <c r="F17" s="164">
        <v>2.2315081800379317E-3</v>
      </c>
      <c r="G17" s="160"/>
      <c r="H17" s="160">
        <v>4.6308649098730972E-3</v>
      </c>
      <c r="I17" s="160">
        <v>2.2315081800379317E-3</v>
      </c>
      <c r="J17" s="160">
        <v>2.3207685072394492E-3</v>
      </c>
      <c r="K17" s="160">
        <v>2.4135992475290274E-3</v>
      </c>
      <c r="L17" s="160">
        <v>2.5101432174301887E-3</v>
      </c>
      <c r="M17" s="160">
        <v>2.6105489461273963E-3</v>
      </c>
    </row>
    <row r="18" spans="2:13" s="35" customFormat="1" ht="15">
      <c r="B18" s="23">
        <f t="shared" si="0"/>
        <v>9</v>
      </c>
      <c r="C18" s="40" t="s">
        <v>150</v>
      </c>
      <c r="D18" s="85"/>
      <c r="E18" s="160">
        <v>0</v>
      </c>
      <c r="F18" s="164">
        <v>0</v>
      </c>
      <c r="G18" s="160"/>
      <c r="H18" s="160">
        <v>0</v>
      </c>
      <c r="I18" s="160">
        <v>0</v>
      </c>
      <c r="J18" s="160">
        <v>0</v>
      </c>
      <c r="K18" s="160">
        <v>0</v>
      </c>
      <c r="L18" s="160">
        <v>0</v>
      </c>
      <c r="M18" s="160">
        <v>0</v>
      </c>
    </row>
    <row r="19" spans="2:13" s="35" customFormat="1" ht="15">
      <c r="B19" s="23">
        <f t="shared" si="0"/>
        <v>10</v>
      </c>
      <c r="C19" s="40" t="s">
        <v>303</v>
      </c>
      <c r="D19" s="85"/>
      <c r="E19" s="160">
        <v>0</v>
      </c>
      <c r="F19" s="164">
        <v>0</v>
      </c>
      <c r="G19" s="160"/>
      <c r="H19" s="160">
        <v>0</v>
      </c>
      <c r="I19" s="160">
        <v>0</v>
      </c>
      <c r="J19" s="160">
        <v>0</v>
      </c>
      <c r="K19" s="160">
        <v>0</v>
      </c>
      <c r="L19" s="160">
        <v>0</v>
      </c>
      <c r="M19" s="160">
        <v>0</v>
      </c>
    </row>
    <row r="20" spans="2:13">
      <c r="B20" s="23">
        <f t="shared" si="0"/>
        <v>11</v>
      </c>
      <c r="C20" s="84" t="s">
        <v>154</v>
      </c>
      <c r="D20" s="85"/>
      <c r="E20" s="160">
        <v>3.2113206698225219E-2</v>
      </c>
      <c r="F20" s="164">
        <v>3.2113206698225219E-2</v>
      </c>
      <c r="G20" s="160"/>
      <c r="H20" s="160">
        <v>7.9481624597165894E-3</v>
      </c>
      <c r="I20" s="160">
        <v>3.2113206698225219E-2</v>
      </c>
      <c r="J20" s="160">
        <v>3.3397734966154231E-2</v>
      </c>
      <c r="K20" s="160">
        <v>3.4733644364800399E-2</v>
      </c>
      <c r="L20" s="160">
        <v>3.6122990139392415E-2</v>
      </c>
      <c r="M20" s="160">
        <v>3.7567909744968112E-2</v>
      </c>
    </row>
    <row r="21" spans="2:13">
      <c r="B21" s="23">
        <f t="shared" si="0"/>
        <v>12</v>
      </c>
      <c r="C21" s="84" t="s">
        <v>9</v>
      </c>
      <c r="D21" s="85">
        <v>0.35</v>
      </c>
      <c r="E21" s="160">
        <v>2.4127136594982033</v>
      </c>
      <c r="F21" s="164">
        <v>2.4127136594982033</v>
      </c>
      <c r="G21" s="160">
        <v>0.35</v>
      </c>
      <c r="H21" s="160">
        <v>0.74016984961923116</v>
      </c>
      <c r="I21" s="160">
        <v>1.0155539689334649</v>
      </c>
      <c r="J21" s="160">
        <v>1.0561761276908035</v>
      </c>
      <c r="K21" s="160">
        <v>1.0984231727984357</v>
      </c>
      <c r="L21" s="160">
        <v>1.1423600997103731</v>
      </c>
      <c r="M21" s="160">
        <v>1.1880545036987882</v>
      </c>
    </row>
    <row r="22" spans="2:13" ht="15">
      <c r="B22" s="23"/>
      <c r="C22" s="33" t="s">
        <v>127</v>
      </c>
      <c r="D22" s="133">
        <f>SUM(D10:D21)</f>
        <v>0.35</v>
      </c>
      <c r="E22" s="133">
        <f t="shared" ref="E22:M22" si="1">SUM(E10:E21)</f>
        <v>4.2075203437708666</v>
      </c>
      <c r="F22" s="133">
        <f t="shared" si="1"/>
        <v>4.2075203437708666</v>
      </c>
      <c r="G22" s="133">
        <f t="shared" si="1"/>
        <v>0.35</v>
      </c>
      <c r="H22" s="133">
        <f t="shared" si="1"/>
        <v>1.169671266055911</v>
      </c>
      <c r="I22" s="133">
        <f t="shared" si="1"/>
        <v>2.8103606532061276</v>
      </c>
      <c r="J22" s="133">
        <f t="shared" si="1"/>
        <v>2.922775079334373</v>
      </c>
      <c r="K22" s="133">
        <f t="shared" si="1"/>
        <v>3.0396860825077479</v>
      </c>
      <c r="L22" s="133">
        <f t="shared" si="1"/>
        <v>3.161273525808058</v>
      </c>
      <c r="M22" s="133">
        <f t="shared" si="1"/>
        <v>3.2877244668403809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31"/>
  <sheetViews>
    <sheetView showGridLines="0" zoomScale="80" zoomScaleNormal="80" zoomScaleSheetLayoutView="70" workbookViewId="0">
      <selection activeCell="B4" sqref="B4:J4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2:10" ht="14.25" customHeight="1">
      <c r="B2" s="271" t="s">
        <v>401</v>
      </c>
      <c r="C2" s="271"/>
      <c r="D2" s="271"/>
      <c r="E2" s="271"/>
      <c r="F2" s="271"/>
      <c r="G2" s="271"/>
      <c r="H2" s="271"/>
      <c r="I2" s="271"/>
      <c r="J2" s="271"/>
    </row>
    <row r="3" spans="2:10" ht="14.25" customHeight="1">
      <c r="B3" s="271" t="s">
        <v>377</v>
      </c>
      <c r="C3" s="271"/>
      <c r="D3" s="271"/>
      <c r="E3" s="271"/>
      <c r="F3" s="271"/>
      <c r="G3" s="271"/>
      <c r="H3" s="271"/>
      <c r="I3" s="271"/>
      <c r="J3" s="271"/>
    </row>
    <row r="4" spans="2:10" ht="14.25" customHeight="1">
      <c r="B4" s="272" t="s">
        <v>305</v>
      </c>
      <c r="C4" s="272"/>
      <c r="D4" s="272"/>
      <c r="E4" s="272"/>
      <c r="F4" s="272"/>
      <c r="G4" s="272"/>
      <c r="H4" s="272"/>
      <c r="I4" s="272"/>
      <c r="J4" s="272"/>
    </row>
    <row r="5" spans="2:10" ht="15">
      <c r="B5" s="26"/>
      <c r="C5" s="88"/>
      <c r="D5" s="89"/>
    </row>
    <row r="6" spans="2:10" ht="15" customHeight="1">
      <c r="B6" s="274" t="s">
        <v>2</v>
      </c>
      <c r="C6" s="275" t="s">
        <v>18</v>
      </c>
      <c r="D6" s="26" t="s">
        <v>383</v>
      </c>
      <c r="E6" s="248" t="s">
        <v>384</v>
      </c>
      <c r="F6" s="275" t="s">
        <v>225</v>
      </c>
      <c r="G6" s="275"/>
      <c r="H6" s="275"/>
      <c r="I6" s="275"/>
      <c r="J6" s="275"/>
    </row>
    <row r="7" spans="2:10" ht="15">
      <c r="B7" s="274"/>
      <c r="C7" s="275"/>
      <c r="D7" s="21" t="s">
        <v>304</v>
      </c>
      <c r="E7" s="21" t="s">
        <v>242</v>
      </c>
      <c r="F7" s="21" t="s">
        <v>378</v>
      </c>
      <c r="G7" s="21" t="s">
        <v>379</v>
      </c>
      <c r="H7" s="21" t="s">
        <v>380</v>
      </c>
      <c r="I7" s="21" t="s">
        <v>381</v>
      </c>
      <c r="J7" s="21" t="s">
        <v>382</v>
      </c>
    </row>
    <row r="8" spans="2:10" ht="24.75" customHeight="1">
      <c r="B8" s="304"/>
      <c r="C8" s="305"/>
      <c r="D8" s="21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90">
        <v>1</v>
      </c>
      <c r="C9" s="91" t="s">
        <v>155</v>
      </c>
      <c r="D9" s="87"/>
      <c r="E9" s="87"/>
      <c r="F9" s="29"/>
      <c r="G9" s="29"/>
      <c r="H9" s="29"/>
      <c r="I9" s="29"/>
      <c r="J9" s="29"/>
    </row>
    <row r="10" spans="2:10" s="35" customFormat="1" ht="15">
      <c r="B10" s="92" t="s">
        <v>45</v>
      </c>
      <c r="C10" s="41" t="s">
        <v>46</v>
      </c>
      <c r="D10" s="93"/>
      <c r="E10" s="41"/>
      <c r="F10" s="41"/>
      <c r="G10" s="41"/>
      <c r="H10" s="41"/>
      <c r="I10" s="41"/>
      <c r="J10" s="41"/>
    </row>
    <row r="11" spans="2:10" s="35" customFormat="1" ht="15">
      <c r="B11" s="94"/>
      <c r="C11" s="31" t="s">
        <v>47</v>
      </c>
      <c r="D11" s="93"/>
      <c r="E11" s="41"/>
      <c r="F11" s="41"/>
      <c r="G11" s="41"/>
      <c r="H11" s="41"/>
      <c r="I11" s="41"/>
      <c r="J11" s="41"/>
    </row>
    <row r="12" spans="2:10" s="35" customFormat="1" ht="15">
      <c r="B12" s="94"/>
      <c r="C12" s="31" t="s">
        <v>48</v>
      </c>
      <c r="D12" s="93"/>
      <c r="E12" s="41"/>
      <c r="F12" s="41"/>
      <c r="G12" s="41"/>
      <c r="H12" s="41"/>
      <c r="I12" s="41"/>
      <c r="J12" s="41"/>
    </row>
    <row r="13" spans="2:10" s="35" customFormat="1" ht="15">
      <c r="B13" s="94"/>
      <c r="C13" s="31" t="s">
        <v>49</v>
      </c>
      <c r="D13" s="93"/>
      <c r="E13" s="41"/>
      <c r="F13" s="41"/>
      <c r="G13" s="41"/>
      <c r="H13" s="41"/>
      <c r="I13" s="41"/>
      <c r="J13" s="41"/>
    </row>
    <row r="14" spans="2:10" s="35" customFormat="1" ht="15">
      <c r="B14" s="94"/>
      <c r="C14" s="95"/>
      <c r="D14" s="93"/>
      <c r="E14" s="41"/>
      <c r="F14" s="41"/>
      <c r="G14" s="41"/>
      <c r="H14" s="41"/>
      <c r="I14" s="41"/>
      <c r="J14" s="41"/>
    </row>
    <row r="15" spans="2:10" s="35" customFormat="1" ht="15">
      <c r="B15" s="92" t="s">
        <v>50</v>
      </c>
      <c r="C15" s="96" t="s">
        <v>51</v>
      </c>
      <c r="D15" s="93"/>
      <c r="E15" s="41"/>
      <c r="F15" s="41"/>
      <c r="G15" s="41"/>
      <c r="H15" s="41"/>
      <c r="I15" s="41"/>
      <c r="J15" s="41"/>
    </row>
    <row r="16" spans="2:10" s="35" customFormat="1" ht="15">
      <c r="B16" s="94"/>
      <c r="C16" s="31" t="s">
        <v>47</v>
      </c>
      <c r="D16" s="93"/>
      <c r="E16" s="41"/>
      <c r="F16" s="41"/>
      <c r="G16" s="41"/>
      <c r="H16" s="41"/>
      <c r="I16" s="41"/>
      <c r="J16" s="41"/>
    </row>
    <row r="17" spans="2:10">
      <c r="B17" s="94"/>
      <c r="C17" s="31" t="s">
        <v>48</v>
      </c>
      <c r="D17" s="93"/>
      <c r="E17" s="29"/>
      <c r="F17" s="29"/>
      <c r="G17" s="29"/>
      <c r="H17" s="29"/>
      <c r="I17" s="29"/>
      <c r="J17" s="29"/>
    </row>
    <row r="18" spans="2:10">
      <c r="B18" s="97"/>
      <c r="C18" s="31" t="s">
        <v>52</v>
      </c>
      <c r="D18" s="93"/>
      <c r="E18" s="29"/>
      <c r="F18" s="29"/>
      <c r="G18" s="29"/>
      <c r="H18" s="29"/>
      <c r="I18" s="29"/>
      <c r="J18" s="29"/>
    </row>
    <row r="19" spans="2:10" ht="15">
      <c r="B19" s="97"/>
      <c r="C19" s="96"/>
      <c r="D19" s="93"/>
      <c r="E19" s="29"/>
      <c r="F19" s="29"/>
      <c r="G19" s="29"/>
      <c r="H19" s="29"/>
      <c r="I19" s="29"/>
      <c r="J19" s="29"/>
    </row>
    <row r="20" spans="2:10" ht="17.25" customHeight="1">
      <c r="B20" s="92">
        <v>2</v>
      </c>
      <c r="C20" s="91" t="s">
        <v>156</v>
      </c>
      <c r="D20" s="93"/>
      <c r="E20" s="29"/>
      <c r="F20" s="29"/>
      <c r="G20" s="29"/>
      <c r="H20" s="29"/>
      <c r="I20" s="29"/>
      <c r="J20" s="29"/>
    </row>
    <row r="21" spans="2:10" ht="17.25" customHeight="1">
      <c r="B21" s="92"/>
      <c r="C21" s="91" t="s">
        <v>53</v>
      </c>
      <c r="D21" s="93"/>
      <c r="E21" s="29"/>
      <c r="F21" s="29"/>
      <c r="G21" s="29"/>
      <c r="H21" s="29"/>
      <c r="I21" s="29"/>
      <c r="J21" s="29"/>
    </row>
    <row r="22" spans="2:10" ht="17.25" customHeight="1">
      <c r="B22" s="92"/>
      <c r="C22" s="91" t="s">
        <v>53</v>
      </c>
      <c r="D22" s="93"/>
      <c r="E22" s="29"/>
      <c r="F22" s="29"/>
      <c r="G22" s="29"/>
      <c r="H22" s="29"/>
      <c r="I22" s="29"/>
      <c r="J22" s="29"/>
    </row>
    <row r="23" spans="2:10" ht="15">
      <c r="B23" s="94"/>
      <c r="C23" s="96" t="s">
        <v>54</v>
      </c>
      <c r="D23" s="93"/>
      <c r="E23" s="29"/>
      <c r="F23" s="29"/>
      <c r="G23" s="29"/>
      <c r="H23" s="29"/>
      <c r="I23" s="29"/>
      <c r="J23" s="29"/>
    </row>
    <row r="25" spans="2:10" ht="15">
      <c r="B25" s="98" t="s">
        <v>43</v>
      </c>
      <c r="C25" s="99"/>
      <c r="D25" s="99"/>
      <c r="E25" s="99"/>
    </row>
    <row r="26" spans="2:10">
      <c r="B26" s="5" t="s">
        <v>202</v>
      </c>
      <c r="D26" s="100"/>
      <c r="E26" s="99"/>
    </row>
    <row r="27" spans="2:10" ht="18" customHeight="1">
      <c r="B27" s="99"/>
      <c r="E27" s="99"/>
    </row>
    <row r="28" spans="2:10">
      <c r="B28" s="99"/>
      <c r="C28" s="99"/>
      <c r="D28" s="99"/>
      <c r="E28" s="99"/>
    </row>
    <row r="29" spans="2:10">
      <c r="B29" s="99"/>
      <c r="C29" s="99"/>
      <c r="D29" s="99"/>
      <c r="E29" s="99"/>
    </row>
    <row r="30" spans="2:10">
      <c r="B30" s="99"/>
      <c r="C30" s="99"/>
      <c r="D30" s="99"/>
      <c r="E30" s="99"/>
    </row>
    <row r="31" spans="2:10">
      <c r="B31" s="99"/>
      <c r="C31" s="99"/>
      <c r="D31" s="99"/>
      <c r="E31" s="99"/>
    </row>
  </sheetData>
  <mergeCells count="6">
    <mergeCell ref="B6:B8"/>
    <mergeCell ref="C6:C8"/>
    <mergeCell ref="F6:J6"/>
    <mergeCell ref="B2:J2"/>
    <mergeCell ref="B3:J3"/>
    <mergeCell ref="B4:J4"/>
  </mergeCells>
  <pageMargins left="0.75" right="0.75" top="1" bottom="1" header="0.5" footer="0.5"/>
  <pageSetup paperSize="9" scale="8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showGridLines="0" zoomScale="80" zoomScaleNormal="80" workbookViewId="0">
      <selection activeCell="B4" sqref="B4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178" customWidth="1"/>
    <col min="16" max="16" width="9.28515625" style="178"/>
    <col min="17" max="16384" width="9.28515625" style="5"/>
  </cols>
  <sheetData>
    <row r="1" spans="1:17" ht="15">
      <c r="B1" s="108"/>
    </row>
    <row r="2" spans="1:17" ht="14.25" customHeight="1">
      <c r="B2" s="271" t="s">
        <v>401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</row>
    <row r="3" spans="1:17" ht="14.25" customHeight="1">
      <c r="B3" s="271" t="s">
        <v>377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</row>
    <row r="4" spans="1:17" ht="15">
      <c r="B4" s="309" t="s">
        <v>311</v>
      </c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</row>
    <row r="5" spans="1:17" ht="15">
      <c r="B5" s="26" t="s">
        <v>230</v>
      </c>
      <c r="C5" s="181" t="s">
        <v>367</v>
      </c>
      <c r="D5" s="179"/>
      <c r="E5" s="179"/>
      <c r="F5" s="179"/>
      <c r="G5" s="179"/>
      <c r="H5" s="179"/>
      <c r="I5" s="180"/>
    </row>
    <row r="6" spans="1:17" ht="15">
      <c r="B6" s="26" t="s">
        <v>12</v>
      </c>
      <c r="C6" s="182"/>
      <c r="D6" s="182"/>
      <c r="O6" s="182" t="s">
        <v>128</v>
      </c>
    </row>
    <row r="7" spans="1:17" s="35" customFormat="1" ht="15" customHeight="1">
      <c r="B7" s="33" t="s">
        <v>312</v>
      </c>
      <c r="C7" s="162" t="s">
        <v>129</v>
      </c>
      <c r="D7" s="162" t="s">
        <v>130</v>
      </c>
      <c r="E7" s="162" t="s">
        <v>131</v>
      </c>
      <c r="F7" s="162" t="s">
        <v>132</v>
      </c>
      <c r="G7" s="162" t="s">
        <v>133</v>
      </c>
      <c r="H7" s="162" t="s">
        <v>134</v>
      </c>
      <c r="I7" s="162" t="s">
        <v>135</v>
      </c>
      <c r="J7" s="162" t="s">
        <v>136</v>
      </c>
      <c r="K7" s="162" t="s">
        <v>137</v>
      </c>
      <c r="L7" s="162" t="s">
        <v>138</v>
      </c>
      <c r="M7" s="162" t="s">
        <v>139</v>
      </c>
      <c r="N7" s="162" t="s">
        <v>140</v>
      </c>
      <c r="O7" s="162" t="s">
        <v>127</v>
      </c>
      <c r="P7" s="183"/>
    </row>
    <row r="8" spans="1:17" s="35" customFormat="1" ht="15">
      <c r="B8" s="86" t="s">
        <v>374</v>
      </c>
      <c r="C8" s="163">
        <v>-0.24450584050000002</v>
      </c>
      <c r="D8" s="163">
        <v>-0.51575224749999993</v>
      </c>
      <c r="E8" s="163">
        <v>-0.48886775900000007</v>
      </c>
      <c r="F8" s="163">
        <v>175.50023502900001</v>
      </c>
      <c r="G8" s="163">
        <v>368.38335369700002</v>
      </c>
      <c r="H8" s="163">
        <v>341.68885916900001</v>
      </c>
      <c r="I8" s="163">
        <v>357.66100454849999</v>
      </c>
      <c r="J8" s="163">
        <v>128.62478248349998</v>
      </c>
      <c r="K8" s="163">
        <v>67.685219891000003</v>
      </c>
      <c r="L8" s="163">
        <v>31.017115604000001</v>
      </c>
      <c r="M8" s="163">
        <v>25.465991856999999</v>
      </c>
      <c r="N8" s="163">
        <v>18.848246647</v>
      </c>
      <c r="O8" s="163">
        <f>SUM(C8:N8)</f>
        <v>1513.6256830790003</v>
      </c>
      <c r="P8" s="183"/>
    </row>
    <row r="9" spans="1:17" s="35" customFormat="1" ht="15">
      <c r="B9" s="86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83"/>
    </row>
    <row r="10" spans="1:17" s="35" customFormat="1" ht="15">
      <c r="B10" s="86" t="s">
        <v>375</v>
      </c>
      <c r="C10" s="163">
        <v>-0.1020651595</v>
      </c>
      <c r="D10" s="163">
        <v>-0.21529275249999996</v>
      </c>
      <c r="E10" s="163">
        <v>-0.20407024100000001</v>
      </c>
      <c r="F10" s="163">
        <v>73.259842970999998</v>
      </c>
      <c r="G10" s="163">
        <v>153.77590030300001</v>
      </c>
      <c r="H10" s="163">
        <v>142.632698831</v>
      </c>
      <c r="I10" s="163">
        <v>149.30002245149998</v>
      </c>
      <c r="J10" s="163">
        <v>53.692414516499994</v>
      </c>
      <c r="K10" s="163">
        <v>28.254142109</v>
      </c>
      <c r="L10" s="163">
        <v>12.947612396</v>
      </c>
      <c r="M10" s="163">
        <v>10.630382142999999</v>
      </c>
      <c r="N10" s="163">
        <v>7.8679073529999997</v>
      </c>
      <c r="O10" s="163">
        <f>SUM(C10:N10)</f>
        <v>631.83949492099987</v>
      </c>
      <c r="P10" s="183"/>
    </row>
    <row r="11" spans="1:17" s="35" customFormat="1" ht="15">
      <c r="B11" s="40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83"/>
    </row>
    <row r="12" spans="1:17" ht="15">
      <c r="B12" s="41" t="s">
        <v>127</v>
      </c>
      <c r="C12" s="131">
        <f>C8+C10</f>
        <v>-0.34657100000000002</v>
      </c>
      <c r="D12" s="131">
        <f t="shared" ref="D12:O12" si="0">D8+D10</f>
        <v>-0.73104499999999994</v>
      </c>
      <c r="E12" s="131">
        <f t="shared" si="0"/>
        <v>-0.69293800000000005</v>
      </c>
      <c r="F12" s="131">
        <f t="shared" si="0"/>
        <v>248.76007800000002</v>
      </c>
      <c r="G12" s="131">
        <f t="shared" si="0"/>
        <v>522.15925400000003</v>
      </c>
      <c r="H12" s="131">
        <f t="shared" si="0"/>
        <v>484.32155799999998</v>
      </c>
      <c r="I12" s="131">
        <f t="shared" si="0"/>
        <v>506.96102699999994</v>
      </c>
      <c r="J12" s="131">
        <f t="shared" si="0"/>
        <v>182.31719699999996</v>
      </c>
      <c r="K12" s="131">
        <f t="shared" si="0"/>
        <v>95.939362000000003</v>
      </c>
      <c r="L12" s="131">
        <f t="shared" si="0"/>
        <v>43.964728000000001</v>
      </c>
      <c r="M12" s="131">
        <f t="shared" si="0"/>
        <v>36.096373999999997</v>
      </c>
      <c r="N12" s="131">
        <f t="shared" si="0"/>
        <v>26.716154</v>
      </c>
      <c r="O12" s="131">
        <f t="shared" si="0"/>
        <v>2145.4651780000004</v>
      </c>
    </row>
    <row r="13" spans="1:17" ht="16.5">
      <c r="B13" s="26"/>
      <c r="C13" s="179"/>
      <c r="D13" s="179"/>
      <c r="E13" s="179"/>
      <c r="F13" s="179"/>
      <c r="G13" s="179"/>
      <c r="H13" s="179"/>
      <c r="I13" s="184"/>
    </row>
    <row r="14" spans="1:17" ht="16.5">
      <c r="B14" s="26" t="s">
        <v>229</v>
      </c>
      <c r="C14" s="181" t="s">
        <v>368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/>
      <c r="P14" s="184"/>
    </row>
    <row r="15" spans="1:17" ht="16.5">
      <c r="A15" s="5" t="s">
        <v>310</v>
      </c>
      <c r="B15" s="26" t="s">
        <v>5</v>
      </c>
      <c r="C15" s="182"/>
      <c r="D15" s="182"/>
      <c r="O15" s="182" t="s">
        <v>128</v>
      </c>
      <c r="P15" s="184"/>
    </row>
    <row r="16" spans="1:17" ht="18.75" customHeight="1">
      <c r="B16" s="279" t="s">
        <v>312</v>
      </c>
      <c r="C16" s="306" t="s">
        <v>141</v>
      </c>
      <c r="D16" s="307"/>
      <c r="E16" s="307"/>
      <c r="F16" s="307"/>
      <c r="G16" s="307"/>
      <c r="H16" s="308"/>
      <c r="I16" s="306" t="s">
        <v>5</v>
      </c>
      <c r="J16" s="307"/>
      <c r="K16" s="307"/>
      <c r="L16" s="307"/>
      <c r="M16" s="307"/>
      <c r="N16" s="308"/>
      <c r="O16" s="162" t="s">
        <v>142</v>
      </c>
      <c r="P16" s="184"/>
      <c r="Q16" s="102"/>
    </row>
    <row r="17" spans="2:16" ht="15">
      <c r="B17" s="281"/>
      <c r="C17" s="162" t="s">
        <v>129</v>
      </c>
      <c r="D17" s="162" t="s">
        <v>130</v>
      </c>
      <c r="E17" s="162" t="s">
        <v>131</v>
      </c>
      <c r="F17" s="162" t="s">
        <v>132</v>
      </c>
      <c r="G17" s="162" t="s">
        <v>133</v>
      </c>
      <c r="H17" s="162" t="s">
        <v>134</v>
      </c>
      <c r="I17" s="162" t="s">
        <v>135</v>
      </c>
      <c r="J17" s="162" t="s">
        <v>136</v>
      </c>
      <c r="K17" s="162" t="s">
        <v>137</v>
      </c>
      <c r="L17" s="162" t="s">
        <v>138</v>
      </c>
      <c r="M17" s="162" t="s">
        <v>139</v>
      </c>
      <c r="N17" s="162" t="s">
        <v>140</v>
      </c>
      <c r="O17" s="127"/>
    </row>
    <row r="18" spans="2:16" s="35" customFormat="1" ht="15">
      <c r="B18" s="86" t="s">
        <v>374</v>
      </c>
      <c r="C18" s="163">
        <v>-0.1231824165</v>
      </c>
      <c r="D18" s="163">
        <v>-0.445970537</v>
      </c>
      <c r="E18" s="163">
        <v>-0.4564789595</v>
      </c>
      <c r="F18" s="185">
        <v>-0.34597367250000005</v>
      </c>
      <c r="G18" s="163">
        <v>98.451028634500005</v>
      </c>
      <c r="H18" s="163">
        <v>22.173316826500002</v>
      </c>
      <c r="I18" s="163">
        <f>77.6*0.7055</f>
        <v>54.7468</v>
      </c>
      <c r="J18" s="163">
        <f>17.226847*0.7055</f>
        <v>12.1535405585</v>
      </c>
      <c r="K18" s="163">
        <f>29.43*0.7055</f>
        <v>20.762865000000001</v>
      </c>
      <c r="L18" s="163">
        <f>9.587958*0.7055</f>
        <v>6.7643043690000004</v>
      </c>
      <c r="M18" s="163">
        <f>0.375163*0.7055</f>
        <v>0.2646774965</v>
      </c>
      <c r="N18" s="163">
        <f>-0.645079*0.7055</f>
        <v>-0.45510323449999995</v>
      </c>
      <c r="O18" s="185">
        <f>SUM(C18:N18)</f>
        <v>213.48982406500002</v>
      </c>
      <c r="P18" s="183"/>
    </row>
    <row r="19" spans="2:16" s="35" customFormat="1" ht="15">
      <c r="B19" s="86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83"/>
    </row>
    <row r="20" spans="2:16" s="35" customFormat="1" ht="15">
      <c r="B20" s="86" t="s">
        <v>375</v>
      </c>
      <c r="C20" s="163">
        <v>-5.1420583499999999E-2</v>
      </c>
      <c r="D20" s="163">
        <v>-0.18616346299999997</v>
      </c>
      <c r="E20" s="163">
        <v>-0.19055004049999999</v>
      </c>
      <c r="F20" s="163">
        <v>-0.1444213275</v>
      </c>
      <c r="G20" s="163">
        <v>41.096850365499996</v>
      </c>
      <c r="H20" s="163">
        <v>9.2559061734999997</v>
      </c>
      <c r="I20" s="163">
        <f>77.6*0.2945</f>
        <v>22.853199999999998</v>
      </c>
      <c r="J20" s="163">
        <f>17.226847*0.2945</f>
        <v>5.0733064414999998</v>
      </c>
      <c r="K20" s="163">
        <f>29.43*0.2945</f>
        <v>8.667135</v>
      </c>
      <c r="L20" s="163">
        <f>9.587958*0.2945</f>
        <v>2.823653631</v>
      </c>
      <c r="M20" s="163">
        <f>0.375163*0.2945</f>
        <v>0.1104855035</v>
      </c>
      <c r="N20" s="163">
        <f>-0.645079*0.2945</f>
        <v>-0.18997576549999998</v>
      </c>
      <c r="O20" s="163">
        <f>SUM(C20:N20)</f>
        <v>89.118005934999999</v>
      </c>
      <c r="P20" s="183"/>
    </row>
    <row r="21" spans="2:16" s="35" customFormat="1" ht="15">
      <c r="B21" s="40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83"/>
    </row>
    <row r="22" spans="2:16" ht="15">
      <c r="B22" s="41" t="s">
        <v>127</v>
      </c>
      <c r="C22" s="131">
        <f>C18+C20</f>
        <v>-0.17460300000000001</v>
      </c>
      <c r="D22" s="131">
        <f t="shared" ref="D22:N22" si="1">D18+D20</f>
        <v>-0.63213399999999997</v>
      </c>
      <c r="E22" s="131">
        <f t="shared" si="1"/>
        <v>-0.64702899999999997</v>
      </c>
      <c r="F22" s="131">
        <f t="shared" si="1"/>
        <v>-0.49039500000000003</v>
      </c>
      <c r="G22" s="131">
        <f t="shared" si="1"/>
        <v>139.54787899999999</v>
      </c>
      <c r="H22" s="131">
        <f t="shared" si="1"/>
        <v>31.429223</v>
      </c>
      <c r="I22" s="131">
        <f t="shared" si="1"/>
        <v>77.599999999999994</v>
      </c>
      <c r="J22" s="131">
        <f t="shared" si="1"/>
        <v>17.226846999999999</v>
      </c>
      <c r="K22" s="131">
        <f t="shared" si="1"/>
        <v>29.43</v>
      </c>
      <c r="L22" s="131">
        <f t="shared" si="1"/>
        <v>9.5879580000000004</v>
      </c>
      <c r="M22" s="131">
        <f t="shared" si="1"/>
        <v>0.37516300000000002</v>
      </c>
      <c r="N22" s="131">
        <f t="shared" si="1"/>
        <v>-0.64507899999999996</v>
      </c>
      <c r="O22" s="131">
        <f>O18+O20</f>
        <v>302.60783000000004</v>
      </c>
    </row>
    <row r="24" spans="2:16" ht="15">
      <c r="B24" s="26" t="s">
        <v>316</v>
      </c>
      <c r="C24" s="181" t="s">
        <v>369</v>
      </c>
      <c r="D24" s="179"/>
      <c r="E24" s="179"/>
      <c r="F24" s="179"/>
      <c r="G24" s="179"/>
      <c r="H24" s="179"/>
      <c r="I24" s="180"/>
    </row>
    <row r="25" spans="2:16" ht="15">
      <c r="B25" s="26" t="s">
        <v>8</v>
      </c>
      <c r="C25" s="182"/>
      <c r="D25" s="182"/>
      <c r="O25" s="182" t="s">
        <v>128</v>
      </c>
    </row>
    <row r="26" spans="2:16" ht="15">
      <c r="B26" s="33" t="s">
        <v>312</v>
      </c>
      <c r="C26" s="162" t="s">
        <v>129</v>
      </c>
      <c r="D26" s="162" t="s">
        <v>130</v>
      </c>
      <c r="E26" s="162" t="s">
        <v>131</v>
      </c>
      <c r="F26" s="162" t="s">
        <v>132</v>
      </c>
      <c r="G26" s="162" t="s">
        <v>133</v>
      </c>
      <c r="H26" s="162" t="s">
        <v>134</v>
      </c>
      <c r="I26" s="162" t="s">
        <v>135</v>
      </c>
      <c r="J26" s="162" t="s">
        <v>136</v>
      </c>
      <c r="K26" s="162" t="s">
        <v>137</v>
      </c>
      <c r="L26" s="162" t="s">
        <v>138</v>
      </c>
      <c r="M26" s="162" t="s">
        <v>139</v>
      </c>
      <c r="N26" s="162" t="s">
        <v>140</v>
      </c>
      <c r="O26" s="162" t="s">
        <v>127</v>
      </c>
    </row>
    <row r="27" spans="2:16" ht="15">
      <c r="B27" s="86" t="s">
        <v>374</v>
      </c>
      <c r="C27" s="163">
        <v>11.393825</v>
      </c>
      <c r="D27" s="163">
        <v>-0.585565</v>
      </c>
      <c r="E27" s="163">
        <v>3.65449</v>
      </c>
      <c r="F27" s="163">
        <v>41.737380000000002</v>
      </c>
      <c r="G27" s="163">
        <v>199.04271500000002</v>
      </c>
      <c r="H27" s="163">
        <v>176.47377</v>
      </c>
      <c r="I27" s="163">
        <v>158.83626999999998</v>
      </c>
      <c r="J27" s="163">
        <v>58.662325000000003</v>
      </c>
      <c r="K27" s="163">
        <v>35.401989999999998</v>
      </c>
      <c r="L27" s="163">
        <v>33.292544999999997</v>
      </c>
      <c r="M27" s="163">
        <v>37.51849</v>
      </c>
      <c r="N27" s="163">
        <v>37.511434999999999</v>
      </c>
      <c r="O27" s="163">
        <f>SUM(C27:N27)</f>
        <v>792.93967000000009</v>
      </c>
    </row>
    <row r="28" spans="2:16" ht="15">
      <c r="B28" s="86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</row>
    <row r="29" spans="2:16" ht="15">
      <c r="B29" s="86" t="s">
        <v>375</v>
      </c>
      <c r="C29" s="163">
        <v>4.7561749999999989</v>
      </c>
      <c r="D29" s="163">
        <v>-0.24443499999999999</v>
      </c>
      <c r="E29" s="163">
        <v>1.5255099999999999</v>
      </c>
      <c r="F29" s="163">
        <v>17.422619999999998</v>
      </c>
      <c r="G29" s="163">
        <v>83.087284999999994</v>
      </c>
      <c r="H29" s="163">
        <v>73.666229999999999</v>
      </c>
      <c r="I29" s="163">
        <v>66.303729999999987</v>
      </c>
      <c r="J29" s="163">
        <v>24.487674999999999</v>
      </c>
      <c r="K29" s="163">
        <v>14.778009999999998</v>
      </c>
      <c r="L29" s="163">
        <v>13.897454999999999</v>
      </c>
      <c r="M29" s="163">
        <v>15.66151</v>
      </c>
      <c r="N29" s="163">
        <v>15.658564999999999</v>
      </c>
      <c r="O29" s="163">
        <f>SUM(C29:N29)</f>
        <v>331.00033000000002</v>
      </c>
    </row>
    <row r="30" spans="2:16" ht="15">
      <c r="B30" s="40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</row>
    <row r="31" spans="2:16" ht="15">
      <c r="B31" s="41" t="s">
        <v>127</v>
      </c>
      <c r="C31" s="131">
        <f>C27+C29</f>
        <v>16.149999999999999</v>
      </c>
      <c r="D31" s="131">
        <f t="shared" ref="D31:O31" si="2">D27+D29</f>
        <v>-0.83</v>
      </c>
      <c r="E31" s="131">
        <f t="shared" si="2"/>
        <v>5.18</v>
      </c>
      <c r="F31" s="131">
        <f t="shared" si="2"/>
        <v>59.16</v>
      </c>
      <c r="G31" s="131">
        <f t="shared" si="2"/>
        <v>282.13</v>
      </c>
      <c r="H31" s="131">
        <f t="shared" si="2"/>
        <v>250.14</v>
      </c>
      <c r="I31" s="131">
        <f t="shared" si="2"/>
        <v>225.14</v>
      </c>
      <c r="J31" s="131">
        <f t="shared" si="2"/>
        <v>83.15</v>
      </c>
      <c r="K31" s="131">
        <f t="shared" si="2"/>
        <v>50.179999999999993</v>
      </c>
      <c r="L31" s="131">
        <f t="shared" si="2"/>
        <v>47.19</v>
      </c>
      <c r="M31" s="131">
        <f t="shared" si="2"/>
        <v>53.18</v>
      </c>
      <c r="N31" s="131">
        <f t="shared" si="2"/>
        <v>53.17</v>
      </c>
      <c r="O31" s="131">
        <f t="shared" si="2"/>
        <v>1123.94</v>
      </c>
    </row>
    <row r="34" spans="2:15" ht="15">
      <c r="B34" s="26" t="s">
        <v>317</v>
      </c>
      <c r="C34" s="181" t="s">
        <v>370</v>
      </c>
      <c r="D34" s="179"/>
      <c r="E34" s="179"/>
      <c r="F34" s="179"/>
      <c r="G34" s="179"/>
      <c r="H34" s="179"/>
      <c r="I34" s="180"/>
    </row>
    <row r="35" spans="2:15" ht="15">
      <c r="B35" s="26" t="s">
        <v>8</v>
      </c>
      <c r="C35" s="182"/>
      <c r="D35" s="182"/>
      <c r="O35" s="182" t="s">
        <v>128</v>
      </c>
    </row>
    <row r="36" spans="2:15" ht="15">
      <c r="B36" s="33" t="s">
        <v>312</v>
      </c>
      <c r="C36" s="162" t="s">
        <v>129</v>
      </c>
      <c r="D36" s="162" t="s">
        <v>130</v>
      </c>
      <c r="E36" s="162" t="s">
        <v>131</v>
      </c>
      <c r="F36" s="162" t="s">
        <v>132</v>
      </c>
      <c r="G36" s="162" t="s">
        <v>133</v>
      </c>
      <c r="H36" s="162" t="s">
        <v>134</v>
      </c>
      <c r="I36" s="162" t="s">
        <v>135</v>
      </c>
      <c r="J36" s="162" t="s">
        <v>136</v>
      </c>
      <c r="K36" s="162" t="s">
        <v>137</v>
      </c>
      <c r="L36" s="162" t="s">
        <v>138</v>
      </c>
      <c r="M36" s="162" t="s">
        <v>139</v>
      </c>
      <c r="N36" s="162" t="s">
        <v>140</v>
      </c>
      <c r="O36" s="162" t="s">
        <v>127</v>
      </c>
    </row>
    <row r="37" spans="2:15" ht="15">
      <c r="B37" s="86" t="s">
        <v>374</v>
      </c>
      <c r="C37" s="163">
        <v>11.393825</v>
      </c>
      <c r="D37" s="163">
        <v>-0.585565</v>
      </c>
      <c r="E37" s="163">
        <v>3.65449</v>
      </c>
      <c r="F37" s="163">
        <v>41.737380000000002</v>
      </c>
      <c r="G37" s="163">
        <v>199.04271500000002</v>
      </c>
      <c r="H37" s="163">
        <v>176.47377</v>
      </c>
      <c r="I37" s="163">
        <v>158.83626999999998</v>
      </c>
      <c r="J37" s="163">
        <v>58.662325000000003</v>
      </c>
      <c r="K37" s="163">
        <v>35.401989999999998</v>
      </c>
      <c r="L37" s="163">
        <v>33.292544999999997</v>
      </c>
      <c r="M37" s="163">
        <v>37.51849</v>
      </c>
      <c r="N37" s="163">
        <v>37.511434999999999</v>
      </c>
      <c r="O37" s="163">
        <f>SUM(C37:N37)</f>
        <v>792.93967000000009</v>
      </c>
    </row>
    <row r="38" spans="2:15" ht="15">
      <c r="B38" s="86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</row>
    <row r="39" spans="2:15" ht="15">
      <c r="B39" s="86" t="s">
        <v>375</v>
      </c>
      <c r="C39" s="163">
        <v>4.7561749999999989</v>
      </c>
      <c r="D39" s="163">
        <v>-0.24443499999999999</v>
      </c>
      <c r="E39" s="163">
        <v>1.5255099999999999</v>
      </c>
      <c r="F39" s="163">
        <v>17.422619999999998</v>
      </c>
      <c r="G39" s="163">
        <v>83.087284999999994</v>
      </c>
      <c r="H39" s="163">
        <v>73.666229999999999</v>
      </c>
      <c r="I39" s="163">
        <v>66.303729999999987</v>
      </c>
      <c r="J39" s="163">
        <v>24.487674999999999</v>
      </c>
      <c r="K39" s="163">
        <v>14.778009999999998</v>
      </c>
      <c r="L39" s="163">
        <v>13.897454999999999</v>
      </c>
      <c r="M39" s="163">
        <v>15.66151</v>
      </c>
      <c r="N39" s="163">
        <v>15.658564999999999</v>
      </c>
      <c r="O39" s="163">
        <f>SUM(C39:N39)</f>
        <v>331.00033000000002</v>
      </c>
    </row>
    <row r="40" spans="2:15" ht="15">
      <c r="B40" s="40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</row>
    <row r="41" spans="2:15" ht="15">
      <c r="B41" s="41" t="s">
        <v>127</v>
      </c>
      <c r="C41" s="131">
        <f>C37+C39</f>
        <v>16.149999999999999</v>
      </c>
      <c r="D41" s="131">
        <f t="shared" ref="D41:N41" si="3">D37+D39</f>
        <v>-0.83</v>
      </c>
      <c r="E41" s="131">
        <f t="shared" si="3"/>
        <v>5.18</v>
      </c>
      <c r="F41" s="131">
        <f t="shared" si="3"/>
        <v>59.16</v>
      </c>
      <c r="G41" s="131">
        <f t="shared" si="3"/>
        <v>282.13</v>
      </c>
      <c r="H41" s="131">
        <f t="shared" si="3"/>
        <v>250.14</v>
      </c>
      <c r="I41" s="131">
        <f t="shared" si="3"/>
        <v>225.14</v>
      </c>
      <c r="J41" s="131">
        <f t="shared" si="3"/>
        <v>83.15</v>
      </c>
      <c r="K41" s="131">
        <f t="shared" si="3"/>
        <v>50.179999999999993</v>
      </c>
      <c r="L41" s="131">
        <f t="shared" si="3"/>
        <v>47.19</v>
      </c>
      <c r="M41" s="131">
        <f t="shared" si="3"/>
        <v>53.18</v>
      </c>
      <c r="N41" s="131">
        <f t="shared" si="3"/>
        <v>53.17</v>
      </c>
      <c r="O41" s="131">
        <f>O37+O39</f>
        <v>1123.94</v>
      </c>
    </row>
    <row r="44" spans="2:15" ht="15">
      <c r="B44" s="26" t="s">
        <v>318</v>
      </c>
      <c r="C44" s="181" t="s">
        <v>371</v>
      </c>
      <c r="D44" s="179"/>
      <c r="E44" s="179"/>
      <c r="F44" s="179"/>
      <c r="G44" s="179"/>
      <c r="H44" s="179"/>
      <c r="I44" s="180"/>
    </row>
    <row r="45" spans="2:15" ht="15">
      <c r="B45" s="26" t="s">
        <v>8</v>
      </c>
      <c r="C45" s="182"/>
      <c r="D45" s="182"/>
      <c r="O45" s="182" t="s">
        <v>128</v>
      </c>
    </row>
    <row r="46" spans="2:15" ht="15">
      <c r="B46" s="33" t="s">
        <v>312</v>
      </c>
      <c r="C46" s="162" t="s">
        <v>129</v>
      </c>
      <c r="D46" s="162" t="s">
        <v>130</v>
      </c>
      <c r="E46" s="162" t="s">
        <v>131</v>
      </c>
      <c r="F46" s="162" t="s">
        <v>132</v>
      </c>
      <c r="G46" s="162" t="s">
        <v>133</v>
      </c>
      <c r="H46" s="162" t="s">
        <v>134</v>
      </c>
      <c r="I46" s="162" t="s">
        <v>135</v>
      </c>
      <c r="J46" s="162" t="s">
        <v>136</v>
      </c>
      <c r="K46" s="162" t="s">
        <v>137</v>
      </c>
      <c r="L46" s="162" t="s">
        <v>138</v>
      </c>
      <c r="M46" s="162" t="s">
        <v>139</v>
      </c>
      <c r="N46" s="162" t="s">
        <v>140</v>
      </c>
      <c r="O46" s="162" t="s">
        <v>127</v>
      </c>
    </row>
    <row r="47" spans="2:15" ht="15">
      <c r="B47" s="86" t="s">
        <v>374</v>
      </c>
      <c r="C47" s="163">
        <v>11.393825</v>
      </c>
      <c r="D47" s="163">
        <v>-0.585565</v>
      </c>
      <c r="E47" s="163">
        <v>3.65449</v>
      </c>
      <c r="F47" s="163">
        <v>41.737380000000002</v>
      </c>
      <c r="G47" s="163">
        <v>199.04271500000002</v>
      </c>
      <c r="H47" s="163">
        <v>176.47377</v>
      </c>
      <c r="I47" s="163">
        <v>158.83626999999998</v>
      </c>
      <c r="J47" s="163">
        <v>58.662325000000003</v>
      </c>
      <c r="K47" s="163">
        <v>35.401989999999998</v>
      </c>
      <c r="L47" s="163">
        <v>33.292544999999997</v>
      </c>
      <c r="M47" s="163">
        <v>37.51849</v>
      </c>
      <c r="N47" s="163">
        <v>37.511434999999999</v>
      </c>
      <c r="O47" s="163">
        <f>SUM(C47:N47)</f>
        <v>792.93967000000009</v>
      </c>
    </row>
    <row r="48" spans="2:15" ht="15">
      <c r="B48" s="86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</row>
    <row r="49" spans="2:15" ht="15">
      <c r="B49" s="86" t="s">
        <v>375</v>
      </c>
      <c r="C49" s="163">
        <v>4.7561749999999989</v>
      </c>
      <c r="D49" s="163">
        <v>-0.24443499999999999</v>
      </c>
      <c r="E49" s="163">
        <v>1.5255099999999999</v>
      </c>
      <c r="F49" s="163">
        <v>17.422619999999998</v>
      </c>
      <c r="G49" s="163">
        <v>83.087284999999994</v>
      </c>
      <c r="H49" s="163">
        <v>73.666229999999999</v>
      </c>
      <c r="I49" s="163">
        <v>66.303729999999987</v>
      </c>
      <c r="J49" s="163">
        <v>24.487674999999999</v>
      </c>
      <c r="K49" s="163">
        <v>14.778009999999998</v>
      </c>
      <c r="L49" s="163">
        <v>13.897454999999999</v>
      </c>
      <c r="M49" s="163">
        <v>15.66151</v>
      </c>
      <c r="N49" s="163">
        <v>15.658564999999999</v>
      </c>
      <c r="O49" s="163">
        <f>SUM(C49:N49)</f>
        <v>331.00033000000002</v>
      </c>
    </row>
    <row r="50" spans="2:15" ht="15">
      <c r="B50" s="40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</row>
    <row r="51" spans="2:15" ht="15">
      <c r="B51" s="41" t="s">
        <v>127</v>
      </c>
      <c r="C51" s="131">
        <f>C47+C49</f>
        <v>16.149999999999999</v>
      </c>
      <c r="D51" s="131">
        <f t="shared" ref="D51:O51" si="4">D47+D49</f>
        <v>-0.83</v>
      </c>
      <c r="E51" s="131">
        <f t="shared" si="4"/>
        <v>5.18</v>
      </c>
      <c r="F51" s="131">
        <f t="shared" si="4"/>
        <v>59.16</v>
      </c>
      <c r="G51" s="131">
        <f t="shared" si="4"/>
        <v>282.13</v>
      </c>
      <c r="H51" s="131">
        <f t="shared" si="4"/>
        <v>250.14</v>
      </c>
      <c r="I51" s="131">
        <f t="shared" si="4"/>
        <v>225.14</v>
      </c>
      <c r="J51" s="131">
        <f t="shared" si="4"/>
        <v>83.15</v>
      </c>
      <c r="K51" s="131">
        <f t="shared" si="4"/>
        <v>50.179999999999993</v>
      </c>
      <c r="L51" s="131">
        <f t="shared" si="4"/>
        <v>47.19</v>
      </c>
      <c r="M51" s="131">
        <f t="shared" si="4"/>
        <v>53.18</v>
      </c>
      <c r="N51" s="131">
        <f t="shared" si="4"/>
        <v>53.17</v>
      </c>
      <c r="O51" s="131">
        <f t="shared" si="4"/>
        <v>1123.94</v>
      </c>
    </row>
    <row r="54" spans="2:15" ht="15">
      <c r="B54" s="26" t="s">
        <v>319</v>
      </c>
      <c r="C54" s="181" t="s">
        <v>372</v>
      </c>
      <c r="D54" s="179"/>
      <c r="E54" s="179"/>
      <c r="F54" s="179"/>
      <c r="G54" s="179"/>
      <c r="H54" s="179"/>
      <c r="I54" s="180"/>
    </row>
    <row r="55" spans="2:15" ht="15">
      <c r="B55" s="26" t="s">
        <v>8</v>
      </c>
      <c r="C55" s="182"/>
      <c r="D55" s="182"/>
      <c r="O55" s="182" t="s">
        <v>128</v>
      </c>
    </row>
    <row r="56" spans="2:15" ht="15">
      <c r="B56" s="33" t="s">
        <v>312</v>
      </c>
      <c r="C56" s="162" t="s">
        <v>129</v>
      </c>
      <c r="D56" s="162" t="s">
        <v>130</v>
      </c>
      <c r="E56" s="162" t="s">
        <v>131</v>
      </c>
      <c r="F56" s="162" t="s">
        <v>132</v>
      </c>
      <c r="G56" s="162" t="s">
        <v>133</v>
      </c>
      <c r="H56" s="162" t="s">
        <v>134</v>
      </c>
      <c r="I56" s="162" t="s">
        <v>135</v>
      </c>
      <c r="J56" s="162" t="s">
        <v>136</v>
      </c>
      <c r="K56" s="162" t="s">
        <v>137</v>
      </c>
      <c r="L56" s="162" t="s">
        <v>138</v>
      </c>
      <c r="M56" s="162" t="s">
        <v>139</v>
      </c>
      <c r="N56" s="162" t="s">
        <v>140</v>
      </c>
      <c r="O56" s="162" t="s">
        <v>127</v>
      </c>
    </row>
    <row r="57" spans="2:15" ht="15">
      <c r="B57" s="86" t="s">
        <v>374</v>
      </c>
      <c r="C57" s="163">
        <v>11.393825</v>
      </c>
      <c r="D57" s="163">
        <v>-0.585565</v>
      </c>
      <c r="E57" s="163">
        <v>3.65449</v>
      </c>
      <c r="F57" s="163">
        <v>41.737380000000002</v>
      </c>
      <c r="G57" s="163">
        <v>199.04271500000002</v>
      </c>
      <c r="H57" s="163">
        <v>176.47377</v>
      </c>
      <c r="I57" s="163">
        <v>158.83626999999998</v>
      </c>
      <c r="J57" s="163">
        <v>58.662325000000003</v>
      </c>
      <c r="K57" s="163">
        <v>35.401989999999998</v>
      </c>
      <c r="L57" s="163">
        <v>33.292544999999997</v>
      </c>
      <c r="M57" s="163">
        <v>37.51849</v>
      </c>
      <c r="N57" s="163">
        <v>37.511434999999999</v>
      </c>
      <c r="O57" s="163">
        <f>SUM(C57:N57)</f>
        <v>792.93967000000009</v>
      </c>
    </row>
    <row r="58" spans="2:15" ht="15">
      <c r="B58" s="86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</row>
    <row r="59" spans="2:15" ht="15">
      <c r="B59" s="86" t="s">
        <v>375</v>
      </c>
      <c r="C59" s="163">
        <v>4.7561749999999989</v>
      </c>
      <c r="D59" s="163">
        <v>-0.24443499999999999</v>
      </c>
      <c r="E59" s="163">
        <v>1.5255099999999999</v>
      </c>
      <c r="F59" s="163">
        <v>17.422619999999998</v>
      </c>
      <c r="G59" s="163">
        <v>83.087284999999994</v>
      </c>
      <c r="H59" s="163">
        <v>73.666229999999999</v>
      </c>
      <c r="I59" s="163">
        <v>66.303729999999987</v>
      </c>
      <c r="J59" s="163">
        <v>24.487674999999999</v>
      </c>
      <c r="K59" s="163">
        <v>14.778009999999998</v>
      </c>
      <c r="L59" s="163">
        <v>13.897454999999999</v>
      </c>
      <c r="M59" s="163">
        <v>15.66151</v>
      </c>
      <c r="N59" s="163">
        <v>15.658564999999999</v>
      </c>
      <c r="O59" s="163">
        <f>SUM(C59:N59)</f>
        <v>331.00033000000002</v>
      </c>
    </row>
    <row r="60" spans="2:15" ht="15">
      <c r="B60" s="40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</row>
    <row r="61" spans="2:15" ht="15">
      <c r="B61" s="41" t="s">
        <v>127</v>
      </c>
      <c r="C61" s="131">
        <f>C57+C59</f>
        <v>16.149999999999999</v>
      </c>
      <c r="D61" s="131">
        <f t="shared" ref="D61:O61" si="5">D57+D59</f>
        <v>-0.83</v>
      </c>
      <c r="E61" s="131">
        <f t="shared" si="5"/>
        <v>5.18</v>
      </c>
      <c r="F61" s="131">
        <f t="shared" si="5"/>
        <v>59.16</v>
      </c>
      <c r="G61" s="131">
        <f t="shared" si="5"/>
        <v>282.13</v>
      </c>
      <c r="H61" s="131">
        <f t="shared" si="5"/>
        <v>250.14</v>
      </c>
      <c r="I61" s="131">
        <f t="shared" si="5"/>
        <v>225.14</v>
      </c>
      <c r="J61" s="131">
        <f t="shared" si="5"/>
        <v>83.15</v>
      </c>
      <c r="K61" s="131">
        <f t="shared" si="5"/>
        <v>50.179999999999993</v>
      </c>
      <c r="L61" s="131">
        <f t="shared" si="5"/>
        <v>47.19</v>
      </c>
      <c r="M61" s="131">
        <f t="shared" si="5"/>
        <v>53.18</v>
      </c>
      <c r="N61" s="131">
        <f t="shared" si="5"/>
        <v>53.17</v>
      </c>
      <c r="O61" s="131">
        <f t="shared" si="5"/>
        <v>1123.94</v>
      </c>
    </row>
    <row r="64" spans="2:15" ht="15">
      <c r="B64" s="26" t="s">
        <v>320</v>
      </c>
      <c r="C64" s="181" t="s">
        <v>373</v>
      </c>
      <c r="D64" s="179"/>
      <c r="E64" s="179"/>
      <c r="F64" s="179"/>
      <c r="G64" s="179"/>
      <c r="H64" s="179"/>
      <c r="I64" s="180"/>
    </row>
    <row r="65" spans="2:15" ht="15">
      <c r="B65" s="26" t="s">
        <v>8</v>
      </c>
      <c r="C65" s="182"/>
      <c r="D65" s="182"/>
      <c r="O65" s="182" t="s">
        <v>128</v>
      </c>
    </row>
    <row r="66" spans="2:15" ht="15">
      <c r="B66" s="33" t="s">
        <v>312</v>
      </c>
      <c r="C66" s="162" t="s">
        <v>129</v>
      </c>
      <c r="D66" s="162" t="s">
        <v>130</v>
      </c>
      <c r="E66" s="162" t="s">
        <v>131</v>
      </c>
      <c r="F66" s="162" t="s">
        <v>132</v>
      </c>
      <c r="G66" s="162" t="s">
        <v>133</v>
      </c>
      <c r="H66" s="162" t="s">
        <v>134</v>
      </c>
      <c r="I66" s="162" t="s">
        <v>135</v>
      </c>
      <c r="J66" s="162" t="s">
        <v>136</v>
      </c>
      <c r="K66" s="162" t="s">
        <v>137</v>
      </c>
      <c r="L66" s="162" t="s">
        <v>138</v>
      </c>
      <c r="M66" s="162" t="s">
        <v>139</v>
      </c>
      <c r="N66" s="162" t="s">
        <v>140</v>
      </c>
      <c r="O66" s="162" t="s">
        <v>127</v>
      </c>
    </row>
    <row r="67" spans="2:15" ht="15">
      <c r="B67" s="86" t="s">
        <v>374</v>
      </c>
      <c r="C67" s="163">
        <v>11.393825</v>
      </c>
      <c r="D67" s="163">
        <v>-0.585565</v>
      </c>
      <c r="E67" s="163">
        <v>3.65449</v>
      </c>
      <c r="F67" s="163">
        <v>41.737380000000002</v>
      </c>
      <c r="G67" s="163">
        <v>199.04271500000002</v>
      </c>
      <c r="H67" s="163">
        <v>176.47377</v>
      </c>
      <c r="I67" s="163">
        <v>158.83626999999998</v>
      </c>
      <c r="J67" s="163">
        <v>58.662325000000003</v>
      </c>
      <c r="K67" s="163">
        <v>35.401989999999998</v>
      </c>
      <c r="L67" s="163">
        <v>33.292544999999997</v>
      </c>
      <c r="M67" s="163">
        <v>37.51849</v>
      </c>
      <c r="N67" s="163">
        <v>37.511434999999999</v>
      </c>
      <c r="O67" s="163">
        <f>SUM(C67:N67)</f>
        <v>792.93967000000009</v>
      </c>
    </row>
    <row r="68" spans="2:15" ht="15">
      <c r="B68" s="86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</row>
    <row r="69" spans="2:15" ht="15">
      <c r="B69" s="86" t="s">
        <v>375</v>
      </c>
      <c r="C69" s="163">
        <v>4.7561749999999989</v>
      </c>
      <c r="D69" s="163">
        <v>-0.24443499999999999</v>
      </c>
      <c r="E69" s="163">
        <v>1.5255099999999999</v>
      </c>
      <c r="F69" s="163">
        <v>17.422619999999998</v>
      </c>
      <c r="G69" s="163">
        <v>83.087284999999994</v>
      </c>
      <c r="H69" s="163">
        <v>73.666229999999999</v>
      </c>
      <c r="I69" s="163">
        <v>66.303729999999987</v>
      </c>
      <c r="J69" s="163">
        <v>24.487674999999999</v>
      </c>
      <c r="K69" s="163">
        <v>14.778009999999998</v>
      </c>
      <c r="L69" s="163">
        <v>13.897454999999999</v>
      </c>
      <c r="M69" s="163">
        <v>15.66151</v>
      </c>
      <c r="N69" s="163">
        <v>15.658564999999999</v>
      </c>
      <c r="O69" s="163">
        <f>SUM(C69:N69)</f>
        <v>331.00033000000002</v>
      </c>
    </row>
    <row r="70" spans="2:15" ht="15">
      <c r="B70" s="40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</row>
    <row r="71" spans="2:15" ht="15">
      <c r="B71" s="41" t="s">
        <v>127</v>
      </c>
      <c r="C71" s="131">
        <f>C67+C69</f>
        <v>16.149999999999999</v>
      </c>
      <c r="D71" s="131">
        <f t="shared" ref="D71:O71" si="6">D67+D69</f>
        <v>-0.83</v>
      </c>
      <c r="E71" s="131">
        <f t="shared" si="6"/>
        <v>5.18</v>
      </c>
      <c r="F71" s="131">
        <f t="shared" si="6"/>
        <v>59.16</v>
      </c>
      <c r="G71" s="131">
        <f t="shared" si="6"/>
        <v>282.13</v>
      </c>
      <c r="H71" s="131">
        <f t="shared" si="6"/>
        <v>250.14</v>
      </c>
      <c r="I71" s="131">
        <f t="shared" si="6"/>
        <v>225.14</v>
      </c>
      <c r="J71" s="131">
        <f t="shared" si="6"/>
        <v>83.15</v>
      </c>
      <c r="K71" s="131">
        <f t="shared" si="6"/>
        <v>50.179999999999993</v>
      </c>
      <c r="L71" s="131">
        <f t="shared" si="6"/>
        <v>47.19</v>
      </c>
      <c r="M71" s="131">
        <f t="shared" si="6"/>
        <v>53.18</v>
      </c>
      <c r="N71" s="131">
        <f t="shared" si="6"/>
        <v>53.17</v>
      </c>
      <c r="O71" s="131">
        <f t="shared" si="6"/>
        <v>1123.94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1.63" right="1.33" top="1" bottom="0.37" header="0.5" footer="0.5"/>
  <pageSetup paperSize="9" scale="4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08"/>
    </row>
    <row r="2" spans="2:14" s="5" customFormat="1" ht="15" customHeight="1">
      <c r="B2" s="271" t="s">
        <v>401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</row>
    <row r="3" spans="2:14" s="5" customFormat="1" ht="15" customHeight="1">
      <c r="B3" s="271" t="s">
        <v>377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</row>
    <row r="4" spans="2:14" ht="14.25" customHeight="1">
      <c r="B4" s="272" t="s">
        <v>321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</row>
    <row r="5" spans="2:14" ht="15">
      <c r="B5" s="26" t="s">
        <v>383</v>
      </c>
    </row>
    <row r="6" spans="2:14" ht="15">
      <c r="B6" s="26" t="s">
        <v>12</v>
      </c>
      <c r="N6" s="39" t="s">
        <v>4</v>
      </c>
    </row>
    <row r="7" spans="2:14" s="55" customFormat="1" ht="45.75" customHeight="1">
      <c r="B7" s="282" t="s">
        <v>312</v>
      </c>
      <c r="C7" s="275" t="s">
        <v>143</v>
      </c>
      <c r="D7" s="275"/>
      <c r="E7" s="275"/>
      <c r="F7" s="275"/>
      <c r="G7" s="274" t="s">
        <v>144</v>
      </c>
      <c r="H7" s="274"/>
      <c r="I7" s="274"/>
      <c r="J7" s="274" t="s">
        <v>145</v>
      </c>
      <c r="K7" s="274"/>
      <c r="L7" s="274"/>
      <c r="M7" s="274"/>
      <c r="N7" s="274"/>
    </row>
    <row r="8" spans="2:14" ht="45">
      <c r="B8" s="283"/>
      <c r="C8" s="33" t="s">
        <v>161</v>
      </c>
      <c r="D8" s="33" t="s">
        <v>159</v>
      </c>
      <c r="E8" s="33" t="s">
        <v>221</v>
      </c>
      <c r="F8" s="33" t="s">
        <v>160</v>
      </c>
      <c r="G8" s="33" t="s">
        <v>146</v>
      </c>
      <c r="H8" s="33" t="s">
        <v>222</v>
      </c>
      <c r="I8" s="33" t="s">
        <v>147</v>
      </c>
      <c r="J8" s="33" t="s">
        <v>148</v>
      </c>
      <c r="K8" s="33" t="s">
        <v>149</v>
      </c>
      <c r="L8" s="33" t="s">
        <v>223</v>
      </c>
      <c r="M8" s="33" t="s">
        <v>224</v>
      </c>
      <c r="N8" s="25" t="s">
        <v>127</v>
      </c>
    </row>
    <row r="9" spans="2:14" ht="15">
      <c r="B9" s="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5"/>
    </row>
    <row r="10" spans="2:14" ht="15">
      <c r="B10" s="86" t="s">
        <v>313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8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86" t="s">
        <v>314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86" t="s">
        <v>315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8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86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86" t="s">
        <v>127</v>
      </c>
      <c r="C18" s="130">
        <f>C10+C12+C14</f>
        <v>0</v>
      </c>
      <c r="D18" s="130">
        <f>D10+D12+D14</f>
        <v>0</v>
      </c>
      <c r="E18" s="130">
        <f>E10+E12+E14</f>
        <v>0</v>
      </c>
      <c r="F18" s="130">
        <f>F10+F12+F14</f>
        <v>0</v>
      </c>
      <c r="G18" s="130">
        <f>G10+G12+G14</f>
        <v>0</v>
      </c>
      <c r="H18" s="3"/>
      <c r="I18" s="3"/>
      <c r="J18" s="130">
        <f>J10+J12+J14</f>
        <v>0</v>
      </c>
      <c r="K18" s="130">
        <f>K10+K12+K14</f>
        <v>0</v>
      </c>
      <c r="L18" s="130">
        <f>L10+L12+L14</f>
        <v>0</v>
      </c>
      <c r="M18" s="130">
        <f>M10+M12+M14</f>
        <v>0</v>
      </c>
      <c r="N18" s="130">
        <f>N10+N12+N14</f>
        <v>0</v>
      </c>
    </row>
    <row r="19" spans="2:14" ht="15">
      <c r="B19" s="39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zoomScale="80" zoomScaleNormal="80" workbookViewId="0">
      <selection activeCell="C5" sqref="C5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108"/>
    </row>
    <row r="2" spans="2:17" s="5" customFormat="1" ht="15" customHeight="1"/>
    <row r="3" spans="2:17" s="5" customFormat="1" ht="15" customHeight="1">
      <c r="B3" s="271" t="s">
        <v>401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</row>
    <row r="4" spans="2:17" s="5" customFormat="1" ht="15" customHeight="1">
      <c r="B4" s="271" t="s">
        <v>377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</row>
    <row r="5" spans="2:17" ht="15">
      <c r="B5" s="26" t="s">
        <v>383</v>
      </c>
      <c r="I5" s="38" t="s">
        <v>324</v>
      </c>
    </row>
    <row r="6" spans="2:17" ht="15">
      <c r="B6" s="39" t="s">
        <v>12</v>
      </c>
    </row>
    <row r="7" spans="2:17" ht="30">
      <c r="B7" s="110" t="s">
        <v>186</v>
      </c>
      <c r="C7" s="110" t="s">
        <v>18</v>
      </c>
      <c r="D7" s="110" t="s">
        <v>39</v>
      </c>
      <c r="E7" s="33" t="s">
        <v>129</v>
      </c>
      <c r="F7" s="33" t="s">
        <v>130</v>
      </c>
      <c r="G7" s="109" t="s">
        <v>131</v>
      </c>
      <c r="H7" s="109" t="s">
        <v>132</v>
      </c>
      <c r="I7" s="109" t="s">
        <v>133</v>
      </c>
      <c r="J7" s="109" t="s">
        <v>134</v>
      </c>
      <c r="K7" s="109" t="s">
        <v>135</v>
      </c>
      <c r="L7" s="109" t="s">
        <v>136</v>
      </c>
      <c r="M7" s="109" t="s">
        <v>137</v>
      </c>
      <c r="N7" s="109" t="s">
        <v>138</v>
      </c>
      <c r="O7" s="109" t="s">
        <v>139</v>
      </c>
      <c r="P7" s="109" t="s">
        <v>140</v>
      </c>
      <c r="Q7" s="111" t="s">
        <v>127</v>
      </c>
    </row>
    <row r="8" spans="2:17">
      <c r="B8" s="112">
        <v>1</v>
      </c>
      <c r="C8" s="113" t="s">
        <v>164</v>
      </c>
      <c r="D8" s="112" t="s">
        <v>40</v>
      </c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>
        <v>85</v>
      </c>
    </row>
    <row r="9" spans="2:17">
      <c r="B9" s="112">
        <f>B8+1</f>
        <v>2</v>
      </c>
      <c r="C9" s="113" t="s">
        <v>187</v>
      </c>
      <c r="D9" s="112" t="s">
        <v>40</v>
      </c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</row>
    <row r="10" spans="2:17">
      <c r="B10" s="112">
        <f t="shared" ref="B10:B26" si="0">B9+1</f>
        <v>3</v>
      </c>
      <c r="C10" s="113" t="s">
        <v>188</v>
      </c>
      <c r="D10" s="112" t="s">
        <v>40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>
        <v>96.14</v>
      </c>
    </row>
    <row r="11" spans="2:17">
      <c r="B11" s="112">
        <f t="shared" si="0"/>
        <v>4</v>
      </c>
      <c r="C11" s="113" t="s">
        <v>41</v>
      </c>
      <c r="D11" s="112" t="s">
        <v>40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</row>
    <row r="12" spans="2:17">
      <c r="B12" s="112">
        <f t="shared" si="0"/>
        <v>5</v>
      </c>
      <c r="C12" s="113" t="s">
        <v>189</v>
      </c>
      <c r="D12" s="112" t="s">
        <v>40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</row>
    <row r="13" spans="2:17">
      <c r="B13" s="112">
        <f t="shared" si="0"/>
        <v>6</v>
      </c>
      <c r="C13" s="113" t="s">
        <v>190</v>
      </c>
      <c r="D13" s="112" t="s">
        <v>40</v>
      </c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</row>
    <row r="14" spans="2:17" ht="16.5">
      <c r="B14" s="112">
        <f t="shared" si="0"/>
        <v>7</v>
      </c>
      <c r="C14" s="107" t="s">
        <v>191</v>
      </c>
      <c r="D14" s="116" t="s">
        <v>42</v>
      </c>
      <c r="E14" s="169">
        <v>0.22591</v>
      </c>
      <c r="F14" s="169">
        <v>0</v>
      </c>
      <c r="G14" s="169">
        <v>0</v>
      </c>
      <c r="H14" s="169">
        <v>250.95946000000001</v>
      </c>
      <c r="I14" s="169">
        <v>525.22720000000004</v>
      </c>
      <c r="J14" s="169">
        <v>487.28160000000003</v>
      </c>
      <c r="K14" s="169">
        <v>510.37213000000003</v>
      </c>
      <c r="L14" s="169">
        <v>183.95691999999994</v>
      </c>
      <c r="M14" s="169">
        <v>97.249040000000278</v>
      </c>
      <c r="N14" s="169">
        <v>45.020899999999997</v>
      </c>
      <c r="O14" s="169">
        <v>36.879690000000181</v>
      </c>
      <c r="P14" s="169">
        <v>27.41452999999991</v>
      </c>
      <c r="Q14" s="169">
        <f>SUM(E14:P14)</f>
        <v>2164.5873800000004</v>
      </c>
    </row>
    <row r="15" spans="2:17" ht="16.5">
      <c r="B15" s="112">
        <f t="shared" si="0"/>
        <v>8</v>
      </c>
      <c r="C15" s="107" t="s">
        <v>192</v>
      </c>
      <c r="D15" s="116" t="s">
        <v>42</v>
      </c>
      <c r="E15" s="169">
        <v>0.57248100000000002</v>
      </c>
      <c r="F15" s="169">
        <v>0.73104499999999994</v>
      </c>
      <c r="G15" s="169">
        <v>0.69293800000000005</v>
      </c>
      <c r="H15" s="169">
        <v>2.1993819999999999</v>
      </c>
      <c r="I15" s="169">
        <v>3.0679460000000001</v>
      </c>
      <c r="J15" s="169">
        <v>2.9600420000000001</v>
      </c>
      <c r="K15" s="169">
        <v>3.4111030000004767</v>
      </c>
      <c r="L15" s="169">
        <v>1.6397229999992848</v>
      </c>
      <c r="M15" s="169">
        <v>1.3096780000002832</v>
      </c>
      <c r="N15" s="169">
        <v>1.0561720000000001</v>
      </c>
      <c r="O15" s="169">
        <v>0.78331600000014157</v>
      </c>
      <c r="P15" s="169">
        <v>0.69837599999976907</v>
      </c>
      <c r="Q15" s="169">
        <f>SUM(E15:P15)</f>
        <v>19.122201999999955</v>
      </c>
    </row>
    <row r="16" spans="2:17" ht="15">
      <c r="B16" s="112">
        <f t="shared" si="0"/>
        <v>9</v>
      </c>
      <c r="C16" s="107" t="s">
        <v>207</v>
      </c>
      <c r="D16" s="116" t="s">
        <v>42</v>
      </c>
      <c r="E16" s="129">
        <f>E14-E15</f>
        <v>-0.34657100000000002</v>
      </c>
      <c r="F16" s="129">
        <f t="shared" ref="F16:Q16" si="1">F14-F15</f>
        <v>-0.73104499999999994</v>
      </c>
      <c r="G16" s="129">
        <f t="shared" si="1"/>
        <v>-0.69293800000000005</v>
      </c>
      <c r="H16" s="129">
        <f t="shared" si="1"/>
        <v>248.76007800000002</v>
      </c>
      <c r="I16" s="129">
        <f t="shared" si="1"/>
        <v>522.15925400000003</v>
      </c>
      <c r="J16" s="129">
        <f t="shared" si="1"/>
        <v>484.32155800000004</v>
      </c>
      <c r="K16" s="129">
        <f t="shared" si="1"/>
        <v>506.96102699999955</v>
      </c>
      <c r="L16" s="129">
        <f t="shared" si="1"/>
        <v>182.31719700000065</v>
      </c>
      <c r="M16" s="129">
        <f t="shared" si="1"/>
        <v>95.939361999999988</v>
      </c>
      <c r="N16" s="129">
        <f t="shared" si="1"/>
        <v>43.964727999999994</v>
      </c>
      <c r="O16" s="129">
        <f t="shared" si="1"/>
        <v>36.09637400000004</v>
      </c>
      <c r="P16" s="129">
        <f t="shared" si="1"/>
        <v>26.716154000000142</v>
      </c>
      <c r="Q16" s="129">
        <f t="shared" si="1"/>
        <v>2145.4651780000004</v>
      </c>
    </row>
    <row r="17" spans="2:17">
      <c r="B17" s="112">
        <f t="shared" si="0"/>
        <v>10</v>
      </c>
      <c r="C17" s="107" t="s">
        <v>208</v>
      </c>
      <c r="D17" s="116" t="s">
        <v>42</v>
      </c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8"/>
    </row>
    <row r="18" spans="2:17">
      <c r="B18" s="112">
        <f t="shared" si="0"/>
        <v>11</v>
      </c>
      <c r="C18" s="107" t="s">
        <v>193</v>
      </c>
      <c r="D18" s="116" t="s">
        <v>197</v>
      </c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</row>
    <row r="19" spans="2:17" ht="16.5">
      <c r="B19" s="112">
        <f t="shared" si="0"/>
        <v>12</v>
      </c>
      <c r="C19" s="107" t="s">
        <v>209</v>
      </c>
      <c r="D19" s="116" t="s">
        <v>198</v>
      </c>
      <c r="E19" s="170">
        <v>38.664999999999999</v>
      </c>
      <c r="F19" s="170">
        <v>38.664999999999999</v>
      </c>
      <c r="G19" s="170">
        <v>38.664999999999999</v>
      </c>
      <c r="H19" s="170">
        <v>38.664999999999999</v>
      </c>
      <c r="I19" s="170">
        <v>38.664999999999999</v>
      </c>
      <c r="J19" s="170">
        <v>38.664999999999999</v>
      </c>
      <c r="K19" s="170">
        <v>38.664999999999999</v>
      </c>
      <c r="L19" s="170">
        <v>38.664999999999999</v>
      </c>
      <c r="M19" s="170">
        <v>38.664999999999999</v>
      </c>
      <c r="N19" s="170">
        <v>38.664999999999999</v>
      </c>
      <c r="O19" s="170">
        <v>38.664999999999999</v>
      </c>
      <c r="P19" s="170">
        <v>38.664999999999999</v>
      </c>
      <c r="Q19" s="170">
        <f>SUM(E19:P19)</f>
        <v>463.98000000000008</v>
      </c>
    </row>
    <row r="20" spans="2:17" ht="16.5">
      <c r="B20" s="112">
        <f t="shared" si="0"/>
        <v>13</v>
      </c>
      <c r="C20" s="107" t="s">
        <v>322</v>
      </c>
      <c r="D20" s="116" t="s">
        <v>197</v>
      </c>
      <c r="E20" s="171">
        <v>0</v>
      </c>
      <c r="F20" s="171">
        <v>0</v>
      </c>
      <c r="G20" s="171">
        <v>0</v>
      </c>
      <c r="H20" s="171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1">
        <v>0</v>
      </c>
      <c r="Q20" s="171">
        <v>0</v>
      </c>
    </row>
    <row r="21" spans="2:17" ht="16.5">
      <c r="B21" s="112">
        <f t="shared" si="0"/>
        <v>14</v>
      </c>
      <c r="C21" s="107" t="s">
        <v>194</v>
      </c>
      <c r="D21" s="116" t="s">
        <v>198</v>
      </c>
      <c r="E21" s="170">
        <v>38.664999999999999</v>
      </c>
      <c r="F21" s="170">
        <v>38.664999999999999</v>
      </c>
      <c r="G21" s="170">
        <v>38.664999999999999</v>
      </c>
      <c r="H21" s="170">
        <v>38.664999999999999</v>
      </c>
      <c r="I21" s="170">
        <v>38.664999999999999</v>
      </c>
      <c r="J21" s="170">
        <v>38.664999999999999</v>
      </c>
      <c r="K21" s="170">
        <v>38.664999999999999</v>
      </c>
      <c r="L21" s="170">
        <v>38.664999999999999</v>
      </c>
      <c r="M21" s="170">
        <v>38.664999999999999</v>
      </c>
      <c r="N21" s="170">
        <v>38.664999999999999</v>
      </c>
      <c r="O21" s="170">
        <v>38.664999999999999</v>
      </c>
      <c r="P21" s="170">
        <v>38.664999999999999</v>
      </c>
      <c r="Q21" s="170">
        <f>SUM(E21:P21)</f>
        <v>463.98000000000008</v>
      </c>
    </row>
    <row r="22" spans="2:17">
      <c r="B22" s="112">
        <f t="shared" si="0"/>
        <v>15</v>
      </c>
      <c r="C22" s="107" t="s">
        <v>323</v>
      </c>
      <c r="D22" s="116" t="s">
        <v>198</v>
      </c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15"/>
    </row>
    <row r="23" spans="2:17">
      <c r="B23" s="112">
        <f t="shared" si="0"/>
        <v>16</v>
      </c>
      <c r="C23" s="107" t="s">
        <v>210</v>
      </c>
      <c r="D23" s="116" t="s">
        <v>198</v>
      </c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15"/>
    </row>
    <row r="24" spans="2:17">
      <c r="B24" s="112">
        <f t="shared" si="0"/>
        <v>17</v>
      </c>
      <c r="C24" s="107" t="s">
        <v>195</v>
      </c>
      <c r="D24" s="116" t="s">
        <v>198</v>
      </c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15"/>
    </row>
    <row r="25" spans="2:17" ht="16.5">
      <c r="B25" s="112">
        <f t="shared" si="0"/>
        <v>18</v>
      </c>
      <c r="C25" s="121" t="s">
        <v>151</v>
      </c>
      <c r="D25" s="116" t="s">
        <v>198</v>
      </c>
      <c r="E25" s="172">
        <f>E21+E22+E23+E24</f>
        <v>38.664999999999999</v>
      </c>
      <c r="F25" s="172">
        <f t="shared" ref="F25:Q25" si="2">F21+F22+F23+F24</f>
        <v>38.664999999999999</v>
      </c>
      <c r="G25" s="172">
        <f t="shared" si="2"/>
        <v>38.664999999999999</v>
      </c>
      <c r="H25" s="172">
        <f t="shared" si="2"/>
        <v>38.664999999999999</v>
      </c>
      <c r="I25" s="172">
        <f t="shared" si="2"/>
        <v>38.664999999999999</v>
      </c>
      <c r="J25" s="172">
        <f t="shared" si="2"/>
        <v>38.664999999999999</v>
      </c>
      <c r="K25" s="172">
        <f t="shared" si="2"/>
        <v>38.664999999999999</v>
      </c>
      <c r="L25" s="172">
        <f t="shared" si="2"/>
        <v>38.664999999999999</v>
      </c>
      <c r="M25" s="172">
        <f t="shared" si="2"/>
        <v>38.664999999999999</v>
      </c>
      <c r="N25" s="172">
        <f t="shared" si="2"/>
        <v>38.664999999999999</v>
      </c>
      <c r="O25" s="172">
        <f t="shared" si="2"/>
        <v>38.664999999999999</v>
      </c>
      <c r="P25" s="172">
        <f t="shared" si="2"/>
        <v>38.664999999999999</v>
      </c>
      <c r="Q25" s="172">
        <f t="shared" si="2"/>
        <v>463.98000000000008</v>
      </c>
    </row>
    <row r="26" spans="2:17" ht="15">
      <c r="B26" s="112">
        <f t="shared" si="0"/>
        <v>19</v>
      </c>
      <c r="C26" s="123" t="s">
        <v>196</v>
      </c>
      <c r="D26" s="116" t="s">
        <v>198</v>
      </c>
      <c r="E26" s="120"/>
      <c r="F26" s="114"/>
      <c r="G26" s="114"/>
      <c r="H26" s="114"/>
      <c r="I26" s="114"/>
      <c r="J26" s="114"/>
      <c r="K26" s="114"/>
      <c r="L26" s="114"/>
      <c r="M26" s="115"/>
      <c r="N26" s="115"/>
      <c r="O26" s="115"/>
      <c r="P26" s="115"/>
      <c r="Q26" s="122"/>
    </row>
    <row r="27" spans="2:17" ht="33">
      <c r="B27" s="173"/>
      <c r="C27" s="174" t="s">
        <v>365</v>
      </c>
      <c r="D27" s="175" t="s">
        <v>198</v>
      </c>
      <c r="E27" s="176"/>
      <c r="F27" s="169"/>
      <c r="G27" s="169"/>
      <c r="H27" s="169"/>
      <c r="I27" s="169"/>
      <c r="J27" s="169"/>
      <c r="K27" s="169"/>
      <c r="L27" s="169"/>
      <c r="M27" s="170"/>
      <c r="N27" s="170"/>
      <c r="O27" s="170"/>
      <c r="P27" s="170"/>
      <c r="Q27" s="177">
        <v>-24.6388411</v>
      </c>
    </row>
    <row r="28" spans="2:17" ht="33">
      <c r="B28" s="173"/>
      <c r="C28" s="174" t="s">
        <v>366</v>
      </c>
      <c r="D28" s="175" t="s">
        <v>198</v>
      </c>
      <c r="E28" s="176"/>
      <c r="F28" s="169"/>
      <c r="G28" s="169"/>
      <c r="H28" s="169"/>
      <c r="I28" s="169"/>
      <c r="J28" s="169"/>
      <c r="K28" s="169"/>
      <c r="L28" s="169"/>
      <c r="M28" s="170"/>
      <c r="N28" s="170"/>
      <c r="O28" s="170"/>
      <c r="P28" s="170"/>
      <c r="Q28" s="177">
        <v>-23.539999999999996</v>
      </c>
    </row>
    <row r="29" spans="2:17" ht="16.5">
      <c r="B29" s="173"/>
      <c r="C29" s="174" t="s">
        <v>93</v>
      </c>
      <c r="D29" s="175" t="s">
        <v>198</v>
      </c>
      <c r="E29" s="176"/>
      <c r="F29" s="169"/>
      <c r="G29" s="169"/>
      <c r="H29" s="169"/>
      <c r="I29" s="169"/>
      <c r="J29" s="169"/>
      <c r="K29" s="169"/>
      <c r="L29" s="169"/>
      <c r="M29" s="170"/>
      <c r="N29" s="170"/>
      <c r="O29" s="170"/>
      <c r="P29" s="170"/>
      <c r="Q29" s="177">
        <v>8.5926662969999992</v>
      </c>
    </row>
    <row r="30" spans="2:17" ht="15">
      <c r="B30" s="116">
        <f>B26+1</f>
        <v>20</v>
      </c>
      <c r="C30" s="106" t="s">
        <v>163</v>
      </c>
      <c r="D30" s="116" t="s">
        <v>198</v>
      </c>
      <c r="E30" s="129">
        <f>E25+E26</f>
        <v>38.664999999999999</v>
      </c>
      <c r="F30" s="129">
        <f t="shared" ref="F30:P30" si="3">F25+F26</f>
        <v>38.664999999999999</v>
      </c>
      <c r="G30" s="129">
        <f t="shared" si="3"/>
        <v>38.664999999999999</v>
      </c>
      <c r="H30" s="129">
        <f t="shared" si="3"/>
        <v>38.664999999999999</v>
      </c>
      <c r="I30" s="129">
        <f t="shared" si="3"/>
        <v>38.664999999999999</v>
      </c>
      <c r="J30" s="129">
        <f t="shared" si="3"/>
        <v>38.664999999999999</v>
      </c>
      <c r="K30" s="129">
        <f t="shared" si="3"/>
        <v>38.664999999999999</v>
      </c>
      <c r="L30" s="129">
        <f t="shared" si="3"/>
        <v>38.664999999999999</v>
      </c>
      <c r="M30" s="129">
        <f t="shared" si="3"/>
        <v>38.664999999999999</v>
      </c>
      <c r="N30" s="129">
        <f t="shared" si="3"/>
        <v>38.664999999999999</v>
      </c>
      <c r="O30" s="129">
        <f t="shared" si="3"/>
        <v>38.664999999999999</v>
      </c>
      <c r="P30" s="129">
        <f t="shared" si="3"/>
        <v>38.664999999999999</v>
      </c>
      <c r="Q30" s="129">
        <f>Q25+Q26+Q27+Q28+Q29</f>
        <v>424.39382519700007</v>
      </c>
    </row>
    <row r="31" spans="2:17" ht="15">
      <c r="B31" s="116">
        <f>B30+1</f>
        <v>21</v>
      </c>
      <c r="C31" s="106" t="s">
        <v>199</v>
      </c>
      <c r="D31" s="116" t="s">
        <v>198</v>
      </c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4"/>
    </row>
  </sheetData>
  <mergeCells count="2"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24"/>
  <sheetViews>
    <sheetView showGridLines="0" topLeftCell="A3" zoomScale="80" zoomScaleNormal="80" workbookViewId="0">
      <selection activeCell="D29" sqref="D29"/>
    </sheetView>
  </sheetViews>
  <sheetFormatPr defaultColWidth="9.28515625" defaultRowHeight="15"/>
  <cols>
    <col min="1" max="1" width="3" style="6" customWidth="1"/>
    <col min="2" max="2" width="6.28515625" style="6" customWidth="1"/>
    <col min="3" max="3" width="37.28515625" style="6" customWidth="1"/>
    <col min="4" max="4" width="14.28515625" style="6" customWidth="1"/>
    <col min="5" max="5" width="11.5703125" style="6" customWidth="1"/>
    <col min="6" max="6" width="13.85546875" style="6" customWidth="1"/>
    <col min="7" max="7" width="13.140625" style="6" customWidth="1"/>
    <col min="8" max="8" width="14.140625" style="6" customWidth="1"/>
    <col min="9" max="9" width="15.5703125" style="6" customWidth="1"/>
    <col min="10" max="10" width="13.85546875" style="6" customWidth="1"/>
    <col min="11" max="11" width="12.42578125" style="6" customWidth="1"/>
    <col min="12" max="12" width="11.42578125" style="6" customWidth="1"/>
    <col min="13" max="13" width="13.5703125" style="6" customWidth="1"/>
    <col min="14" max="14" width="11.85546875" style="6" customWidth="1"/>
    <col min="15" max="15" width="12" style="6" customWidth="1"/>
    <col min="16" max="16" width="15.7109375" style="6" customWidth="1"/>
    <col min="17" max="16384" width="9.28515625" style="6"/>
  </cols>
  <sheetData>
    <row r="2" spans="2:17" ht="15.75">
      <c r="B2" s="254" t="s">
        <v>401</v>
      </c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0"/>
    </row>
    <row r="3" spans="2:17" ht="15.75">
      <c r="B3" s="254" t="s">
        <v>403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0"/>
    </row>
    <row r="4" spans="2:17" s="15" customFormat="1" ht="15.75">
      <c r="B4" s="254" t="s">
        <v>331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0"/>
    </row>
    <row r="7" spans="2:17" ht="12.75" customHeight="1">
      <c r="B7" s="261" t="s">
        <v>186</v>
      </c>
      <c r="C7" s="264" t="s">
        <v>18</v>
      </c>
      <c r="D7" s="258" t="s">
        <v>39</v>
      </c>
      <c r="E7" s="264" t="s">
        <v>1</v>
      </c>
      <c r="F7" s="268" t="s">
        <v>383</v>
      </c>
      <c r="G7" s="269"/>
      <c r="H7" s="270"/>
      <c r="I7" s="268" t="s">
        <v>384</v>
      </c>
      <c r="J7" s="269"/>
      <c r="K7" s="266" t="s">
        <v>225</v>
      </c>
      <c r="L7" s="266"/>
      <c r="M7" s="266"/>
      <c r="N7" s="266"/>
      <c r="O7" s="266"/>
      <c r="P7" s="266" t="s">
        <v>11</v>
      </c>
    </row>
    <row r="8" spans="2:17" ht="30" customHeight="1">
      <c r="B8" s="262"/>
      <c r="C8" s="264"/>
      <c r="D8" s="259"/>
      <c r="E8" s="264"/>
      <c r="F8" s="204" t="s">
        <v>325</v>
      </c>
      <c r="G8" s="204" t="s">
        <v>231</v>
      </c>
      <c r="H8" s="204" t="s">
        <v>201</v>
      </c>
      <c r="I8" s="204" t="s">
        <v>325</v>
      </c>
      <c r="J8" s="204" t="s">
        <v>235</v>
      </c>
      <c r="K8" s="204" t="s">
        <v>378</v>
      </c>
      <c r="L8" s="204" t="s">
        <v>379</v>
      </c>
      <c r="M8" s="204" t="s">
        <v>380</v>
      </c>
      <c r="N8" s="204" t="s">
        <v>381</v>
      </c>
      <c r="O8" s="204" t="s">
        <v>382</v>
      </c>
      <c r="P8" s="266"/>
    </row>
    <row r="9" spans="2:17" ht="31.5">
      <c r="B9" s="263"/>
      <c r="C9" s="265"/>
      <c r="D9" s="260"/>
      <c r="E9" s="265"/>
      <c r="F9" s="204" t="s">
        <v>10</v>
      </c>
      <c r="G9" s="204" t="s">
        <v>12</v>
      </c>
      <c r="H9" s="204" t="s">
        <v>232</v>
      </c>
      <c r="I9" s="204" t="s">
        <v>10</v>
      </c>
      <c r="J9" s="204" t="s">
        <v>5</v>
      </c>
      <c r="K9" s="204" t="s">
        <v>8</v>
      </c>
      <c r="L9" s="204" t="s">
        <v>8</v>
      </c>
      <c r="M9" s="204" t="s">
        <v>8</v>
      </c>
      <c r="N9" s="204" t="s">
        <v>8</v>
      </c>
      <c r="O9" s="204" t="s">
        <v>8</v>
      </c>
      <c r="P9" s="267"/>
    </row>
    <row r="10" spans="2:17" ht="15.75">
      <c r="B10" s="228" t="s">
        <v>55</v>
      </c>
      <c r="C10" s="227" t="s">
        <v>238</v>
      </c>
      <c r="D10" s="209"/>
      <c r="E10" s="209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29"/>
    </row>
    <row r="11" spans="2:17" ht="15.75">
      <c r="B11" s="8">
        <v>1</v>
      </c>
      <c r="C11" s="9" t="s">
        <v>36</v>
      </c>
      <c r="D11" s="8" t="s">
        <v>198</v>
      </c>
      <c r="E11" s="230" t="s">
        <v>273</v>
      </c>
      <c r="F11" s="231">
        <f>'F2'!E14</f>
        <v>87.204149999999998</v>
      </c>
      <c r="G11" s="231">
        <f>'F2'!F14</f>
        <v>191.14436126420318</v>
      </c>
      <c r="H11" s="231">
        <f>'F2'!G14</f>
        <v>191.14436126420318</v>
      </c>
      <c r="I11" s="231">
        <f>'F2'!H14</f>
        <v>91.588859999999997</v>
      </c>
      <c r="J11" s="231">
        <f>'F2'!I14</f>
        <v>179.44513133951952</v>
      </c>
      <c r="K11" s="231">
        <f>'F2'!J14</f>
        <v>147.44700843129681</v>
      </c>
      <c r="L11" s="231">
        <f>'F2'!K14</f>
        <v>155.69912960771103</v>
      </c>
      <c r="M11" s="231">
        <f>'F2'!L14</f>
        <v>163.55076686560898</v>
      </c>
      <c r="N11" s="231">
        <f>'F2'!M14</f>
        <v>171.85181087930258</v>
      </c>
      <c r="O11" s="231">
        <f>'F2'!N14</f>
        <v>180.62803381857498</v>
      </c>
      <c r="P11" s="232"/>
    </row>
    <row r="12" spans="2:17" ht="15.75">
      <c r="B12" s="8">
        <f t="shared" ref="B12:B17" si="0">B11+1</f>
        <v>2</v>
      </c>
      <c r="C12" s="11" t="s">
        <v>157</v>
      </c>
      <c r="D12" s="8" t="s">
        <v>198</v>
      </c>
      <c r="E12" s="230" t="s">
        <v>23</v>
      </c>
      <c r="F12" s="233">
        <v>86.43</v>
      </c>
      <c r="G12" s="233">
        <f>H12</f>
        <v>59.303761904761892</v>
      </c>
      <c r="H12" s="231">
        <f>'F4'!K21-'F4'!L21</f>
        <v>59.303761904761892</v>
      </c>
      <c r="I12" s="232">
        <v>86.433999999999997</v>
      </c>
      <c r="J12" s="231">
        <f>'F4'!K38-'F4'!L38</f>
        <v>59.852682865276883</v>
      </c>
      <c r="K12" s="231">
        <f>'F4'!K47-'F4'!L47</f>
        <v>60.25734772422426</v>
      </c>
      <c r="L12" s="231">
        <f>'F4'!K56-'F4'!L56</f>
        <v>68.317347724224248</v>
      </c>
      <c r="M12" s="231">
        <f>'F4'!K65-'F4'!L65</f>
        <v>68.317347724224263</v>
      </c>
      <c r="N12" s="231">
        <f>'F4'!K74-'F4'!L74</f>
        <v>68.317347724224248</v>
      </c>
      <c r="O12" s="231">
        <f>'F4'!K83-'F4'!L83</f>
        <v>68.317347724224234</v>
      </c>
      <c r="P12" s="232"/>
    </row>
    <row r="13" spans="2:17" ht="15.75">
      <c r="B13" s="8">
        <f t="shared" si="0"/>
        <v>3</v>
      </c>
      <c r="C13" s="9" t="s">
        <v>236</v>
      </c>
      <c r="D13" s="8" t="s">
        <v>198</v>
      </c>
      <c r="E13" s="10" t="s">
        <v>29</v>
      </c>
      <c r="F13" s="231">
        <f>'F5'!D22</f>
        <v>56.28</v>
      </c>
      <c r="G13" s="231">
        <f>'F5'!E22</f>
        <v>55.304431224422359</v>
      </c>
      <c r="H13" s="231">
        <f>'F5'!F22</f>
        <v>55.304431224422359</v>
      </c>
      <c r="I13" s="231">
        <f>'F5'!G22</f>
        <v>47.51</v>
      </c>
      <c r="J13" s="231">
        <f>'F5'!H22</f>
        <v>49.994151916660613</v>
      </c>
      <c r="K13" s="231">
        <f>'F5'!I22</f>
        <v>49.927160364243413</v>
      </c>
      <c r="L13" s="231">
        <f>'F5'!J22</f>
        <v>49.128624570234663</v>
      </c>
      <c r="M13" s="231">
        <f>'F5'!K22</f>
        <v>42.194413776225907</v>
      </c>
      <c r="N13" s="231">
        <f>'F5'!L22</f>
        <v>35.26020298221713</v>
      </c>
      <c r="O13" s="231">
        <f>'F5'!M22</f>
        <v>28.32599218820835</v>
      </c>
      <c r="P13" s="232"/>
    </row>
    <row r="14" spans="2:17" ht="15.75">
      <c r="B14" s="8">
        <f t="shared" si="0"/>
        <v>4</v>
      </c>
      <c r="C14" s="11" t="s">
        <v>37</v>
      </c>
      <c r="D14" s="8" t="s">
        <v>198</v>
      </c>
      <c r="E14" s="10" t="s">
        <v>30</v>
      </c>
      <c r="F14" s="231">
        <f>'F6'!D20</f>
        <v>8.41</v>
      </c>
      <c r="G14" s="231">
        <f ca="1">'F6'!E20</f>
        <v>12.740815670663981</v>
      </c>
      <c r="H14" s="231">
        <f ca="1">'F6'!F20</f>
        <v>12.740815670663981</v>
      </c>
      <c r="I14" s="231">
        <f>'F6'!G20</f>
        <v>8.66</v>
      </c>
      <c r="J14" s="231">
        <f ca="1">'F6'!H20</f>
        <v>13.06995112824745</v>
      </c>
      <c r="K14" s="231">
        <f ca="1">'F6'!I20</f>
        <v>10.933461252924641</v>
      </c>
      <c r="L14" s="231">
        <f ca="1">'F6'!J20</f>
        <v>11.433991580388509</v>
      </c>
      <c r="M14" s="231">
        <f ca="1">'F6'!K20</f>
        <v>11.512870814780005</v>
      </c>
      <c r="N14" s="231">
        <f ca="1">'F6'!L20</f>
        <v>11.601294457872733</v>
      </c>
      <c r="O14" s="231">
        <f ca="1">'F6'!M20</f>
        <v>11.699809853733862</v>
      </c>
      <c r="P14" s="232"/>
    </row>
    <row r="15" spans="2:17" ht="15.75">
      <c r="B15" s="8">
        <f t="shared" si="0"/>
        <v>5</v>
      </c>
      <c r="C15" s="9" t="s">
        <v>237</v>
      </c>
      <c r="D15" s="8" t="s">
        <v>198</v>
      </c>
      <c r="E15" s="10" t="s">
        <v>31</v>
      </c>
      <c r="F15" s="231">
        <f>'F7'!D22</f>
        <v>202.47403096494577</v>
      </c>
      <c r="G15" s="231">
        <f>'F7'!E22</f>
        <v>223.70213035233417</v>
      </c>
      <c r="H15" s="231">
        <f>'F7'!F22</f>
        <v>223.70213035233417</v>
      </c>
      <c r="I15" s="231">
        <f>'F7'!G22</f>
        <v>202.47403096494577</v>
      </c>
      <c r="J15" s="231">
        <f>'F7'!H22</f>
        <v>224.38818031826887</v>
      </c>
      <c r="K15" s="231">
        <f>'F7'!I22</f>
        <v>230.00085270441377</v>
      </c>
      <c r="L15" s="231">
        <f>'F7'!J22</f>
        <v>235.33239535996222</v>
      </c>
      <c r="M15" s="231">
        <f>'F7'!K22</f>
        <v>235.33239535996222</v>
      </c>
      <c r="N15" s="231">
        <f>'F7'!L22</f>
        <v>235.33239535996222</v>
      </c>
      <c r="O15" s="231">
        <f>'F7'!M22</f>
        <v>235.33239535996222</v>
      </c>
      <c r="P15" s="232"/>
    </row>
    <row r="16" spans="2:17" ht="15.75">
      <c r="B16" s="8">
        <f t="shared" si="0"/>
        <v>6</v>
      </c>
      <c r="C16" s="9" t="s">
        <v>38</v>
      </c>
      <c r="D16" s="8" t="s">
        <v>198</v>
      </c>
      <c r="E16" s="10" t="s">
        <v>32</v>
      </c>
      <c r="F16" s="231"/>
      <c r="G16" s="231">
        <f>'F8'!E22</f>
        <v>4.2075203437708666</v>
      </c>
      <c r="H16" s="231">
        <f>'F8'!F22</f>
        <v>4.2075203437708666</v>
      </c>
      <c r="I16" s="231"/>
      <c r="J16" s="231">
        <f>'F8'!H22</f>
        <v>1.169671266055911</v>
      </c>
      <c r="K16" s="231">
        <f>'F8'!I22</f>
        <v>2.8103606532061276</v>
      </c>
      <c r="L16" s="231">
        <f>'F8'!J22</f>
        <v>2.922775079334373</v>
      </c>
      <c r="M16" s="231">
        <f>'F8'!K22</f>
        <v>3.0396860825077479</v>
      </c>
      <c r="N16" s="231">
        <f>'F8'!L22</f>
        <v>3.161273525808058</v>
      </c>
      <c r="O16" s="231">
        <f>'F8'!M22</f>
        <v>3.2877244668403809</v>
      </c>
      <c r="P16" s="232"/>
    </row>
    <row r="17" spans="2:16" ht="15.75">
      <c r="B17" s="18">
        <f t="shared" si="0"/>
        <v>7</v>
      </c>
      <c r="C17" s="234" t="s">
        <v>238</v>
      </c>
      <c r="D17" s="18" t="s">
        <v>198</v>
      </c>
      <c r="E17" s="10"/>
      <c r="F17" s="231">
        <f>SUM(F11:F16)</f>
        <v>440.7981809649458</v>
      </c>
      <c r="G17" s="231">
        <f ca="1">SUM(G11:G15)-G16</f>
        <v>537.98798007261473</v>
      </c>
      <c r="H17" s="231">
        <f t="shared" ref="H17:O17" ca="1" si="1">SUM(H11:H15)-H16</f>
        <v>537.98798007261473</v>
      </c>
      <c r="I17" s="231">
        <f t="shared" si="1"/>
        <v>436.66689096494576</v>
      </c>
      <c r="J17" s="231">
        <f t="shared" ca="1" si="1"/>
        <v>525.58042630191733</v>
      </c>
      <c r="K17" s="231">
        <f t="shared" ca="1" si="1"/>
        <v>495.75546982389676</v>
      </c>
      <c r="L17" s="231">
        <f t="shared" ca="1" si="1"/>
        <v>516.98871376318618</v>
      </c>
      <c r="M17" s="231">
        <f t="shared" ca="1" si="1"/>
        <v>517.8681084582937</v>
      </c>
      <c r="N17" s="231">
        <f t="shared" ca="1" si="1"/>
        <v>519.20177787777084</v>
      </c>
      <c r="O17" s="231">
        <f t="shared" ca="1" si="1"/>
        <v>521.0158544778634</v>
      </c>
      <c r="P17" s="232"/>
    </row>
    <row r="18" spans="2:16" ht="15.75">
      <c r="B18" s="18" t="s">
        <v>59</v>
      </c>
      <c r="C18" s="18" t="s">
        <v>239</v>
      </c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2:16" ht="15.75">
      <c r="B19" s="8">
        <v>1</v>
      </c>
      <c r="C19" s="10" t="s">
        <v>240</v>
      </c>
      <c r="D19" s="8" t="s">
        <v>197</v>
      </c>
      <c r="E19" s="10" t="s">
        <v>153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9"/>
    </row>
    <row r="20" spans="2:16" ht="15.75">
      <c r="B20" s="8">
        <f>B19+1</f>
        <v>2</v>
      </c>
      <c r="C20" s="10" t="s">
        <v>241</v>
      </c>
      <c r="D20" s="8" t="s">
        <v>42</v>
      </c>
      <c r="E20" s="10" t="s">
        <v>34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9"/>
    </row>
    <row r="21" spans="2:16" ht="15.75">
      <c r="B21" s="8">
        <f>B20+1</f>
        <v>3</v>
      </c>
      <c r="C21" s="10" t="s">
        <v>239</v>
      </c>
      <c r="D21" s="8" t="s">
        <v>198</v>
      </c>
      <c r="E21" s="10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9"/>
    </row>
    <row r="22" spans="2:16" ht="15.75">
      <c r="B22" s="18" t="s">
        <v>60</v>
      </c>
      <c r="C22" s="18" t="s">
        <v>360</v>
      </c>
      <c r="D22" s="8" t="s">
        <v>198</v>
      </c>
      <c r="E22" s="9"/>
      <c r="F22" s="231">
        <f>F17+F21</f>
        <v>440.7981809649458</v>
      </c>
      <c r="G22" s="231">
        <f t="shared" ref="G22:O22" ca="1" si="2">G17+G21</f>
        <v>537.98798007261473</v>
      </c>
      <c r="H22" s="231">
        <f t="shared" ca="1" si="2"/>
        <v>537.98798007261473</v>
      </c>
      <c r="I22" s="231">
        <f t="shared" si="2"/>
        <v>436.66689096494576</v>
      </c>
      <c r="J22" s="231">
        <f t="shared" ca="1" si="2"/>
        <v>525.58042630191733</v>
      </c>
      <c r="K22" s="231">
        <f t="shared" ca="1" si="2"/>
        <v>495.75546982389676</v>
      </c>
      <c r="L22" s="231">
        <f t="shared" ca="1" si="2"/>
        <v>516.98871376318618</v>
      </c>
      <c r="M22" s="231">
        <f t="shared" ca="1" si="2"/>
        <v>517.8681084582937</v>
      </c>
      <c r="N22" s="231">
        <f t="shared" ca="1" si="2"/>
        <v>519.20177787777084</v>
      </c>
      <c r="O22" s="231">
        <f t="shared" ca="1" si="2"/>
        <v>521.0158544778634</v>
      </c>
      <c r="P22" s="9"/>
    </row>
    <row r="23" spans="2:16" hidden="1">
      <c r="F23" s="247">
        <f>SUM(F17+F16)</f>
        <v>440.7981809649458</v>
      </c>
      <c r="G23" s="247">
        <f ca="1">SUM(G17+G16)</f>
        <v>542.19550041638558</v>
      </c>
      <c r="H23" s="247">
        <f t="shared" ref="H23:O23" ca="1" si="3">SUM(H17+H16)</f>
        <v>542.19550041638558</v>
      </c>
      <c r="I23" s="247">
        <f t="shared" si="3"/>
        <v>436.66689096494576</v>
      </c>
      <c r="J23" s="247">
        <f t="shared" ca="1" si="3"/>
        <v>526.75009756797328</v>
      </c>
      <c r="K23" s="247">
        <f t="shared" ca="1" si="3"/>
        <v>498.56583047710291</v>
      </c>
      <c r="L23" s="247">
        <f t="shared" ca="1" si="3"/>
        <v>519.91148884252061</v>
      </c>
      <c r="M23" s="247">
        <f t="shared" ca="1" si="3"/>
        <v>520.90779454080143</v>
      </c>
      <c r="N23" s="247">
        <f t="shared" ca="1" si="3"/>
        <v>522.36305140357888</v>
      </c>
      <c r="O23" s="247">
        <f t="shared" ca="1" si="3"/>
        <v>524.30357894470376</v>
      </c>
    </row>
    <row r="24" spans="2:16">
      <c r="G24" s="253"/>
    </row>
  </sheetData>
  <mergeCells count="11">
    <mergeCell ref="B2:P2"/>
    <mergeCell ref="B3:P3"/>
    <mergeCell ref="B4:P4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8"/>
  <sheetViews>
    <sheetView showGridLines="0" topLeftCell="A2" zoomScale="80" zoomScaleNormal="80" zoomScaleSheetLayoutView="80" workbookViewId="0">
      <selection activeCell="C32" sqref="C32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 customHeight="1">
      <c r="C1" s="39"/>
      <c r="D1" s="39"/>
      <c r="E1" s="39"/>
      <c r="F1" s="39"/>
      <c r="G1" s="39"/>
      <c r="I1" s="36"/>
      <c r="J1" s="39"/>
    </row>
    <row r="2" spans="2:14" ht="15" customHeight="1">
      <c r="B2" s="271" t="s">
        <v>401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</row>
    <row r="3" spans="2:14" ht="15">
      <c r="B3" s="271" t="s">
        <v>377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</row>
    <row r="4" spans="2:14" ht="15">
      <c r="B4" s="272" t="s">
        <v>332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</row>
    <row r="5" spans="2:14" ht="15">
      <c r="B5" s="38"/>
      <c r="C5" s="38"/>
      <c r="D5" s="38"/>
      <c r="E5" s="38"/>
      <c r="F5" s="38"/>
      <c r="G5" s="38"/>
      <c r="H5" s="38"/>
      <c r="I5" s="38"/>
      <c r="J5" s="38"/>
    </row>
    <row r="6" spans="2:14" ht="15">
      <c r="B6" s="273" t="s">
        <v>56</v>
      </c>
      <c r="C6" s="273"/>
      <c r="D6" s="273"/>
      <c r="E6" s="273"/>
      <c r="F6" s="273"/>
      <c r="G6" s="273"/>
      <c r="H6" s="273"/>
      <c r="I6" s="273"/>
      <c r="J6" s="273"/>
    </row>
    <row r="7" spans="2:14" ht="15">
      <c r="N7" s="28" t="s">
        <v>4</v>
      </c>
    </row>
    <row r="8" spans="2:14" ht="15" customHeight="1">
      <c r="B8" s="274" t="s">
        <v>186</v>
      </c>
      <c r="C8" s="274" t="s">
        <v>18</v>
      </c>
      <c r="D8" s="279" t="s">
        <v>1</v>
      </c>
      <c r="E8" s="276" t="s">
        <v>383</v>
      </c>
      <c r="F8" s="277"/>
      <c r="G8" s="278"/>
      <c r="H8" s="276" t="s">
        <v>384</v>
      </c>
      <c r="I8" s="277"/>
      <c r="J8" s="275" t="s">
        <v>225</v>
      </c>
      <c r="K8" s="275"/>
      <c r="L8" s="275"/>
      <c r="M8" s="275"/>
      <c r="N8" s="275"/>
    </row>
    <row r="9" spans="2:14" ht="30">
      <c r="B9" s="274"/>
      <c r="C9" s="274"/>
      <c r="D9" s="280"/>
      <c r="E9" s="21" t="s">
        <v>325</v>
      </c>
      <c r="F9" s="21" t="s">
        <v>243</v>
      </c>
      <c r="G9" s="21" t="s">
        <v>201</v>
      </c>
      <c r="H9" s="21" t="s">
        <v>325</v>
      </c>
      <c r="I9" s="21" t="s">
        <v>242</v>
      </c>
      <c r="J9" s="21" t="s">
        <v>378</v>
      </c>
      <c r="K9" s="21" t="s">
        <v>379</v>
      </c>
      <c r="L9" s="21" t="s">
        <v>380</v>
      </c>
      <c r="M9" s="21" t="s">
        <v>381</v>
      </c>
      <c r="N9" s="21" t="s">
        <v>382</v>
      </c>
    </row>
    <row r="10" spans="2:14" ht="15">
      <c r="B10" s="274"/>
      <c r="C10" s="274"/>
      <c r="D10" s="281"/>
      <c r="E10" s="21" t="s">
        <v>10</v>
      </c>
      <c r="F10" s="21" t="s">
        <v>12</v>
      </c>
      <c r="G10" s="21" t="s">
        <v>232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4">
      <c r="B11" s="23">
        <v>1</v>
      </c>
      <c r="C11" s="31" t="s">
        <v>57</v>
      </c>
      <c r="D11" s="31" t="s">
        <v>24</v>
      </c>
      <c r="E11" s="160">
        <v>71.3</v>
      </c>
      <c r="F11" s="167">
        <f>F2.1!G36</f>
        <v>148.25855273897224</v>
      </c>
      <c r="G11" s="167">
        <f>F11</f>
        <v>148.25855273897224</v>
      </c>
      <c r="H11" s="160">
        <v>75.569999999999993</v>
      </c>
      <c r="I11" s="167">
        <f>F2.1!H36</f>
        <v>151.85734614603427</v>
      </c>
      <c r="J11" s="167">
        <f>F2.1!I36</f>
        <v>117.10907256271543</v>
      </c>
      <c r="K11" s="167">
        <f>F2.1!J36</f>
        <v>123.90139877135293</v>
      </c>
      <c r="L11" s="167">
        <f>F2.1!K36</f>
        <v>131.08767990009142</v>
      </c>
      <c r="M11" s="167">
        <f>F2.1!L36</f>
        <v>138.69076533429671</v>
      </c>
      <c r="N11" s="167">
        <f>F2.1!M36</f>
        <v>146.73482972368592</v>
      </c>
    </row>
    <row r="12" spans="2:14">
      <c r="B12" s="23">
        <f>B11+1</f>
        <v>2</v>
      </c>
      <c r="C12" s="40" t="s">
        <v>244</v>
      </c>
      <c r="D12" s="40" t="s">
        <v>25</v>
      </c>
      <c r="E12" s="165">
        <v>7.2649999999999997</v>
      </c>
      <c r="F12" s="168">
        <f>F2.2!G40</f>
        <v>10.901281686694801</v>
      </c>
      <c r="G12" s="167">
        <f>F12</f>
        <v>10.901281686694801</v>
      </c>
      <c r="H12" s="160">
        <v>7.4240000000000004</v>
      </c>
      <c r="I12" s="167">
        <f>F2.2!H40</f>
        <v>13.876139904034488</v>
      </c>
      <c r="J12" s="167">
        <f>F2.2!I40</f>
        <v>12.944419936566856</v>
      </c>
      <c r="K12" s="167">
        <f>F2.2!J40</f>
        <v>13.578696513458631</v>
      </c>
      <c r="L12" s="167">
        <f>F2.2!K40</f>
        <v>14.244052642618103</v>
      </c>
      <c r="M12" s="167">
        <f>F2.2!L40</f>
        <v>14.942011222106389</v>
      </c>
      <c r="N12" s="167">
        <f>F2.2!M40</f>
        <v>15.674169771989602</v>
      </c>
    </row>
    <row r="13" spans="2:14">
      <c r="B13" s="23">
        <f>B12+1</f>
        <v>3</v>
      </c>
      <c r="C13" s="31" t="s">
        <v>203</v>
      </c>
      <c r="D13" s="31" t="s">
        <v>274</v>
      </c>
      <c r="E13" s="160">
        <v>9.52</v>
      </c>
      <c r="F13" s="167">
        <f>F2.3!G18</f>
        <v>31.984526838536137</v>
      </c>
      <c r="G13" s="167">
        <f>F13</f>
        <v>31.984526838536137</v>
      </c>
      <c r="H13" s="160">
        <v>9.52</v>
      </c>
      <c r="I13" s="167">
        <f>F2.3!H18</f>
        <v>13.711645289450747</v>
      </c>
      <c r="J13" s="167">
        <f>F2.3!I18</f>
        <v>17.39351593201453</v>
      </c>
      <c r="K13" s="167">
        <f>F2.3!J18</f>
        <v>18.219034322899464</v>
      </c>
      <c r="L13" s="167">
        <f>F2.3!K18</f>
        <v>18.219034322899464</v>
      </c>
      <c r="M13" s="167">
        <f>F2.3!L18</f>
        <v>18.219034322899464</v>
      </c>
      <c r="N13" s="167">
        <f>F2.3!M18</f>
        <v>18.219034322899464</v>
      </c>
    </row>
    <row r="14" spans="2:14" ht="15">
      <c r="B14" s="23">
        <f>B13+1</f>
        <v>4</v>
      </c>
      <c r="C14" s="31" t="s">
        <v>58</v>
      </c>
      <c r="D14" s="31"/>
      <c r="E14" s="128">
        <f>SUM(E11:E13)*0.99</f>
        <v>87.204149999999998</v>
      </c>
      <c r="F14" s="128">
        <f t="shared" ref="F14:I14" si="0">SUM(F11:F13)</f>
        <v>191.14436126420318</v>
      </c>
      <c r="G14" s="128">
        <f>SUM(G11:G13)</f>
        <v>191.14436126420318</v>
      </c>
      <c r="H14" s="128">
        <f>SUM(H11:H13)*0.99</f>
        <v>91.588859999999997</v>
      </c>
      <c r="I14" s="128">
        <f t="shared" si="0"/>
        <v>179.44513133951952</v>
      </c>
      <c r="J14" s="128">
        <f>SUM(J11:J13)</f>
        <v>147.44700843129681</v>
      </c>
      <c r="K14" s="128">
        <f t="shared" ref="K14:N14" si="1">SUM(K11:K13)</f>
        <v>155.69912960771103</v>
      </c>
      <c r="L14" s="128">
        <f t="shared" si="1"/>
        <v>163.55076686560898</v>
      </c>
      <c r="M14" s="128">
        <f t="shared" si="1"/>
        <v>171.85181087930258</v>
      </c>
      <c r="N14" s="128">
        <f t="shared" si="1"/>
        <v>180.62803381857498</v>
      </c>
    </row>
    <row r="15" spans="2:14">
      <c r="B15" s="49" t="s">
        <v>245</v>
      </c>
      <c r="C15" s="50"/>
      <c r="D15" s="47"/>
      <c r="E15" s="47"/>
      <c r="F15" s="47"/>
      <c r="G15" s="48"/>
      <c r="H15" s="48"/>
      <c r="I15" s="48"/>
      <c r="J15" s="48"/>
      <c r="K15" s="48"/>
      <c r="L15" s="48"/>
      <c r="M15" s="48"/>
      <c r="N15" s="48"/>
    </row>
    <row r="16" spans="2:14">
      <c r="B16" s="51">
        <v>1</v>
      </c>
      <c r="C16" s="50" t="s">
        <v>246</v>
      </c>
    </row>
    <row r="18" spans="2:2">
      <c r="B18" s="37"/>
    </row>
  </sheetData>
  <mergeCells count="10">
    <mergeCell ref="B2:N2"/>
    <mergeCell ref="B3:N3"/>
    <mergeCell ref="B4:N4"/>
    <mergeCell ref="B6:J6"/>
    <mergeCell ref="B8:B10"/>
    <mergeCell ref="C8:C10"/>
    <mergeCell ref="J8:N8"/>
    <mergeCell ref="H8:I8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M39"/>
  <sheetViews>
    <sheetView showGridLines="0" topLeftCell="A7" zoomScale="80" zoomScaleNormal="80" zoomScaleSheetLayoutView="70" workbookViewId="0">
      <selection activeCell="O31" sqref="O31"/>
    </sheetView>
  </sheetViews>
  <sheetFormatPr defaultColWidth="9.28515625" defaultRowHeight="14.25"/>
  <cols>
    <col min="1" max="1" width="3.42578125" style="19" customWidth="1"/>
    <col min="2" max="2" width="7" style="19" customWidth="1"/>
    <col min="3" max="3" width="47" style="19" customWidth="1"/>
    <col min="4" max="4" width="14" style="19" customWidth="1"/>
    <col min="5" max="5" width="14.42578125" style="19" customWidth="1"/>
    <col min="6" max="6" width="13.140625" style="19" customWidth="1"/>
    <col min="7" max="7" width="13.7109375" style="19" customWidth="1"/>
    <col min="8" max="8" width="14.4257812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>
      <c r="C2" s="5"/>
      <c r="D2" s="5"/>
      <c r="E2" s="5"/>
      <c r="F2" s="5"/>
      <c r="G2" s="5"/>
      <c r="H2" s="5"/>
    </row>
    <row r="3" spans="2:13" ht="15">
      <c r="B3" s="271" t="s">
        <v>408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</row>
    <row r="4" spans="2:13" s="4" customFormat="1" ht="15">
      <c r="B4" s="271" t="s">
        <v>409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</row>
    <row r="5" spans="2:13" s="4" customFormat="1" ht="15">
      <c r="B5" s="284" t="s">
        <v>414</v>
      </c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</row>
    <row r="6" spans="2:13" ht="15">
      <c r="M6" s="28" t="s">
        <v>4</v>
      </c>
    </row>
    <row r="7" spans="2:13" ht="12.75" customHeight="1">
      <c r="B7" s="282" t="s">
        <v>2</v>
      </c>
      <c r="C7" s="282" t="s">
        <v>18</v>
      </c>
      <c r="D7" s="21" t="s">
        <v>385</v>
      </c>
      <c r="E7" s="21" t="s">
        <v>386</v>
      </c>
      <c r="F7" s="21" t="s">
        <v>387</v>
      </c>
      <c r="G7" s="21" t="s">
        <v>383</v>
      </c>
      <c r="H7" s="21" t="s">
        <v>384</v>
      </c>
      <c r="I7" s="275" t="s">
        <v>225</v>
      </c>
      <c r="J7" s="275"/>
      <c r="K7" s="275"/>
      <c r="L7" s="275"/>
      <c r="M7" s="275"/>
    </row>
    <row r="8" spans="2:13" ht="15">
      <c r="B8" s="282"/>
      <c r="C8" s="282"/>
      <c r="D8" s="21" t="s">
        <v>243</v>
      </c>
      <c r="E8" s="21" t="s">
        <v>243</v>
      </c>
      <c r="F8" s="21" t="s">
        <v>243</v>
      </c>
      <c r="G8" s="21" t="s">
        <v>243</v>
      </c>
      <c r="H8" s="21" t="s">
        <v>242</v>
      </c>
      <c r="I8" s="21" t="s">
        <v>378</v>
      </c>
      <c r="J8" s="21" t="s">
        <v>379</v>
      </c>
      <c r="K8" s="21" t="s">
        <v>380</v>
      </c>
      <c r="L8" s="21" t="s">
        <v>381</v>
      </c>
      <c r="M8" s="21" t="s">
        <v>382</v>
      </c>
    </row>
    <row r="9" spans="2:13" ht="15">
      <c r="B9" s="283"/>
      <c r="C9" s="282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42" t="s">
        <v>61</v>
      </c>
      <c r="D10" s="159"/>
      <c r="E10" s="159"/>
      <c r="F10" s="159"/>
      <c r="G10" s="156">
        <v>62.250226131563686</v>
      </c>
      <c r="H10" s="235">
        <v>64.187029833594778</v>
      </c>
      <c r="I10" s="3"/>
      <c r="J10" s="3"/>
      <c r="K10" s="3"/>
      <c r="L10" s="3"/>
      <c r="M10" s="3"/>
    </row>
    <row r="11" spans="2:13">
      <c r="B11" s="2">
        <v>2</v>
      </c>
      <c r="C11" s="42" t="s">
        <v>62</v>
      </c>
      <c r="D11" s="159"/>
      <c r="E11" s="159"/>
      <c r="F11" s="159"/>
      <c r="G11" s="156">
        <v>2.6062465325847377</v>
      </c>
      <c r="H11" s="235">
        <v>5.2301150327225123</v>
      </c>
      <c r="I11" s="3"/>
      <c r="J11" s="3"/>
      <c r="K11" s="3"/>
      <c r="L11" s="3"/>
      <c r="M11" s="3"/>
    </row>
    <row r="12" spans="2:13">
      <c r="B12" s="2">
        <v>3</v>
      </c>
      <c r="C12" s="3" t="s">
        <v>63</v>
      </c>
      <c r="D12" s="156"/>
      <c r="E12" s="156"/>
      <c r="F12" s="156"/>
      <c r="G12" s="156">
        <v>4.2073431755338992</v>
      </c>
      <c r="H12" s="235">
        <v>4.2754610878037269</v>
      </c>
      <c r="I12" s="3"/>
      <c r="J12" s="3"/>
      <c r="K12" s="3"/>
      <c r="L12" s="3"/>
      <c r="M12" s="3"/>
    </row>
    <row r="13" spans="2:13">
      <c r="B13" s="2">
        <v>4</v>
      </c>
      <c r="C13" s="42" t="s">
        <v>64</v>
      </c>
      <c r="D13" s="159"/>
      <c r="E13" s="159"/>
      <c r="F13" s="159"/>
      <c r="G13" s="156">
        <v>0.46983821986800917</v>
      </c>
      <c r="H13" s="235">
        <v>0.44005902179280398</v>
      </c>
      <c r="I13" s="3"/>
      <c r="J13" s="3"/>
      <c r="K13" s="3"/>
      <c r="L13" s="3"/>
      <c r="M13" s="3"/>
    </row>
    <row r="14" spans="2:13">
      <c r="B14" s="2">
        <v>5</v>
      </c>
      <c r="C14" s="42" t="s">
        <v>65</v>
      </c>
      <c r="D14" s="159"/>
      <c r="E14" s="159"/>
      <c r="F14" s="159"/>
      <c r="G14" s="156">
        <v>4.0786085454797775E-4</v>
      </c>
      <c r="H14" s="235">
        <v>6.4517074103428388E-4</v>
      </c>
      <c r="I14" s="3"/>
      <c r="J14" s="3"/>
      <c r="K14" s="3"/>
      <c r="L14" s="3"/>
      <c r="M14" s="3"/>
    </row>
    <row r="15" spans="2:13">
      <c r="B15" s="2">
        <v>6</v>
      </c>
      <c r="C15" s="3" t="s">
        <v>66</v>
      </c>
      <c r="D15" s="156"/>
      <c r="E15" s="156"/>
      <c r="F15" s="156"/>
      <c r="G15" s="156">
        <v>31.050397024959523</v>
      </c>
      <c r="H15" s="235">
        <v>15.383642013742239</v>
      </c>
      <c r="I15" s="3"/>
      <c r="J15" s="3"/>
      <c r="K15" s="3"/>
      <c r="L15" s="3"/>
      <c r="M15" s="3"/>
    </row>
    <row r="16" spans="2:13">
      <c r="B16" s="2">
        <v>7</v>
      </c>
      <c r="C16" s="42" t="s">
        <v>67</v>
      </c>
      <c r="D16" s="159"/>
      <c r="E16" s="159"/>
      <c r="F16" s="159"/>
      <c r="G16" s="156">
        <v>11.367858386511816</v>
      </c>
      <c r="H16" s="235">
        <v>8.3573911951752553</v>
      </c>
      <c r="I16" s="3"/>
      <c r="J16" s="3"/>
      <c r="K16" s="3"/>
      <c r="L16" s="3"/>
      <c r="M16" s="3"/>
    </row>
    <row r="17" spans="2:13">
      <c r="B17" s="2">
        <v>8</v>
      </c>
      <c r="C17" s="42" t="s">
        <v>68</v>
      </c>
      <c r="D17" s="159"/>
      <c r="E17" s="159"/>
      <c r="F17" s="159"/>
      <c r="G17" s="156">
        <v>6.216948182872466</v>
      </c>
      <c r="H17" s="235">
        <v>2.7639226607172631</v>
      </c>
      <c r="I17" s="3"/>
      <c r="J17" s="3"/>
      <c r="K17" s="3"/>
      <c r="L17" s="3"/>
      <c r="M17" s="3"/>
    </row>
    <row r="18" spans="2:13">
      <c r="B18" s="2">
        <v>9</v>
      </c>
      <c r="C18" s="42" t="s">
        <v>69</v>
      </c>
      <c r="D18" s="159"/>
      <c r="E18" s="159"/>
      <c r="F18" s="159"/>
      <c r="G18" s="156">
        <v>0</v>
      </c>
      <c r="H18" s="235">
        <v>0</v>
      </c>
      <c r="I18" s="3"/>
      <c r="J18" s="3"/>
      <c r="K18" s="3"/>
      <c r="L18" s="3"/>
      <c r="M18" s="3"/>
    </row>
    <row r="19" spans="2:13">
      <c r="B19" s="2">
        <v>10</v>
      </c>
      <c r="C19" s="42" t="s">
        <v>70</v>
      </c>
      <c r="D19" s="159"/>
      <c r="E19" s="159"/>
      <c r="F19" s="159"/>
      <c r="G19" s="159">
        <v>0</v>
      </c>
      <c r="H19" s="235">
        <v>0</v>
      </c>
      <c r="I19" s="3"/>
      <c r="J19" s="3"/>
      <c r="K19" s="3"/>
      <c r="L19" s="3"/>
      <c r="M19" s="3"/>
    </row>
    <row r="20" spans="2:13">
      <c r="B20" s="2">
        <v>11</v>
      </c>
      <c r="C20" s="42" t="s">
        <v>71</v>
      </c>
      <c r="D20" s="159"/>
      <c r="E20" s="159"/>
      <c r="F20" s="159"/>
      <c r="G20" s="159">
        <v>0</v>
      </c>
      <c r="H20" s="235">
        <v>1.5081091583066832E-3</v>
      </c>
      <c r="I20" s="3"/>
      <c r="J20" s="3"/>
      <c r="K20" s="3"/>
      <c r="L20" s="3"/>
      <c r="M20" s="3"/>
    </row>
    <row r="21" spans="2:13">
      <c r="B21" s="2">
        <v>12</v>
      </c>
      <c r="C21" s="42" t="s">
        <v>72</v>
      </c>
      <c r="D21" s="159"/>
      <c r="E21" s="159"/>
      <c r="F21" s="159"/>
      <c r="G21" s="159">
        <v>2.781738973360754</v>
      </c>
      <c r="H21" s="235">
        <v>2.502403736346444</v>
      </c>
      <c r="I21" s="3"/>
      <c r="J21" s="3"/>
      <c r="K21" s="3"/>
      <c r="L21" s="3"/>
      <c r="M21" s="3"/>
    </row>
    <row r="22" spans="2:13">
      <c r="B22" s="2">
        <v>13</v>
      </c>
      <c r="C22" s="42" t="s">
        <v>73</v>
      </c>
      <c r="D22" s="159"/>
      <c r="E22" s="159"/>
      <c r="F22" s="159"/>
      <c r="G22" s="159">
        <v>0</v>
      </c>
      <c r="H22" s="235">
        <v>0</v>
      </c>
      <c r="I22" s="3"/>
      <c r="J22" s="3"/>
      <c r="K22" s="3"/>
      <c r="L22" s="3"/>
      <c r="M22" s="3"/>
    </row>
    <row r="23" spans="2:13">
      <c r="B23" s="2">
        <v>14</v>
      </c>
      <c r="C23" s="42" t="s">
        <v>74</v>
      </c>
      <c r="D23" s="159"/>
      <c r="E23" s="159"/>
      <c r="F23" s="159"/>
      <c r="G23" s="159">
        <v>0</v>
      </c>
      <c r="H23" s="235">
        <v>0</v>
      </c>
      <c r="I23" s="3"/>
      <c r="J23" s="3"/>
      <c r="K23" s="3"/>
      <c r="L23" s="3"/>
      <c r="M23" s="3"/>
    </row>
    <row r="24" spans="2:13">
      <c r="B24" s="2">
        <v>15</v>
      </c>
      <c r="C24" s="42" t="s">
        <v>75</v>
      </c>
      <c r="D24" s="159"/>
      <c r="E24" s="159"/>
      <c r="F24" s="159"/>
      <c r="G24" s="156">
        <v>0</v>
      </c>
      <c r="H24" s="235">
        <v>0</v>
      </c>
      <c r="I24" s="3"/>
      <c r="J24" s="3"/>
      <c r="K24" s="3"/>
      <c r="L24" s="3"/>
      <c r="M24" s="3"/>
    </row>
    <row r="25" spans="2:13">
      <c r="B25" s="2">
        <v>16</v>
      </c>
      <c r="C25" s="42" t="s">
        <v>76</v>
      </c>
      <c r="D25" s="159"/>
      <c r="E25" s="159"/>
      <c r="F25" s="159"/>
      <c r="G25" s="186">
        <v>0.16671040000000001</v>
      </c>
      <c r="H25" s="235">
        <v>0</v>
      </c>
      <c r="I25" s="3"/>
      <c r="J25" s="3"/>
      <c r="K25" s="3"/>
      <c r="L25" s="3"/>
      <c r="M25" s="3"/>
    </row>
    <row r="26" spans="2:13" ht="15">
      <c r="B26" s="2">
        <v>17</v>
      </c>
      <c r="C26" s="42" t="s">
        <v>77</v>
      </c>
      <c r="D26" s="159"/>
      <c r="E26" s="159"/>
      <c r="F26" s="159"/>
      <c r="G26" s="186">
        <v>121.11771488810943</v>
      </c>
      <c r="H26" s="236">
        <v>103.14217786179435</v>
      </c>
      <c r="I26" s="3"/>
      <c r="J26" s="3"/>
      <c r="K26" s="3"/>
      <c r="L26" s="3"/>
      <c r="M26" s="3"/>
    </row>
    <row r="27" spans="2:13">
      <c r="B27" s="2">
        <v>18</v>
      </c>
      <c r="C27" s="42" t="s">
        <v>78</v>
      </c>
      <c r="D27" s="159"/>
      <c r="E27" s="159"/>
      <c r="F27" s="159"/>
      <c r="G27" s="186">
        <v>0</v>
      </c>
      <c r="H27" s="235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2" t="s">
        <v>79</v>
      </c>
      <c r="D28" s="159"/>
      <c r="E28" s="159"/>
      <c r="F28" s="159"/>
      <c r="G28" s="186">
        <v>5.3033388910135075</v>
      </c>
      <c r="H28" s="235">
        <v>5.5066298375715492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2" t="s">
        <v>80</v>
      </c>
      <c r="D29" s="159"/>
      <c r="E29" s="159"/>
      <c r="F29" s="159"/>
      <c r="G29" s="186">
        <v>0</v>
      </c>
      <c r="H29" s="235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2" t="s">
        <v>81</v>
      </c>
      <c r="D30" s="159"/>
      <c r="E30" s="159"/>
      <c r="F30" s="159"/>
      <c r="G30" s="186">
        <v>0</v>
      </c>
      <c r="H30" s="235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2" t="s">
        <v>82</v>
      </c>
      <c r="D31" s="159"/>
      <c r="E31" s="159"/>
      <c r="F31" s="159"/>
      <c r="G31" s="156">
        <v>21.837498959849302</v>
      </c>
      <c r="H31" s="235">
        <v>43.208538446668364</v>
      </c>
      <c r="I31" s="3"/>
      <c r="J31" s="3"/>
      <c r="K31" s="3"/>
      <c r="L31" s="3"/>
      <c r="M31" s="3"/>
    </row>
    <row r="32" spans="2:13">
      <c r="B32" s="2">
        <v>19</v>
      </c>
      <c r="C32" s="46" t="s">
        <v>359</v>
      </c>
      <c r="D32" s="159"/>
      <c r="E32" s="159"/>
      <c r="F32" s="159"/>
      <c r="G32" s="156">
        <v>0</v>
      </c>
      <c r="H32" s="235">
        <v>0</v>
      </c>
      <c r="I32" s="3"/>
      <c r="J32" s="3"/>
      <c r="K32" s="3"/>
      <c r="L32" s="3"/>
      <c r="M32" s="3"/>
    </row>
    <row r="33" spans="2:13">
      <c r="B33" s="2">
        <v>20</v>
      </c>
      <c r="C33" s="42" t="s">
        <v>83</v>
      </c>
      <c r="D33" s="159"/>
      <c r="E33" s="159"/>
      <c r="F33" s="159"/>
      <c r="G33" s="156">
        <v>0</v>
      </c>
      <c r="H33" s="235">
        <v>0</v>
      </c>
      <c r="I33" s="156">
        <v>117.10907256271543</v>
      </c>
      <c r="J33" s="156">
        <v>123.90139877135293</v>
      </c>
      <c r="K33" s="156">
        <v>131.08767990009142</v>
      </c>
      <c r="L33" s="156">
        <v>138.69076533429671</v>
      </c>
      <c r="M33" s="156">
        <v>146.73482972368592</v>
      </c>
    </row>
    <row r="34" spans="2:13" ht="15">
      <c r="B34" s="20">
        <v>21</v>
      </c>
      <c r="C34" s="43" t="s">
        <v>84</v>
      </c>
      <c r="D34" s="158">
        <f>SUM(D26:D33)</f>
        <v>0</v>
      </c>
      <c r="E34" s="158">
        <f t="shared" ref="E34:G34" si="0">SUM(E26:E33)</f>
        <v>0</v>
      </c>
      <c r="F34" s="158">
        <f t="shared" si="0"/>
        <v>0</v>
      </c>
      <c r="G34" s="158">
        <f t="shared" si="0"/>
        <v>148.25855273897224</v>
      </c>
      <c r="H34" s="158">
        <f t="shared" ref="H34" si="1">SUM(H26:H33)</f>
        <v>151.85734614603427</v>
      </c>
      <c r="I34" s="158">
        <f t="shared" ref="I34" si="2">SUM(I26:I33)</f>
        <v>117.10907256271543</v>
      </c>
      <c r="J34" s="158">
        <f t="shared" ref="J34:M34" si="3">SUM(J10:J33)</f>
        <v>123.90139877135293</v>
      </c>
      <c r="K34" s="158">
        <f t="shared" si="3"/>
        <v>131.08767990009142</v>
      </c>
      <c r="L34" s="158">
        <f t="shared" si="3"/>
        <v>138.69076533429671</v>
      </c>
      <c r="M34" s="158">
        <f t="shared" si="3"/>
        <v>146.73482972368592</v>
      </c>
    </row>
    <row r="35" spans="2:13">
      <c r="B35" s="2">
        <v>22</v>
      </c>
      <c r="C35" s="42" t="s">
        <v>17</v>
      </c>
      <c r="D35" s="159"/>
      <c r="E35" s="159"/>
      <c r="F35" s="159"/>
      <c r="G35" s="156"/>
      <c r="H35" s="156"/>
      <c r="I35" s="156"/>
      <c r="J35" s="156"/>
      <c r="K35" s="156"/>
      <c r="L35" s="156"/>
      <c r="M35" s="156"/>
    </row>
    <row r="36" spans="2:13" ht="15">
      <c r="B36" s="20">
        <v>23</v>
      </c>
      <c r="C36" s="22" t="s">
        <v>85</v>
      </c>
      <c r="D36" s="130">
        <v>53.19</v>
      </c>
      <c r="E36" s="130">
        <v>73.86</v>
      </c>
      <c r="F36" s="130">
        <v>67.260000000000005</v>
      </c>
      <c r="G36" s="130">
        <f t="shared" ref="G36:M36" si="4">G34-G35</f>
        <v>148.25855273897224</v>
      </c>
      <c r="H36" s="130">
        <f t="shared" si="4"/>
        <v>151.85734614603427</v>
      </c>
      <c r="I36" s="130">
        <f t="shared" si="4"/>
        <v>117.10907256271543</v>
      </c>
      <c r="J36" s="130">
        <f t="shared" si="4"/>
        <v>123.90139877135293</v>
      </c>
      <c r="K36" s="130">
        <f t="shared" si="4"/>
        <v>131.08767990009142</v>
      </c>
      <c r="L36" s="130">
        <f t="shared" si="4"/>
        <v>138.69076533429671</v>
      </c>
      <c r="M36" s="130">
        <f t="shared" si="4"/>
        <v>146.73482972368592</v>
      </c>
    </row>
    <row r="38" spans="2:13" ht="15">
      <c r="B38" s="44"/>
    </row>
    <row r="39" spans="2:13">
      <c r="B39" s="45"/>
    </row>
  </sheetData>
  <mergeCells count="6">
    <mergeCell ref="I7:M7"/>
    <mergeCell ref="B7:B9"/>
    <mergeCell ref="C7:C9"/>
    <mergeCell ref="B3:M3"/>
    <mergeCell ref="B4:M4"/>
    <mergeCell ref="B5:M5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zoomScale="80" zoomScaleNormal="80" zoomScaleSheetLayoutView="70" workbookViewId="0">
      <selection activeCell="B5" sqref="B5:M5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>
      <c r="C2" s="5"/>
      <c r="D2" s="5"/>
      <c r="E2" s="5"/>
      <c r="F2" s="5"/>
      <c r="G2" s="5"/>
      <c r="H2" s="5"/>
      <c r="I2" s="5"/>
      <c r="J2" s="5"/>
    </row>
    <row r="3" spans="2:13" ht="15.75">
      <c r="B3" s="254" t="s">
        <v>401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</row>
    <row r="4" spans="2:13" s="4" customFormat="1" ht="15.75">
      <c r="B4" s="254" t="s">
        <v>403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</row>
    <row r="5" spans="2:13" ht="15.75">
      <c r="B5" s="254" t="s">
        <v>410</v>
      </c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</row>
    <row r="6" spans="2:13" ht="15">
      <c r="M6" s="28" t="s">
        <v>4</v>
      </c>
    </row>
    <row r="7" spans="2:13" ht="12.75" customHeight="1">
      <c r="B7" s="285" t="s">
        <v>186</v>
      </c>
      <c r="C7" s="282" t="s">
        <v>18</v>
      </c>
      <c r="D7" s="21" t="s">
        <v>385</v>
      </c>
      <c r="E7" s="21" t="s">
        <v>386</v>
      </c>
      <c r="F7" s="21" t="s">
        <v>387</v>
      </c>
      <c r="G7" s="21" t="s">
        <v>383</v>
      </c>
      <c r="H7" s="21" t="s">
        <v>402</v>
      </c>
      <c r="I7" s="275" t="s">
        <v>225</v>
      </c>
      <c r="J7" s="275"/>
      <c r="K7" s="275"/>
      <c r="L7" s="275"/>
      <c r="M7" s="275"/>
    </row>
    <row r="8" spans="2:13" ht="15">
      <c r="B8" s="285"/>
      <c r="C8" s="282"/>
      <c r="D8" s="21" t="s">
        <v>243</v>
      </c>
      <c r="E8" s="21" t="s">
        <v>243</v>
      </c>
      <c r="F8" s="21" t="s">
        <v>243</v>
      </c>
      <c r="G8" s="21" t="s">
        <v>243</v>
      </c>
      <c r="H8" s="21" t="s">
        <v>242</v>
      </c>
      <c r="I8" s="21" t="s">
        <v>378</v>
      </c>
      <c r="J8" s="21" t="s">
        <v>379</v>
      </c>
      <c r="K8" s="21" t="s">
        <v>380</v>
      </c>
      <c r="L8" s="21" t="s">
        <v>381</v>
      </c>
      <c r="M8" s="21" t="s">
        <v>382</v>
      </c>
    </row>
    <row r="9" spans="2:13" ht="15">
      <c r="B9" s="285"/>
      <c r="C9" s="282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52" t="s">
        <v>86</v>
      </c>
      <c r="D10" s="156">
        <v>2.7612793930031632E-2</v>
      </c>
      <c r="E10" s="156">
        <v>8.3414945269342872E-2</v>
      </c>
      <c r="F10" s="156">
        <v>0.46291038906046916</v>
      </c>
      <c r="G10" s="156">
        <v>2.100399677954444E-2</v>
      </c>
      <c r="H10" s="237">
        <v>0.11171289460930171</v>
      </c>
      <c r="I10" s="3"/>
      <c r="J10" s="3"/>
      <c r="K10" s="3"/>
      <c r="L10" s="3"/>
      <c r="M10" s="3"/>
    </row>
    <row r="11" spans="2:13">
      <c r="B11" s="3">
        <v>2</v>
      </c>
      <c r="C11" s="53" t="s">
        <v>87</v>
      </c>
      <c r="D11" s="156">
        <v>2.7918621360368531E-2</v>
      </c>
      <c r="E11" s="156">
        <v>1.4247793055534138E-2</v>
      </c>
      <c r="F11" s="156">
        <v>1.4409864155159385E-2</v>
      </c>
      <c r="G11" s="156">
        <v>1.4983497976774672E-2</v>
      </c>
      <c r="H11" s="237">
        <v>1.6821919119236545E-2</v>
      </c>
      <c r="I11" s="3"/>
      <c r="J11" s="3"/>
      <c r="K11" s="3"/>
      <c r="L11" s="3"/>
      <c r="M11" s="3"/>
    </row>
    <row r="12" spans="2:13">
      <c r="B12" s="3">
        <v>3</v>
      </c>
      <c r="C12" s="53" t="s">
        <v>88</v>
      </c>
      <c r="D12" s="156">
        <v>0.14217459324518528</v>
      </c>
      <c r="E12" s="156">
        <v>0.11774433393889858</v>
      </c>
      <c r="F12" s="156">
        <v>0.12073940552873866</v>
      </c>
      <c r="G12" s="156">
        <v>0.2425837731628703</v>
      </c>
      <c r="H12" s="237">
        <v>0.25505444756136841</v>
      </c>
      <c r="I12" s="3"/>
      <c r="J12" s="3"/>
      <c r="K12" s="3"/>
      <c r="L12" s="3"/>
      <c r="M12" s="3"/>
    </row>
    <row r="13" spans="2:13">
      <c r="B13" s="3">
        <v>4</v>
      </c>
      <c r="C13" s="53" t="s">
        <v>89</v>
      </c>
      <c r="D13" s="156">
        <v>0.24166269537305982</v>
      </c>
      <c r="E13" s="156">
        <v>0.1770179510510001</v>
      </c>
      <c r="F13" s="156">
        <v>0.14496895424332618</v>
      </c>
      <c r="G13" s="156">
        <v>0.23713864719399166</v>
      </c>
      <c r="H13" s="237">
        <v>0.1854798800788249</v>
      </c>
      <c r="I13" s="3"/>
      <c r="J13" s="3"/>
      <c r="K13" s="3"/>
      <c r="L13" s="3"/>
      <c r="M13" s="3"/>
    </row>
    <row r="14" spans="2:13">
      <c r="B14" s="3">
        <v>5</v>
      </c>
      <c r="C14" s="53" t="s">
        <v>90</v>
      </c>
      <c r="D14" s="156">
        <v>3.2566464285053554E-2</v>
      </c>
      <c r="E14" s="156">
        <v>0.41122596270993017</v>
      </c>
      <c r="F14" s="156">
        <v>0.15247577533426893</v>
      </c>
      <c r="G14" s="156">
        <v>8.825981017226224E-2</v>
      </c>
      <c r="H14" s="237">
        <v>2.3322811573337071E-2</v>
      </c>
      <c r="I14" s="3"/>
      <c r="J14" s="3"/>
      <c r="K14" s="3"/>
      <c r="L14" s="3"/>
      <c r="M14" s="3"/>
    </row>
    <row r="15" spans="2:13">
      <c r="B15" s="3">
        <v>6</v>
      </c>
      <c r="C15" s="53" t="s">
        <v>91</v>
      </c>
      <c r="D15" s="156">
        <v>0.17149730704871147</v>
      </c>
      <c r="E15" s="156">
        <v>7.7729803088999586E-2</v>
      </c>
      <c r="F15" s="156">
        <v>7.2709039751399543E-2</v>
      </c>
      <c r="G15" s="156">
        <v>0.15872464081859261</v>
      </c>
      <c r="H15" s="237">
        <v>0.12193323287609131</v>
      </c>
      <c r="I15" s="3"/>
      <c r="J15" s="3"/>
      <c r="K15" s="3"/>
      <c r="L15" s="3"/>
      <c r="M15" s="3"/>
    </row>
    <row r="16" spans="2:13">
      <c r="B16" s="3">
        <v>7</v>
      </c>
      <c r="C16" s="53" t="s">
        <v>92</v>
      </c>
      <c r="D16" s="156">
        <v>0.16592379153793499</v>
      </c>
      <c r="E16" s="156">
        <v>2.3867606606788705</v>
      </c>
      <c r="F16" s="156">
        <v>2.9452080123908826</v>
      </c>
      <c r="G16" s="156">
        <v>1.9191798197246273</v>
      </c>
      <c r="H16" s="237">
        <v>1.9742965447985399</v>
      </c>
      <c r="I16" s="3"/>
      <c r="J16" s="3"/>
      <c r="K16" s="3"/>
      <c r="L16" s="3"/>
      <c r="M16" s="3"/>
    </row>
    <row r="17" spans="2:13">
      <c r="B17" s="3">
        <v>8</v>
      </c>
      <c r="C17" s="53" t="s">
        <v>93</v>
      </c>
      <c r="D17" s="156">
        <v>1.3248119715834459E-2</v>
      </c>
      <c r="E17" s="156">
        <v>1.7443284009068059E-2</v>
      </c>
      <c r="F17" s="156">
        <v>6.7067995003315707E-3</v>
      </c>
      <c r="G17" s="156">
        <v>3.4989260984223435E-3</v>
      </c>
      <c r="H17" s="237">
        <v>3.0468996616943651E-3</v>
      </c>
      <c r="I17" s="3"/>
      <c r="J17" s="3"/>
      <c r="K17" s="3"/>
      <c r="L17" s="3"/>
      <c r="M17" s="3"/>
    </row>
    <row r="18" spans="2:13">
      <c r="B18" s="3">
        <v>9</v>
      </c>
      <c r="C18" s="53" t="s">
        <v>94</v>
      </c>
      <c r="D18" s="156">
        <v>4.6920288514102824</v>
      </c>
      <c r="E18" s="156">
        <v>4.8703916269467795</v>
      </c>
      <c r="F18" s="156">
        <v>6.5204262602948964</v>
      </c>
      <c r="G18" s="156">
        <v>5.5472913844119489</v>
      </c>
      <c r="H18" s="237">
        <v>5.6797552413281993</v>
      </c>
      <c r="I18" s="3"/>
      <c r="J18" s="3"/>
      <c r="K18" s="3"/>
      <c r="L18" s="3"/>
      <c r="M18" s="3"/>
    </row>
    <row r="19" spans="2:13">
      <c r="B19" s="3">
        <v>10</v>
      </c>
      <c r="C19" s="53" t="s">
        <v>95</v>
      </c>
      <c r="D19" s="156">
        <v>4.236461991008824E-2</v>
      </c>
      <c r="E19" s="156">
        <v>0.23349389139922583</v>
      </c>
      <c r="F19" s="156">
        <v>4.2222815107259073E-2</v>
      </c>
      <c r="G19" s="156">
        <v>3.3318335055441607E-2</v>
      </c>
      <c r="H19" s="237">
        <v>3.2566537039378528E-2</v>
      </c>
      <c r="I19" s="3"/>
      <c r="J19" s="3"/>
      <c r="K19" s="3"/>
      <c r="L19" s="3"/>
      <c r="M19" s="3"/>
    </row>
    <row r="20" spans="2:13">
      <c r="B20" s="3">
        <v>11</v>
      </c>
      <c r="C20" s="53" t="s">
        <v>96</v>
      </c>
      <c r="D20" s="156">
        <v>0</v>
      </c>
      <c r="E20" s="156">
        <v>0</v>
      </c>
      <c r="F20" s="156">
        <v>5.6479999999999996E-4</v>
      </c>
      <c r="G20" s="156">
        <v>2.3899037984053792E-3</v>
      </c>
      <c r="H20" s="237">
        <v>1.3722212247465791E-3</v>
      </c>
      <c r="I20" s="3"/>
      <c r="J20" s="3"/>
      <c r="K20" s="3"/>
      <c r="L20" s="3"/>
      <c r="M20" s="3"/>
    </row>
    <row r="21" spans="2:13">
      <c r="B21" s="3">
        <v>12</v>
      </c>
      <c r="C21" s="53" t="s">
        <v>97</v>
      </c>
      <c r="D21" s="156">
        <v>0</v>
      </c>
      <c r="E21" s="156">
        <v>0</v>
      </c>
      <c r="F21" s="156">
        <v>0</v>
      </c>
      <c r="G21" s="156">
        <v>0</v>
      </c>
      <c r="H21" s="237">
        <v>0</v>
      </c>
      <c r="I21" s="3"/>
      <c r="J21" s="3"/>
      <c r="K21" s="3"/>
      <c r="L21" s="3"/>
      <c r="M21" s="3"/>
    </row>
    <row r="22" spans="2:13">
      <c r="B22" s="3">
        <v>13</v>
      </c>
      <c r="C22" s="53" t="s">
        <v>98</v>
      </c>
      <c r="D22" s="156">
        <v>1.6484076265887184E-2</v>
      </c>
      <c r="E22" s="156">
        <v>2.6149221414801908E-2</v>
      </c>
      <c r="F22" s="156">
        <v>2.2077106777909718E-2</v>
      </c>
      <c r="G22" s="156">
        <v>4.8190300098591987E-2</v>
      </c>
      <c r="H22" s="237">
        <v>4.6137092959344726E-2</v>
      </c>
      <c r="I22" s="3"/>
      <c r="J22" s="3"/>
      <c r="K22" s="3"/>
      <c r="L22" s="3"/>
      <c r="M22" s="3"/>
    </row>
    <row r="23" spans="2:13">
      <c r="B23" s="3">
        <v>14</v>
      </c>
      <c r="C23" s="53" t="s">
        <v>99</v>
      </c>
      <c r="D23" s="156">
        <v>1.2500183309899542</v>
      </c>
      <c r="E23" s="156">
        <v>4.4927038415866018E-2</v>
      </c>
      <c r="F23" s="156">
        <v>0.11522196140360563</v>
      </c>
      <c r="G23" s="156">
        <v>4.8786737620776337E-2</v>
      </c>
      <c r="H23" s="237">
        <v>5.8808587816787605E-2</v>
      </c>
      <c r="I23" s="3"/>
      <c r="J23" s="3"/>
      <c r="K23" s="3"/>
      <c r="L23" s="3"/>
      <c r="M23" s="3"/>
    </row>
    <row r="24" spans="2:13">
      <c r="B24" s="3">
        <v>15</v>
      </c>
      <c r="C24" s="53" t="s">
        <v>100</v>
      </c>
      <c r="D24" s="156">
        <v>0</v>
      </c>
      <c r="E24" s="156">
        <v>0</v>
      </c>
      <c r="F24" s="156">
        <v>0</v>
      </c>
      <c r="G24" s="156">
        <v>0</v>
      </c>
      <c r="H24" s="237">
        <v>0</v>
      </c>
      <c r="I24" s="3"/>
      <c r="J24" s="3"/>
      <c r="K24" s="3"/>
      <c r="L24" s="3"/>
      <c r="M24" s="3"/>
    </row>
    <row r="25" spans="2:13">
      <c r="B25" s="3">
        <v>16</v>
      </c>
      <c r="C25" s="52" t="s">
        <v>101</v>
      </c>
      <c r="D25" s="156">
        <v>0</v>
      </c>
      <c r="E25" s="156">
        <v>0</v>
      </c>
      <c r="F25" s="156">
        <v>0</v>
      </c>
      <c r="G25" s="156">
        <v>0</v>
      </c>
      <c r="H25" s="237">
        <v>0</v>
      </c>
      <c r="I25" s="3"/>
      <c r="J25" s="3"/>
      <c r="K25" s="3"/>
      <c r="L25" s="3"/>
      <c r="M25" s="3"/>
    </row>
    <row r="26" spans="2:13">
      <c r="B26" s="3">
        <v>17</v>
      </c>
      <c r="C26" s="52" t="s">
        <v>102</v>
      </c>
      <c r="D26" s="156">
        <v>0</v>
      </c>
      <c r="E26" s="156">
        <v>0</v>
      </c>
      <c r="F26" s="156">
        <v>0</v>
      </c>
      <c r="G26" s="156">
        <v>0</v>
      </c>
      <c r="H26" s="237">
        <v>0</v>
      </c>
      <c r="I26" s="3"/>
      <c r="J26" s="3"/>
      <c r="K26" s="3"/>
      <c r="L26" s="3"/>
      <c r="M26" s="3"/>
    </row>
    <row r="27" spans="2:13">
      <c r="B27" s="3">
        <v>18</v>
      </c>
      <c r="C27" s="53" t="s">
        <v>103</v>
      </c>
      <c r="D27" s="156">
        <v>5.3216271422492738E-2</v>
      </c>
      <c r="E27" s="156">
        <v>2.719181937911571E-2</v>
      </c>
      <c r="F27" s="156">
        <v>3.5863484339095975E-2</v>
      </c>
      <c r="G27" s="156">
        <v>0.12953614678685441</v>
      </c>
      <c r="H27" s="237">
        <v>0.11451160918914585</v>
      </c>
      <c r="I27" s="3"/>
      <c r="J27" s="3"/>
      <c r="K27" s="3"/>
      <c r="L27" s="3"/>
      <c r="M27" s="3"/>
    </row>
    <row r="28" spans="2:13">
      <c r="B28" s="3">
        <v>19</v>
      </c>
      <c r="C28" s="53" t="s">
        <v>104</v>
      </c>
      <c r="D28" s="156">
        <v>1.1479933411863912</v>
      </c>
      <c r="E28" s="156">
        <v>1.3755920897958915</v>
      </c>
      <c r="F28" s="156">
        <v>1.2620336203357494</v>
      </c>
      <c r="G28" s="156">
        <v>1.5272070797800072</v>
      </c>
      <c r="H28" s="237">
        <v>1.1804517227711118</v>
      </c>
      <c r="I28" s="3"/>
      <c r="J28" s="3"/>
      <c r="K28" s="3"/>
      <c r="L28" s="3"/>
      <c r="M28" s="3"/>
    </row>
    <row r="29" spans="2:13">
      <c r="B29" s="3">
        <v>20</v>
      </c>
      <c r="C29" s="53" t="s">
        <v>105</v>
      </c>
      <c r="D29" s="156">
        <v>0</v>
      </c>
      <c r="E29" s="156">
        <v>0</v>
      </c>
      <c r="F29" s="156">
        <v>0</v>
      </c>
      <c r="G29" s="156">
        <v>0</v>
      </c>
      <c r="H29" s="237">
        <v>0</v>
      </c>
      <c r="I29" s="3"/>
      <c r="J29" s="3"/>
      <c r="K29" s="3"/>
      <c r="L29" s="3"/>
      <c r="M29" s="3"/>
    </row>
    <row r="30" spans="2:13">
      <c r="B30" s="3">
        <v>21</v>
      </c>
      <c r="C30" s="53" t="s">
        <v>106</v>
      </c>
      <c r="D30" s="156">
        <v>0</v>
      </c>
      <c r="E30" s="156">
        <v>0</v>
      </c>
      <c r="F30" s="156">
        <v>0</v>
      </c>
      <c r="G30" s="156">
        <v>0</v>
      </c>
      <c r="H30" s="237">
        <v>0</v>
      </c>
      <c r="I30" s="3"/>
      <c r="J30" s="3"/>
      <c r="K30" s="3"/>
      <c r="L30" s="3"/>
      <c r="M30" s="3"/>
    </row>
    <row r="31" spans="2:13">
      <c r="B31" s="3">
        <v>22</v>
      </c>
      <c r="C31" s="53" t="s">
        <v>107</v>
      </c>
      <c r="D31" s="156">
        <v>0</v>
      </c>
      <c r="E31" s="156">
        <v>0</v>
      </c>
      <c r="F31" s="156">
        <v>0</v>
      </c>
      <c r="G31" s="156">
        <v>0</v>
      </c>
      <c r="H31" s="237">
        <v>0</v>
      </c>
      <c r="I31" s="3"/>
      <c r="J31" s="3"/>
      <c r="K31" s="3"/>
      <c r="L31" s="3"/>
      <c r="M31" s="3"/>
    </row>
    <row r="32" spans="2:13">
      <c r="B32" s="3">
        <v>23</v>
      </c>
      <c r="C32" s="53" t="s">
        <v>108</v>
      </c>
      <c r="D32" s="156">
        <v>0</v>
      </c>
      <c r="E32" s="156">
        <v>0</v>
      </c>
      <c r="F32" s="156">
        <v>0</v>
      </c>
      <c r="G32" s="156">
        <v>0</v>
      </c>
      <c r="H32" s="237">
        <v>0</v>
      </c>
      <c r="I32" s="3"/>
      <c r="J32" s="3"/>
      <c r="K32" s="3"/>
      <c r="L32" s="3"/>
      <c r="M32" s="3"/>
    </row>
    <row r="33" spans="2:13">
      <c r="B33" s="3">
        <v>24</v>
      </c>
      <c r="C33" s="53" t="s">
        <v>109</v>
      </c>
      <c r="D33" s="156">
        <v>7.1958739181914047E-2</v>
      </c>
      <c r="E33" s="156">
        <v>1.466404658945453E-2</v>
      </c>
      <c r="F33" s="156">
        <v>8.1795904982804632E-2</v>
      </c>
      <c r="G33" s="156">
        <v>7.6031130947056741E-2</v>
      </c>
      <c r="H33" s="237">
        <v>8.0229620400724094E-2</v>
      </c>
      <c r="I33" s="3"/>
      <c r="J33" s="3"/>
      <c r="K33" s="3"/>
      <c r="L33" s="3"/>
      <c r="M33" s="3"/>
    </row>
    <row r="34" spans="2:13">
      <c r="B34" s="3">
        <v>25</v>
      </c>
      <c r="C34" s="53" t="s">
        <v>110</v>
      </c>
      <c r="D34" s="156">
        <v>0</v>
      </c>
      <c r="E34" s="156">
        <v>0</v>
      </c>
      <c r="F34" s="156">
        <v>0</v>
      </c>
      <c r="G34" s="156">
        <v>0</v>
      </c>
      <c r="H34" s="237">
        <v>0</v>
      </c>
      <c r="I34" s="3"/>
      <c r="J34" s="3"/>
      <c r="K34" s="3"/>
      <c r="L34" s="3"/>
      <c r="M34" s="3"/>
    </row>
    <row r="35" spans="2:13">
      <c r="B35" s="3">
        <v>26</v>
      </c>
      <c r="C35" s="53" t="s">
        <v>111</v>
      </c>
      <c r="D35" s="156">
        <v>0</v>
      </c>
      <c r="E35" s="156">
        <v>0</v>
      </c>
      <c r="F35" s="156">
        <v>0</v>
      </c>
      <c r="G35" s="156">
        <v>0</v>
      </c>
      <c r="H35" s="237">
        <v>0</v>
      </c>
      <c r="I35" s="3"/>
      <c r="J35" s="3"/>
      <c r="K35" s="3"/>
      <c r="L35" s="3"/>
      <c r="M35" s="3"/>
    </row>
    <row r="36" spans="2:13">
      <c r="B36" s="3">
        <v>27</v>
      </c>
      <c r="C36" s="53" t="s">
        <v>112</v>
      </c>
      <c r="D36" s="156">
        <v>3.54723904205132E-2</v>
      </c>
      <c r="E36" s="156">
        <v>4.5665920171028489E-2</v>
      </c>
      <c r="F36" s="156">
        <v>1.8583680645559274E-2</v>
      </c>
      <c r="G36" s="156">
        <v>2.7458690097250285E-2</v>
      </c>
      <c r="H36" s="237">
        <v>0</v>
      </c>
      <c r="I36" s="3"/>
      <c r="J36" s="3"/>
      <c r="K36" s="3"/>
      <c r="L36" s="3"/>
      <c r="M36" s="3"/>
    </row>
    <row r="37" spans="2:13">
      <c r="B37" s="3">
        <v>28</v>
      </c>
      <c r="C37" s="53" t="s">
        <v>83</v>
      </c>
      <c r="D37" s="156">
        <v>0.26400927267953678</v>
      </c>
      <c r="E37" s="156">
        <v>0.51502132201940076</v>
      </c>
      <c r="F37" s="156">
        <v>0.43825755461462301</v>
      </c>
      <c r="G37" s="156">
        <v>0.77569886617138306</v>
      </c>
      <c r="H37" s="237">
        <v>3.9906386410266541</v>
      </c>
      <c r="I37" s="156">
        <v>12.944419936566856</v>
      </c>
      <c r="J37" s="156">
        <v>13.578696513458631</v>
      </c>
      <c r="K37" s="156">
        <v>14.244052642618103</v>
      </c>
      <c r="L37" s="156">
        <v>14.942011222106389</v>
      </c>
      <c r="M37" s="156">
        <v>15.674169771989602</v>
      </c>
    </row>
    <row r="38" spans="2:13" ht="15">
      <c r="B38" s="3">
        <v>29</v>
      </c>
      <c r="C38" s="54" t="s">
        <v>113</v>
      </c>
      <c r="D38" s="130">
        <f>SUM(D10:D37)</f>
        <v>8.3961502799632406</v>
      </c>
      <c r="E38" s="130">
        <f t="shared" ref="E38:M38" si="0">SUM(E10:E37)</f>
        <v>10.438681709933206</v>
      </c>
      <c r="F38" s="130">
        <f t="shared" si="0"/>
        <v>12.457175428466078</v>
      </c>
      <c r="G38" s="130">
        <f t="shared" si="0"/>
        <v>10.901281686694801</v>
      </c>
      <c r="H38" s="130">
        <f t="shared" si="0"/>
        <v>13.876139904034488</v>
      </c>
      <c r="I38" s="130">
        <f t="shared" si="0"/>
        <v>12.944419936566856</v>
      </c>
      <c r="J38" s="130">
        <f t="shared" si="0"/>
        <v>13.578696513458631</v>
      </c>
      <c r="K38" s="130">
        <f t="shared" si="0"/>
        <v>14.244052642618103</v>
      </c>
      <c r="L38" s="130">
        <f t="shared" si="0"/>
        <v>14.942011222106389</v>
      </c>
      <c r="M38" s="130">
        <f t="shared" si="0"/>
        <v>15.674169771989602</v>
      </c>
    </row>
    <row r="39" spans="2:13">
      <c r="B39" s="3">
        <v>30</v>
      </c>
      <c r="C39" s="42" t="s">
        <v>17</v>
      </c>
      <c r="D39" s="156"/>
      <c r="E39" s="156"/>
      <c r="F39" s="156"/>
      <c r="G39" s="156"/>
      <c r="H39" s="156"/>
      <c r="I39" s="156"/>
      <c r="J39" s="156"/>
      <c r="K39" s="156"/>
      <c r="L39" s="156"/>
      <c r="M39" s="156"/>
    </row>
    <row r="40" spans="2:13" ht="15">
      <c r="B40" s="3">
        <v>31</v>
      </c>
      <c r="C40" s="22" t="s">
        <v>114</v>
      </c>
      <c r="D40" s="130">
        <f>D38-D39</f>
        <v>8.3961502799632406</v>
      </c>
      <c r="E40" s="130">
        <f t="shared" ref="E40:M40" si="1">E38-E39</f>
        <v>10.438681709933206</v>
      </c>
      <c r="F40" s="130">
        <f t="shared" si="1"/>
        <v>12.457175428466078</v>
      </c>
      <c r="G40" s="130">
        <f t="shared" si="1"/>
        <v>10.901281686694801</v>
      </c>
      <c r="H40" s="130">
        <f t="shared" si="1"/>
        <v>13.876139904034488</v>
      </c>
      <c r="I40" s="130">
        <f t="shared" si="1"/>
        <v>12.944419936566856</v>
      </c>
      <c r="J40" s="130">
        <f t="shared" si="1"/>
        <v>13.578696513458631</v>
      </c>
      <c r="K40" s="130">
        <f t="shared" si="1"/>
        <v>14.244052642618103</v>
      </c>
      <c r="L40" s="130">
        <f t="shared" si="1"/>
        <v>14.942011222106389</v>
      </c>
      <c r="M40" s="130">
        <f t="shared" si="1"/>
        <v>15.674169771989602</v>
      </c>
    </row>
  </sheetData>
  <mergeCells count="6">
    <mergeCell ref="B7:B9"/>
    <mergeCell ref="C7:C9"/>
    <mergeCell ref="I7:M7"/>
    <mergeCell ref="B3:M3"/>
    <mergeCell ref="B4:M4"/>
    <mergeCell ref="B5:M5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F28" sqref="F28"/>
    </sheetView>
  </sheetViews>
  <sheetFormatPr defaultColWidth="9.28515625" defaultRowHeight="14.25"/>
  <cols>
    <col min="1" max="1" width="4.5703125" style="19" customWidth="1"/>
    <col min="2" max="2" width="8.7109375" style="55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71" t="s">
        <v>408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</row>
    <row r="3" spans="2:13" ht="15">
      <c r="B3" s="271" t="s">
        <v>409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</row>
    <row r="4" spans="2:13" s="4" customFormat="1" ht="15">
      <c r="B4" s="272" t="s">
        <v>411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6" spans="2:13" ht="15">
      <c r="M6" s="28" t="s">
        <v>4</v>
      </c>
    </row>
    <row r="7" spans="2:13" ht="12.75" customHeight="1">
      <c r="B7" s="285" t="s">
        <v>186</v>
      </c>
      <c r="C7" s="282" t="s">
        <v>18</v>
      </c>
      <c r="D7" s="21" t="s">
        <v>385</v>
      </c>
      <c r="E7" s="21" t="s">
        <v>386</v>
      </c>
      <c r="F7" s="21" t="s">
        <v>387</v>
      </c>
      <c r="G7" s="21" t="s">
        <v>383</v>
      </c>
      <c r="H7" s="21" t="s">
        <v>402</v>
      </c>
      <c r="I7" s="275" t="s">
        <v>225</v>
      </c>
      <c r="J7" s="275"/>
      <c r="K7" s="275"/>
      <c r="L7" s="275"/>
      <c r="M7" s="275"/>
    </row>
    <row r="8" spans="2:13" ht="15">
      <c r="B8" s="285"/>
      <c r="C8" s="282"/>
      <c r="D8" s="21" t="s">
        <v>243</v>
      </c>
      <c r="E8" s="21" t="s">
        <v>243</v>
      </c>
      <c r="F8" s="21" t="s">
        <v>243</v>
      </c>
      <c r="G8" s="21" t="s">
        <v>243</v>
      </c>
      <c r="H8" s="21" t="s">
        <v>242</v>
      </c>
      <c r="I8" s="21" t="s">
        <v>378</v>
      </c>
      <c r="J8" s="21" t="s">
        <v>379</v>
      </c>
      <c r="K8" s="21" t="s">
        <v>380</v>
      </c>
      <c r="L8" s="21" t="s">
        <v>381</v>
      </c>
      <c r="M8" s="21" t="s">
        <v>382</v>
      </c>
    </row>
    <row r="9" spans="2:13" ht="15">
      <c r="B9" s="285"/>
      <c r="C9" s="282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3" t="s">
        <v>115</v>
      </c>
      <c r="D10" s="156">
        <v>4.2153786226200616</v>
      </c>
      <c r="E10" s="156">
        <v>6.908994124940488</v>
      </c>
      <c r="F10" s="156">
        <v>7.6965514380847573</v>
      </c>
      <c r="G10" s="156">
        <v>27.808538307111558</v>
      </c>
      <c r="H10" s="237">
        <v>9.5520595730088083</v>
      </c>
      <c r="I10" s="3"/>
      <c r="J10" s="3"/>
      <c r="K10" s="3"/>
      <c r="L10" s="3"/>
      <c r="M10" s="3"/>
    </row>
    <row r="11" spans="2:13">
      <c r="B11" s="2">
        <v>2</v>
      </c>
      <c r="C11" s="53" t="s">
        <v>116</v>
      </c>
      <c r="D11" s="156">
        <v>0</v>
      </c>
      <c r="E11" s="156">
        <v>8.708556526841757E-3</v>
      </c>
      <c r="F11" s="156">
        <v>0</v>
      </c>
      <c r="G11" s="156">
        <v>3.0019253380349459E-2</v>
      </c>
      <c r="H11" s="237">
        <v>0</v>
      </c>
      <c r="I11" s="3"/>
      <c r="J11" s="3"/>
      <c r="K11" s="3"/>
      <c r="L11" s="3"/>
      <c r="M11" s="3"/>
    </row>
    <row r="12" spans="2:13">
      <c r="B12" s="2">
        <v>3</v>
      </c>
      <c r="C12" s="53" t="s">
        <v>117</v>
      </c>
      <c r="D12" s="156">
        <v>2.7133810083788461</v>
      </c>
      <c r="E12" s="156">
        <v>2.3548888089632039</v>
      </c>
      <c r="F12" s="156">
        <v>1.8700563528932963</v>
      </c>
      <c r="G12" s="156">
        <v>3.3746500566277158</v>
      </c>
      <c r="H12" s="237">
        <v>2.8367689238087261</v>
      </c>
      <c r="I12" s="3"/>
      <c r="J12" s="3"/>
      <c r="K12" s="3"/>
      <c r="L12" s="3"/>
      <c r="M12" s="3"/>
    </row>
    <row r="13" spans="2:13">
      <c r="B13" s="2">
        <v>4</v>
      </c>
      <c r="C13" s="53" t="s">
        <v>118</v>
      </c>
      <c r="D13" s="156">
        <v>4.5029171999999999E-2</v>
      </c>
      <c r="E13" s="156">
        <v>1.3433998000000001E-2</v>
      </c>
      <c r="F13" s="156">
        <v>3.9868278E-2</v>
      </c>
      <c r="G13" s="156">
        <v>1.0317374000000001E-2</v>
      </c>
      <c r="H13" s="237">
        <v>5.9999999999999995E-4</v>
      </c>
      <c r="I13" s="3"/>
      <c r="J13" s="3"/>
      <c r="K13" s="3"/>
      <c r="L13" s="3"/>
      <c r="M13" s="3"/>
    </row>
    <row r="14" spans="2:13">
      <c r="B14" s="2">
        <v>5</v>
      </c>
      <c r="C14" s="53" t="s">
        <v>119</v>
      </c>
      <c r="D14" s="156">
        <v>0.21022344862522435</v>
      </c>
      <c r="E14" s="156">
        <v>1.2880868966116312</v>
      </c>
      <c r="F14" s="156">
        <v>0.49823559745977197</v>
      </c>
      <c r="G14" s="156">
        <v>0.39696829991525684</v>
      </c>
      <c r="H14" s="237">
        <v>0.97138992695892845</v>
      </c>
      <c r="I14" s="3"/>
      <c r="J14" s="3"/>
      <c r="K14" s="3"/>
      <c r="L14" s="3"/>
      <c r="M14" s="3"/>
    </row>
    <row r="15" spans="2:13">
      <c r="B15" s="2">
        <v>6</v>
      </c>
      <c r="C15" s="53" t="s">
        <v>120</v>
      </c>
      <c r="D15" s="156">
        <v>1.2505000000000001E-3</v>
      </c>
      <c r="E15" s="156">
        <v>1.9975E-2</v>
      </c>
      <c r="F15" s="156">
        <v>1.8701966E-2</v>
      </c>
      <c r="G15" s="156">
        <v>9.3252520000000009E-3</v>
      </c>
      <c r="H15" s="237">
        <v>8.131454410882524E-3</v>
      </c>
      <c r="I15" s="3"/>
      <c r="J15" s="3"/>
      <c r="K15" s="3"/>
      <c r="L15" s="3"/>
      <c r="M15" s="3"/>
    </row>
    <row r="16" spans="2:13">
      <c r="B16" s="2">
        <v>7</v>
      </c>
      <c r="C16" s="53" t="s">
        <v>121</v>
      </c>
      <c r="D16" s="156">
        <v>1.929796643413578E-4</v>
      </c>
      <c r="E16" s="156">
        <v>9.0259549989975794E-4</v>
      </c>
      <c r="F16" s="156">
        <v>0</v>
      </c>
      <c r="G16" s="156">
        <v>4.9950000000000005E-4</v>
      </c>
      <c r="H16" s="237">
        <v>0</v>
      </c>
      <c r="I16" s="3"/>
      <c r="J16" s="3"/>
      <c r="K16" s="3"/>
      <c r="L16" s="3"/>
      <c r="M16" s="3"/>
    </row>
    <row r="17" spans="2:13">
      <c r="B17" s="2">
        <v>8</v>
      </c>
      <c r="C17" s="53" t="s">
        <v>122</v>
      </c>
      <c r="D17" s="156">
        <v>0.1978525488607405</v>
      </c>
      <c r="E17" s="156">
        <v>0.56464809267606375</v>
      </c>
      <c r="F17" s="156">
        <v>0.57260279876961284</v>
      </c>
      <c r="G17" s="156">
        <v>0.35420879550125689</v>
      </c>
      <c r="H17" s="237">
        <v>0.34269541126340036</v>
      </c>
      <c r="I17" s="156">
        <v>17.39351593201453</v>
      </c>
      <c r="J17" s="156">
        <v>18.219034322899464</v>
      </c>
      <c r="K17" s="156">
        <v>18.219034322899464</v>
      </c>
      <c r="L17" s="156">
        <v>18.219034322899464</v>
      </c>
      <c r="M17" s="156">
        <v>18.219034322899464</v>
      </c>
    </row>
    <row r="18" spans="2:13" ht="15">
      <c r="B18" s="2">
        <v>9</v>
      </c>
      <c r="C18" s="54" t="s">
        <v>123</v>
      </c>
      <c r="D18" s="130">
        <f>SUM(D10:D17)</f>
        <v>7.3833082801492127</v>
      </c>
      <c r="E18" s="130">
        <f t="shared" ref="E18:M18" si="0">SUM(E10:E17)</f>
        <v>11.15963807321813</v>
      </c>
      <c r="F18" s="130">
        <f t="shared" si="0"/>
        <v>10.696016431207438</v>
      </c>
      <c r="G18" s="130">
        <f t="shared" si="0"/>
        <v>31.984526838536137</v>
      </c>
      <c r="H18" s="130">
        <f t="shared" si="0"/>
        <v>13.711645289450747</v>
      </c>
      <c r="I18" s="130">
        <f t="shared" si="0"/>
        <v>17.39351593201453</v>
      </c>
      <c r="J18" s="130">
        <f t="shared" si="0"/>
        <v>18.219034322899464</v>
      </c>
      <c r="K18" s="130">
        <f t="shared" si="0"/>
        <v>18.219034322899464</v>
      </c>
      <c r="L18" s="130">
        <f t="shared" si="0"/>
        <v>18.219034322899464</v>
      </c>
      <c r="M18" s="130">
        <f t="shared" si="0"/>
        <v>18.219034322899464</v>
      </c>
    </row>
    <row r="19" spans="2:13">
      <c r="B19" s="2"/>
      <c r="C19" s="52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56" t="s">
        <v>124</v>
      </c>
      <c r="D20" s="156">
        <v>3375.71</v>
      </c>
      <c r="E20" s="156">
        <v>3375.71</v>
      </c>
      <c r="F20" s="156">
        <v>3375.71</v>
      </c>
      <c r="G20" s="130">
        <f>'F4'!F21</f>
        <v>3375.7124903989993</v>
      </c>
      <c r="H20" s="130">
        <f>'F4'!F38</f>
        <v>3387.9559179659991</v>
      </c>
      <c r="I20" s="130">
        <f>'F4'!F47</f>
        <v>3396.4559179659991</v>
      </c>
      <c r="J20" s="130">
        <f>'F4'!F56</f>
        <v>3557.6559179659989</v>
      </c>
      <c r="K20" s="130">
        <f>'F4'!F65</f>
        <v>3557.6559179659989</v>
      </c>
      <c r="L20" s="130">
        <f>'F4'!F74</f>
        <v>3557.6559179659989</v>
      </c>
      <c r="M20" s="130">
        <f>'F4'!F83</f>
        <v>3557.6559179659989</v>
      </c>
    </row>
    <row r="21" spans="2:13" ht="28.5">
      <c r="B21" s="2">
        <v>11</v>
      </c>
      <c r="C21" s="56" t="s">
        <v>125</v>
      </c>
      <c r="D21" s="157">
        <f>IFERROR(D18/D20,0)</f>
        <v>2.1871867785293207E-3</v>
      </c>
      <c r="E21" s="157">
        <f t="shared" ref="E21:M21" si="1">IFERROR(E18/E20,0)</f>
        <v>3.3058639732732164E-3</v>
      </c>
      <c r="F21" s="157">
        <f t="shared" si="1"/>
        <v>3.1685234902309256E-3</v>
      </c>
      <c r="G21" s="157">
        <f t="shared" si="1"/>
        <v>9.4748966120499385E-3</v>
      </c>
      <c r="H21" s="157">
        <f t="shared" si="1"/>
        <v>4.0471734643119858E-3</v>
      </c>
      <c r="I21" s="157">
        <f t="shared" si="1"/>
        <v>5.1210780743566392E-3</v>
      </c>
      <c r="J21" s="157">
        <f t="shared" si="1"/>
        <v>5.1210782444963765E-3</v>
      </c>
      <c r="K21" s="157">
        <f t="shared" si="1"/>
        <v>5.1210782444963765E-3</v>
      </c>
      <c r="L21" s="157">
        <f t="shared" si="1"/>
        <v>5.1210782444963765E-3</v>
      </c>
      <c r="M21" s="157">
        <f t="shared" si="1"/>
        <v>5.1210782444963765E-3</v>
      </c>
    </row>
    <row r="22" spans="2:13">
      <c r="B22" s="2"/>
      <c r="C22" s="52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tabSelected="1" zoomScale="90" zoomScaleNormal="90" zoomScaleSheetLayoutView="90" workbookViewId="0">
      <selection activeCell="I30" sqref="I30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57"/>
    </row>
    <row r="2" spans="2:13" ht="15">
      <c r="B2" s="271" t="s">
        <v>408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</row>
    <row r="3" spans="2:13" ht="15">
      <c r="B3" s="271" t="s">
        <v>415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</row>
    <row r="4" spans="2:13" ht="15">
      <c r="B4" s="272" t="s">
        <v>412</v>
      </c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</row>
    <row r="5" spans="2:13" ht="15">
      <c r="B5" s="39"/>
      <c r="C5" s="58"/>
      <c r="D5" s="58"/>
      <c r="E5" s="58"/>
      <c r="F5" s="58"/>
      <c r="G5" s="58"/>
      <c r="H5" s="58"/>
      <c r="I5" s="58"/>
      <c r="J5" s="58"/>
    </row>
    <row r="6" spans="2:13" ht="15">
      <c r="M6" s="28" t="s">
        <v>4</v>
      </c>
    </row>
    <row r="7" spans="2:13" s="19" customFormat="1" ht="15" customHeight="1">
      <c r="B7" s="286" t="s">
        <v>186</v>
      </c>
      <c r="C7" s="282" t="s">
        <v>18</v>
      </c>
      <c r="D7" s="276" t="s">
        <v>383</v>
      </c>
      <c r="E7" s="277"/>
      <c r="F7" s="278"/>
      <c r="G7" s="276" t="s">
        <v>384</v>
      </c>
      <c r="H7" s="277"/>
      <c r="I7" s="275" t="s">
        <v>225</v>
      </c>
      <c r="J7" s="275"/>
      <c r="K7" s="275"/>
      <c r="L7" s="275"/>
      <c r="M7" s="275"/>
    </row>
    <row r="8" spans="2:13" s="19" customFormat="1" ht="45">
      <c r="B8" s="287"/>
      <c r="C8" s="282"/>
      <c r="D8" s="21" t="s">
        <v>325</v>
      </c>
      <c r="E8" s="21" t="s">
        <v>243</v>
      </c>
      <c r="F8" s="21" t="s">
        <v>201</v>
      </c>
      <c r="G8" s="21" t="s">
        <v>325</v>
      </c>
      <c r="H8" s="21" t="s">
        <v>242</v>
      </c>
      <c r="I8" s="21" t="s">
        <v>378</v>
      </c>
      <c r="J8" s="21" t="s">
        <v>379</v>
      </c>
      <c r="K8" s="21" t="s">
        <v>380</v>
      </c>
      <c r="L8" s="21" t="s">
        <v>381</v>
      </c>
      <c r="M8" s="21" t="s">
        <v>382</v>
      </c>
    </row>
    <row r="9" spans="2:13" s="19" customFormat="1" ht="15">
      <c r="B9" s="288"/>
      <c r="C9" s="289"/>
      <c r="D9" s="21" t="s">
        <v>10</v>
      </c>
      <c r="E9" s="21" t="s">
        <v>12</v>
      </c>
      <c r="F9" s="21" t="s">
        <v>232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1">
        <v>1</v>
      </c>
      <c r="C10" s="29" t="s">
        <v>247</v>
      </c>
      <c r="D10" s="2"/>
      <c r="E10" s="29"/>
      <c r="F10" s="29"/>
      <c r="G10" s="127"/>
      <c r="H10" s="127">
        <f>E13</f>
        <v>0</v>
      </c>
      <c r="I10" s="127">
        <f>H13</f>
        <v>0</v>
      </c>
      <c r="J10" s="127">
        <f>I13</f>
        <v>0</v>
      </c>
      <c r="K10" s="127">
        <f>J13</f>
        <v>0</v>
      </c>
      <c r="L10" s="127">
        <f>K13</f>
        <v>0</v>
      </c>
      <c r="M10" s="127">
        <f>L13</f>
        <v>0</v>
      </c>
    </row>
    <row r="11" spans="2:13" s="5" customFormat="1">
      <c r="B11" s="23">
        <v>2</v>
      </c>
      <c r="C11" s="29" t="s">
        <v>277</v>
      </c>
      <c r="D11" s="2"/>
      <c r="E11" s="125">
        <f>F3.1!G15</f>
        <v>12.242824666999999</v>
      </c>
      <c r="F11" s="125">
        <f>E11</f>
        <v>12.242824666999999</v>
      </c>
      <c r="G11" s="24"/>
      <c r="H11" s="127">
        <f>F3.1!G22</f>
        <v>8.5</v>
      </c>
      <c r="I11" s="127">
        <f>F3.1!G30</f>
        <v>161.19999999999999</v>
      </c>
      <c r="J11" s="127">
        <f>F3.1!G36</f>
        <v>0</v>
      </c>
      <c r="K11" s="127">
        <f>F3.1!G42</f>
        <v>0</v>
      </c>
      <c r="L11" s="127">
        <f>F3.1!G48</f>
        <v>0</v>
      </c>
      <c r="M11" s="127">
        <f>F3.1!G54</f>
        <v>0</v>
      </c>
    </row>
    <row r="12" spans="2:13" s="5" customFormat="1" ht="15">
      <c r="B12" s="23">
        <v>3</v>
      </c>
      <c r="C12" s="31" t="s">
        <v>216</v>
      </c>
      <c r="D12" s="154"/>
      <c r="E12" s="161">
        <f>F3.1!H15</f>
        <v>12.242824666999999</v>
      </c>
      <c r="F12" s="161">
        <f>E12</f>
        <v>12.242824666999999</v>
      </c>
      <c r="G12" s="154"/>
      <c r="H12" s="162">
        <f>F3.1!H22</f>
        <v>8.5</v>
      </c>
      <c r="I12" s="162">
        <f>F3.1!H30</f>
        <v>161.19999999999999</v>
      </c>
      <c r="J12" s="162">
        <f>F3.1!H36</f>
        <v>0</v>
      </c>
      <c r="K12" s="162">
        <f>F3.1!H42</f>
        <v>0</v>
      </c>
      <c r="L12" s="162">
        <f>F3.1!H48</f>
        <v>0</v>
      </c>
      <c r="M12" s="162">
        <f>F3.1!H54</f>
        <v>0</v>
      </c>
    </row>
    <row r="13" spans="2:13" s="5" customFormat="1" ht="15">
      <c r="B13" s="23">
        <v>4</v>
      </c>
      <c r="C13" s="29" t="s">
        <v>248</v>
      </c>
      <c r="D13" s="155">
        <f>D10+D11-D12</f>
        <v>0</v>
      </c>
      <c r="E13" s="155">
        <f>E10+E11-E12</f>
        <v>0</v>
      </c>
      <c r="F13" s="155">
        <f t="shared" ref="F13:M13" si="0">F10+F11-F12</f>
        <v>0</v>
      </c>
      <c r="G13" s="155">
        <f t="shared" si="0"/>
        <v>0</v>
      </c>
      <c r="H13" s="155">
        <f t="shared" si="0"/>
        <v>0</v>
      </c>
      <c r="I13" s="155">
        <f t="shared" si="0"/>
        <v>0</v>
      </c>
      <c r="J13" s="155">
        <f t="shared" si="0"/>
        <v>0</v>
      </c>
      <c r="K13" s="155">
        <f t="shared" si="0"/>
        <v>0</v>
      </c>
      <c r="L13" s="155">
        <f t="shared" si="0"/>
        <v>0</v>
      </c>
      <c r="M13" s="155">
        <f t="shared" si="0"/>
        <v>0</v>
      </c>
    </row>
    <row r="14" spans="2:13" s="35" customFormat="1" ht="15">
      <c r="B14" s="62"/>
      <c r="C14" s="49"/>
      <c r="D14" s="59"/>
      <c r="E14" s="59"/>
      <c r="F14" s="59"/>
      <c r="G14" s="60"/>
      <c r="H14" s="26"/>
      <c r="I14" s="26"/>
      <c r="J14" s="26"/>
      <c r="K14" s="26"/>
    </row>
    <row r="16" spans="2:13">
      <c r="B16" s="63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55"/>
  <sheetViews>
    <sheetView showGridLines="0" zoomScale="80" zoomScaleNormal="80" zoomScaleSheetLayoutView="90" workbookViewId="0">
      <selection activeCell="H15" sqref="H15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28.710937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7" ht="15">
      <c r="B1" s="26"/>
    </row>
    <row r="2" spans="2:17" ht="15">
      <c r="H2" s="36" t="s">
        <v>401</v>
      </c>
      <c r="I2" s="36"/>
    </row>
    <row r="3" spans="2:17" ht="15">
      <c r="H3" s="36" t="s">
        <v>377</v>
      </c>
      <c r="I3" s="36"/>
    </row>
    <row r="4" spans="2:17" ht="15">
      <c r="H4" s="38" t="s">
        <v>275</v>
      </c>
      <c r="I4" s="38"/>
    </row>
    <row r="5" spans="2:17" ht="15">
      <c r="K5" s="38"/>
    </row>
    <row r="6" spans="2:17" ht="60">
      <c r="B6" s="21" t="s">
        <v>186</v>
      </c>
      <c r="C6" s="25" t="s">
        <v>249</v>
      </c>
      <c r="D6" s="33" t="s">
        <v>251</v>
      </c>
      <c r="E6" s="25" t="s">
        <v>250</v>
      </c>
      <c r="F6" s="33" t="s">
        <v>253</v>
      </c>
      <c r="G6" s="33" t="s">
        <v>256</v>
      </c>
      <c r="H6" s="33" t="s">
        <v>257</v>
      </c>
      <c r="I6" s="33" t="s">
        <v>270</v>
      </c>
      <c r="J6" s="25" t="s">
        <v>252</v>
      </c>
      <c r="K6" s="33" t="s">
        <v>258</v>
      </c>
      <c r="L6" s="33" t="s">
        <v>175</v>
      </c>
      <c r="M6" s="27"/>
      <c r="N6" s="27"/>
      <c r="O6" s="27"/>
      <c r="P6" s="27"/>
    </row>
    <row r="7" spans="2:17" s="35" customFormat="1" ht="15">
      <c r="B7" s="23"/>
      <c r="C7" s="26" t="s">
        <v>383</v>
      </c>
      <c r="D7" s="32"/>
      <c r="E7" s="32"/>
      <c r="F7" s="32"/>
      <c r="G7" s="32"/>
      <c r="H7" s="32"/>
      <c r="I7" s="32"/>
      <c r="J7" s="32"/>
      <c r="K7" s="33"/>
      <c r="L7" s="34"/>
      <c r="M7" s="26"/>
      <c r="N7" s="26"/>
      <c r="O7" s="26"/>
      <c r="P7" s="26"/>
      <c r="Q7" s="26"/>
    </row>
    <row r="8" spans="2:17" ht="25.5">
      <c r="B8" s="21"/>
      <c r="C8" s="187" t="s">
        <v>394</v>
      </c>
      <c r="D8" s="33"/>
      <c r="E8" s="25"/>
      <c r="F8" s="33"/>
      <c r="G8" s="188">
        <f>13.313196188-1.2</f>
        <v>12.113196188</v>
      </c>
      <c r="H8" s="188">
        <f>13.313196188-1.2</f>
        <v>12.113196188</v>
      </c>
      <c r="I8" s="187" t="s">
        <v>394</v>
      </c>
      <c r="J8" s="25"/>
      <c r="K8" s="33"/>
      <c r="L8" s="33"/>
      <c r="M8" s="27"/>
      <c r="N8" s="27"/>
      <c r="O8" s="27"/>
      <c r="P8" s="27"/>
    </row>
    <row r="9" spans="2:17" ht="25.5">
      <c r="B9" s="21"/>
      <c r="C9" s="189" t="s">
        <v>395</v>
      </c>
      <c r="D9" s="33"/>
      <c r="E9" s="25"/>
      <c r="F9" s="33"/>
      <c r="G9" s="188">
        <v>2.9331347999999997E-2</v>
      </c>
      <c r="H9" s="188">
        <v>2.9331347999999997E-2</v>
      </c>
      <c r="I9" s="189" t="s">
        <v>395</v>
      </c>
      <c r="J9" s="25"/>
      <c r="K9" s="33"/>
      <c r="L9" s="33"/>
      <c r="M9" s="27"/>
      <c r="N9" s="27"/>
      <c r="O9" s="27"/>
      <c r="P9" s="27"/>
    </row>
    <row r="10" spans="2:17" ht="25.5">
      <c r="B10" s="21"/>
      <c r="C10" s="187" t="s">
        <v>396</v>
      </c>
      <c r="D10" s="33"/>
      <c r="E10" s="25"/>
      <c r="F10" s="33"/>
      <c r="G10" s="188">
        <v>0.10029713100000001</v>
      </c>
      <c r="H10" s="188">
        <v>0.10029713100000001</v>
      </c>
      <c r="I10" s="187" t="s">
        <v>396</v>
      </c>
      <c r="J10" s="25"/>
      <c r="K10" s="33"/>
      <c r="L10" s="33"/>
      <c r="M10" s="27"/>
      <c r="N10" s="27"/>
      <c r="O10" s="27"/>
      <c r="P10" s="27"/>
    </row>
    <row r="11" spans="2:17">
      <c r="B11" s="23">
        <v>1</v>
      </c>
      <c r="C11" s="23"/>
      <c r="D11" s="29"/>
      <c r="E11" s="29"/>
      <c r="F11" s="29"/>
      <c r="G11" s="29"/>
      <c r="H11" s="29"/>
      <c r="I11" s="29"/>
      <c r="J11" s="29"/>
      <c r="K11" s="29"/>
      <c r="L11" s="29"/>
    </row>
    <row r="12" spans="2:17">
      <c r="B12" s="23">
        <v>2</v>
      </c>
      <c r="C12" s="23"/>
      <c r="D12" s="29"/>
      <c r="E12" s="29"/>
      <c r="F12" s="29"/>
      <c r="G12" s="29"/>
      <c r="H12" s="29"/>
      <c r="I12" s="29"/>
      <c r="J12" s="29"/>
      <c r="K12" s="29"/>
      <c r="L12" s="29"/>
    </row>
    <row r="13" spans="2:17">
      <c r="B13" s="23">
        <v>3</v>
      </c>
      <c r="C13" s="23"/>
      <c r="D13" s="29"/>
      <c r="E13" s="29"/>
      <c r="F13" s="29"/>
      <c r="G13" s="29"/>
      <c r="H13" s="29"/>
      <c r="I13" s="29"/>
      <c r="J13" s="29"/>
      <c r="K13" s="29"/>
      <c r="L13" s="29"/>
    </row>
    <row r="14" spans="2:17">
      <c r="B14" s="29"/>
      <c r="C14" s="29" t="s">
        <v>9</v>
      </c>
      <c r="D14" s="29"/>
      <c r="E14" s="29"/>
      <c r="F14" s="29">
        <v>0</v>
      </c>
      <c r="G14" s="29">
        <v>12.242824666999999</v>
      </c>
      <c r="H14" s="153">
        <v>12.242824666999999</v>
      </c>
      <c r="I14" s="29"/>
      <c r="J14" s="29"/>
      <c r="K14" s="29"/>
      <c r="L14" s="29"/>
    </row>
    <row r="15" spans="2:17" ht="15">
      <c r="B15" s="29"/>
      <c r="C15" s="25" t="s">
        <v>127</v>
      </c>
      <c r="D15" s="163"/>
      <c r="E15" s="153"/>
      <c r="F15" s="131">
        <f>F14</f>
        <v>0</v>
      </c>
      <c r="G15" s="131">
        <f t="shared" ref="G15:H15" si="0">G14</f>
        <v>12.242824666999999</v>
      </c>
      <c r="H15" s="131">
        <f t="shared" si="0"/>
        <v>12.242824666999999</v>
      </c>
      <c r="I15" s="29"/>
      <c r="J15" s="29"/>
      <c r="K15" s="29"/>
      <c r="L15" s="29"/>
    </row>
    <row r="16" spans="2:17" ht="15">
      <c r="B16" s="23"/>
      <c r="C16" s="33" t="s">
        <v>384</v>
      </c>
      <c r="D16" s="153"/>
      <c r="E16" s="153"/>
      <c r="F16" s="153"/>
      <c r="G16" s="153"/>
      <c r="H16" s="153"/>
      <c r="I16" s="29"/>
      <c r="J16" s="29"/>
      <c r="K16" s="29"/>
      <c r="L16" s="29"/>
    </row>
    <row r="17" spans="2:12">
      <c r="B17" s="29"/>
      <c r="C17" s="101" t="s">
        <v>397</v>
      </c>
      <c r="D17" s="29"/>
      <c r="E17" s="29"/>
      <c r="F17" s="29"/>
      <c r="G17" s="190">
        <v>8.43</v>
      </c>
      <c r="H17" s="190">
        <v>8.43</v>
      </c>
      <c r="I17" s="187" t="s">
        <v>394</v>
      </c>
      <c r="J17" s="29"/>
      <c r="K17" s="29"/>
      <c r="L17" s="29"/>
    </row>
    <row r="18" spans="2:12" ht="28.5">
      <c r="B18" s="23">
        <v>1</v>
      </c>
      <c r="C18" s="101" t="s">
        <v>398</v>
      </c>
      <c r="D18" s="153"/>
      <c r="E18" s="153"/>
      <c r="F18" s="153"/>
      <c r="G18" s="153"/>
      <c r="H18" s="153"/>
      <c r="I18" s="29"/>
      <c r="J18" s="29"/>
      <c r="K18" s="29"/>
      <c r="L18" s="29"/>
    </row>
    <row r="19" spans="2:12">
      <c r="B19" s="23">
        <v>2</v>
      </c>
      <c r="C19" s="23"/>
      <c r="D19" s="153"/>
      <c r="E19" s="153"/>
      <c r="F19" s="153"/>
      <c r="G19" s="153">
        <v>7.0000000000000007E-2</v>
      </c>
      <c r="H19" s="153">
        <v>7.0000000000000007E-2</v>
      </c>
      <c r="I19" s="29"/>
      <c r="J19" s="29"/>
      <c r="K19" s="29"/>
      <c r="L19" s="29"/>
    </row>
    <row r="20" spans="2:12">
      <c r="B20" s="23">
        <v>3</v>
      </c>
      <c r="C20" s="23"/>
      <c r="D20" s="153"/>
      <c r="E20" s="153"/>
      <c r="F20" s="153"/>
      <c r="G20" s="153"/>
      <c r="H20" s="153"/>
      <c r="I20" s="29"/>
      <c r="J20" s="29"/>
      <c r="K20" s="29"/>
      <c r="L20" s="29"/>
    </row>
    <row r="21" spans="2:12">
      <c r="B21" s="29"/>
      <c r="C21" s="29" t="s">
        <v>9</v>
      </c>
      <c r="D21" s="153"/>
      <c r="E21" s="153"/>
      <c r="F21" s="153">
        <v>0</v>
      </c>
      <c r="G21" s="5">
        <v>8.5</v>
      </c>
      <c r="H21" s="5">
        <v>8.5</v>
      </c>
      <c r="I21" s="29"/>
      <c r="J21" s="29"/>
      <c r="K21" s="29"/>
      <c r="L21" s="29"/>
    </row>
    <row r="22" spans="2:12" ht="15">
      <c r="B22" s="29"/>
      <c r="C22" s="25" t="s">
        <v>127</v>
      </c>
      <c r="D22" s="163"/>
      <c r="E22" s="153"/>
      <c r="F22" s="131">
        <f>F21</f>
        <v>0</v>
      </c>
      <c r="G22" s="131">
        <f t="shared" ref="G22:H22" si="1">G21</f>
        <v>8.5</v>
      </c>
      <c r="H22" s="131">
        <f t="shared" si="1"/>
        <v>8.5</v>
      </c>
      <c r="I22" s="29"/>
      <c r="J22" s="29"/>
      <c r="K22" s="29"/>
      <c r="L22" s="29"/>
    </row>
    <row r="23" spans="2:12" ht="15">
      <c r="B23" s="23"/>
      <c r="C23" s="33" t="s">
        <v>378</v>
      </c>
      <c r="D23" s="153"/>
      <c r="E23" s="153"/>
      <c r="F23" s="153"/>
      <c r="G23" s="153"/>
      <c r="H23" s="153"/>
      <c r="I23" s="29"/>
      <c r="J23" s="29"/>
      <c r="K23" s="29"/>
      <c r="L23" s="29"/>
    </row>
    <row r="24" spans="2:12">
      <c r="B24" s="23">
        <v>1</v>
      </c>
      <c r="C24" s="23"/>
      <c r="D24" s="153"/>
      <c r="E24" s="153"/>
      <c r="F24" s="153"/>
      <c r="G24" s="153"/>
      <c r="H24" s="153"/>
      <c r="I24" s="29"/>
      <c r="J24" s="29"/>
      <c r="K24" s="29"/>
      <c r="L24" s="29"/>
    </row>
    <row r="25" spans="2:12" ht="45">
      <c r="B25" s="23">
        <v>2</v>
      </c>
      <c r="C25" s="23"/>
      <c r="D25" s="153"/>
      <c r="E25" s="251" t="s">
        <v>404</v>
      </c>
      <c r="F25" s="153"/>
      <c r="G25" s="153">
        <v>95</v>
      </c>
      <c r="H25" s="153">
        <v>95</v>
      </c>
      <c r="I25" s="29"/>
      <c r="J25" s="29"/>
      <c r="K25" s="29"/>
      <c r="L25" s="86" t="s">
        <v>405</v>
      </c>
    </row>
    <row r="26" spans="2:12" ht="15">
      <c r="B26" s="23">
        <v>3</v>
      </c>
      <c r="C26" s="23"/>
      <c r="D26" s="153"/>
      <c r="E26" s="163" t="s">
        <v>406</v>
      </c>
      <c r="F26" s="153"/>
      <c r="G26" s="153">
        <v>4.2</v>
      </c>
      <c r="H26" s="153">
        <v>4.2</v>
      </c>
      <c r="I26" s="29"/>
      <c r="J26" s="29"/>
      <c r="K26" s="29"/>
      <c r="L26" s="29"/>
    </row>
    <row r="27" spans="2:12" ht="45">
      <c r="B27" s="29"/>
      <c r="C27" s="29" t="s">
        <v>9</v>
      </c>
      <c r="D27" s="153"/>
      <c r="E27" s="252" t="s">
        <v>407</v>
      </c>
      <c r="F27" s="153"/>
      <c r="G27" s="153">
        <f>157-95</f>
        <v>62</v>
      </c>
      <c r="H27" s="153">
        <v>62</v>
      </c>
      <c r="I27" s="29"/>
      <c r="J27" s="29"/>
      <c r="K27" s="29"/>
      <c r="L27" s="29"/>
    </row>
    <row r="28" spans="2:12">
      <c r="B28" s="29"/>
      <c r="C28" s="29"/>
      <c r="D28" s="153"/>
      <c r="E28" s="153"/>
      <c r="F28" s="153"/>
      <c r="G28" s="153"/>
      <c r="H28" s="153"/>
      <c r="I28" s="29"/>
      <c r="J28" s="29"/>
      <c r="K28" s="29"/>
      <c r="L28" s="29"/>
    </row>
    <row r="29" spans="2:12">
      <c r="B29" s="29"/>
      <c r="C29" s="29"/>
      <c r="D29" s="153"/>
      <c r="E29" s="153"/>
      <c r="F29" s="153">
        <v>0</v>
      </c>
      <c r="G29" s="153">
        <v>161.19999999999999</v>
      </c>
      <c r="H29" s="153">
        <v>161.19999999999999</v>
      </c>
      <c r="I29" s="29"/>
      <c r="J29" s="29"/>
      <c r="K29" s="29"/>
      <c r="L29" s="29"/>
    </row>
    <row r="30" spans="2:12" ht="15">
      <c r="B30" s="29"/>
      <c r="C30" s="25" t="s">
        <v>127</v>
      </c>
      <c r="D30" s="163"/>
      <c r="E30" s="153"/>
      <c r="F30" s="131">
        <f>F29</f>
        <v>0</v>
      </c>
      <c r="G30" s="131">
        <f t="shared" ref="G30:H30" si="2">G29</f>
        <v>161.19999999999999</v>
      </c>
      <c r="H30" s="131">
        <f t="shared" si="2"/>
        <v>161.19999999999999</v>
      </c>
      <c r="I30" s="29"/>
      <c r="J30" s="29"/>
      <c r="K30" s="29"/>
      <c r="L30" s="29"/>
    </row>
    <row r="31" spans="2:12" ht="15">
      <c r="B31" s="23"/>
      <c r="C31" s="33" t="s">
        <v>379</v>
      </c>
      <c r="D31" s="153"/>
      <c r="E31" s="153"/>
      <c r="F31" s="153"/>
      <c r="G31" s="153"/>
      <c r="H31" s="153"/>
      <c r="I31" s="29"/>
      <c r="J31" s="29"/>
      <c r="K31" s="29"/>
      <c r="L31" s="29"/>
    </row>
    <row r="32" spans="2:12">
      <c r="B32" s="23">
        <v>1</v>
      </c>
      <c r="C32" s="23"/>
      <c r="D32" s="153"/>
      <c r="E32" s="153"/>
      <c r="F32" s="153"/>
      <c r="G32" s="153"/>
      <c r="H32" s="153"/>
      <c r="I32" s="29"/>
      <c r="J32" s="29"/>
      <c r="K32" s="29"/>
      <c r="L32" s="29"/>
    </row>
    <row r="33" spans="2:12">
      <c r="B33" s="23">
        <v>2</v>
      </c>
      <c r="C33" s="23"/>
      <c r="D33" s="153"/>
      <c r="E33" s="153"/>
      <c r="F33" s="153"/>
      <c r="G33" s="153"/>
      <c r="H33" s="153"/>
      <c r="I33" s="29"/>
      <c r="J33" s="29"/>
      <c r="K33" s="29"/>
      <c r="L33" s="29"/>
    </row>
    <row r="34" spans="2:12">
      <c r="B34" s="23">
        <v>3</v>
      </c>
      <c r="C34" s="23"/>
      <c r="D34" s="153"/>
      <c r="E34" s="153"/>
      <c r="F34" s="153"/>
      <c r="G34" s="153"/>
      <c r="H34" s="153"/>
      <c r="I34" s="29"/>
      <c r="J34" s="29"/>
      <c r="K34" s="29"/>
      <c r="L34" s="29"/>
    </row>
    <row r="35" spans="2:12">
      <c r="B35" s="29"/>
      <c r="C35" s="29" t="s">
        <v>9</v>
      </c>
      <c r="D35" s="153"/>
      <c r="E35" s="153"/>
      <c r="F35" s="153"/>
      <c r="G35" s="153"/>
      <c r="H35" s="153"/>
      <c r="I35" s="29"/>
      <c r="J35" s="29"/>
      <c r="K35" s="29"/>
      <c r="L35" s="29"/>
    </row>
    <row r="36" spans="2:12" ht="15">
      <c r="B36" s="29"/>
      <c r="C36" s="25" t="s">
        <v>127</v>
      </c>
      <c r="D36" s="163"/>
      <c r="E36" s="153"/>
      <c r="F36" s="131">
        <f>F35</f>
        <v>0</v>
      </c>
      <c r="G36" s="131">
        <f t="shared" ref="G36:H36" si="3">G35</f>
        <v>0</v>
      </c>
      <c r="H36" s="131">
        <f t="shared" si="3"/>
        <v>0</v>
      </c>
      <c r="I36" s="29"/>
      <c r="J36" s="29"/>
      <c r="K36" s="29"/>
      <c r="L36" s="29"/>
    </row>
    <row r="37" spans="2:12" ht="15">
      <c r="B37" s="23"/>
      <c r="C37" s="33" t="s">
        <v>380</v>
      </c>
      <c r="D37" s="153"/>
      <c r="E37" s="153"/>
      <c r="F37" s="153"/>
      <c r="G37" s="153"/>
      <c r="H37" s="153"/>
      <c r="I37" s="29"/>
      <c r="J37" s="29"/>
      <c r="K37" s="29"/>
      <c r="L37" s="29"/>
    </row>
    <row r="38" spans="2:12">
      <c r="B38" s="23">
        <v>1</v>
      </c>
      <c r="C38" s="23"/>
      <c r="D38" s="153"/>
      <c r="E38" s="153"/>
      <c r="F38" s="153"/>
      <c r="G38" s="153"/>
      <c r="H38" s="153"/>
      <c r="I38" s="29"/>
      <c r="J38" s="29"/>
      <c r="K38" s="29"/>
      <c r="L38" s="29"/>
    </row>
    <row r="39" spans="2:12">
      <c r="B39" s="23">
        <v>2</v>
      </c>
      <c r="C39" s="23"/>
      <c r="D39" s="153"/>
      <c r="E39" s="153"/>
      <c r="F39" s="153"/>
      <c r="G39" s="153"/>
      <c r="H39" s="153"/>
      <c r="I39" s="29"/>
      <c r="J39" s="29"/>
      <c r="K39" s="29"/>
      <c r="L39" s="29"/>
    </row>
    <row r="40" spans="2:12">
      <c r="B40" s="23">
        <v>3</v>
      </c>
      <c r="C40" s="23"/>
      <c r="D40" s="153"/>
      <c r="E40" s="153"/>
      <c r="F40" s="153"/>
      <c r="G40" s="153"/>
      <c r="H40" s="153"/>
      <c r="I40" s="29"/>
      <c r="J40" s="29"/>
      <c r="K40" s="29"/>
      <c r="L40" s="29"/>
    </row>
    <row r="41" spans="2:12">
      <c r="B41" s="29"/>
      <c r="C41" s="29" t="s">
        <v>9</v>
      </c>
      <c r="D41" s="153"/>
      <c r="E41" s="153"/>
      <c r="F41" s="153"/>
      <c r="G41" s="153"/>
      <c r="H41" s="153"/>
      <c r="I41" s="29"/>
      <c r="J41" s="29"/>
      <c r="K41" s="29"/>
      <c r="L41" s="29"/>
    </row>
    <row r="42" spans="2:12" ht="15">
      <c r="B42" s="29"/>
      <c r="C42" s="25" t="s">
        <v>127</v>
      </c>
      <c r="D42" s="163"/>
      <c r="E42" s="153"/>
      <c r="F42" s="131">
        <f>F41</f>
        <v>0</v>
      </c>
      <c r="G42" s="131">
        <f t="shared" ref="G42:H42" si="4">G41</f>
        <v>0</v>
      </c>
      <c r="H42" s="131">
        <f t="shared" si="4"/>
        <v>0</v>
      </c>
      <c r="I42" s="29"/>
      <c r="J42" s="29"/>
      <c r="K42" s="29"/>
      <c r="L42" s="29"/>
    </row>
    <row r="43" spans="2:12" ht="15">
      <c r="B43" s="23"/>
      <c r="C43" s="33" t="s">
        <v>381</v>
      </c>
      <c r="D43" s="153"/>
      <c r="E43" s="153"/>
      <c r="F43" s="153"/>
      <c r="G43" s="153"/>
      <c r="H43" s="153"/>
      <c r="I43" s="29"/>
      <c r="J43" s="29"/>
      <c r="K43" s="29"/>
      <c r="L43" s="29"/>
    </row>
    <row r="44" spans="2:12">
      <c r="B44" s="23">
        <v>1</v>
      </c>
      <c r="C44" s="23"/>
      <c r="D44" s="153"/>
      <c r="E44" s="153"/>
      <c r="F44" s="153"/>
      <c r="G44" s="153"/>
      <c r="H44" s="153"/>
      <c r="I44" s="29"/>
      <c r="J44" s="29"/>
      <c r="K44" s="29"/>
      <c r="L44" s="29"/>
    </row>
    <row r="45" spans="2:12">
      <c r="B45" s="23">
        <v>2</v>
      </c>
      <c r="C45" s="23"/>
      <c r="D45" s="153"/>
      <c r="E45" s="153"/>
      <c r="F45" s="153"/>
      <c r="G45" s="153"/>
      <c r="H45" s="153"/>
      <c r="I45" s="29"/>
      <c r="J45" s="29"/>
      <c r="K45" s="29"/>
      <c r="L45" s="29"/>
    </row>
    <row r="46" spans="2:12">
      <c r="B46" s="23">
        <v>3</v>
      </c>
      <c r="C46" s="23"/>
      <c r="D46" s="153"/>
      <c r="E46" s="153"/>
      <c r="F46" s="153"/>
      <c r="G46" s="153"/>
      <c r="H46" s="153"/>
      <c r="I46" s="29"/>
      <c r="J46" s="29"/>
      <c r="K46" s="29"/>
      <c r="L46" s="29"/>
    </row>
    <row r="47" spans="2:12">
      <c r="B47" s="29"/>
      <c r="C47" s="29" t="s">
        <v>9</v>
      </c>
      <c r="D47" s="153"/>
      <c r="E47" s="153"/>
      <c r="F47" s="153"/>
      <c r="G47" s="153"/>
      <c r="H47" s="153"/>
      <c r="I47" s="29"/>
      <c r="J47" s="29"/>
      <c r="K47" s="29"/>
      <c r="L47" s="29"/>
    </row>
    <row r="48" spans="2:12" ht="15">
      <c r="B48" s="29"/>
      <c r="C48" s="25" t="s">
        <v>127</v>
      </c>
      <c r="D48" s="163"/>
      <c r="E48" s="153"/>
      <c r="F48" s="131">
        <f>F47</f>
        <v>0</v>
      </c>
      <c r="G48" s="131">
        <f t="shared" ref="G48:H48" si="5">G47</f>
        <v>0</v>
      </c>
      <c r="H48" s="131">
        <f t="shared" si="5"/>
        <v>0</v>
      </c>
      <c r="I48" s="29"/>
      <c r="J48" s="29"/>
      <c r="K48" s="29"/>
      <c r="L48" s="29"/>
    </row>
    <row r="49" spans="2:12" ht="15">
      <c r="B49" s="23"/>
      <c r="C49" s="33" t="s">
        <v>382</v>
      </c>
      <c r="D49" s="153"/>
      <c r="E49" s="153"/>
      <c r="F49" s="153"/>
      <c r="G49" s="153"/>
      <c r="H49" s="153"/>
      <c r="I49" s="29"/>
      <c r="J49" s="29"/>
      <c r="K49" s="29"/>
      <c r="L49" s="29"/>
    </row>
    <row r="50" spans="2:12">
      <c r="B50" s="23">
        <v>1</v>
      </c>
      <c r="C50" s="23"/>
      <c r="D50" s="153"/>
      <c r="E50" s="153"/>
      <c r="F50" s="153"/>
      <c r="G50" s="153"/>
      <c r="H50" s="153"/>
      <c r="I50" s="29"/>
      <c r="J50" s="29"/>
      <c r="K50" s="29"/>
      <c r="L50" s="29"/>
    </row>
    <row r="51" spans="2:12">
      <c r="B51" s="23">
        <v>2</v>
      </c>
      <c r="C51" s="23"/>
      <c r="D51" s="153"/>
      <c r="E51" s="153"/>
      <c r="F51" s="153"/>
      <c r="G51" s="153"/>
      <c r="H51" s="153"/>
      <c r="I51" s="29"/>
      <c r="J51" s="29"/>
      <c r="K51" s="29"/>
      <c r="L51" s="29"/>
    </row>
    <row r="52" spans="2:12">
      <c r="B52" s="23">
        <v>3</v>
      </c>
      <c r="C52" s="23"/>
      <c r="D52" s="153"/>
      <c r="E52" s="153"/>
      <c r="F52" s="153"/>
      <c r="G52" s="153"/>
      <c r="H52" s="153"/>
      <c r="I52" s="29"/>
      <c r="J52" s="29"/>
      <c r="K52" s="29"/>
      <c r="L52" s="29"/>
    </row>
    <row r="53" spans="2:12">
      <c r="B53" s="29"/>
      <c r="C53" s="29" t="s">
        <v>9</v>
      </c>
      <c r="D53" s="153"/>
      <c r="E53" s="153"/>
      <c r="F53" s="153"/>
      <c r="G53" s="153"/>
      <c r="H53" s="153"/>
      <c r="I53" s="29"/>
      <c r="J53" s="29"/>
      <c r="K53" s="29"/>
      <c r="L53" s="29"/>
    </row>
    <row r="54" spans="2:12" ht="15">
      <c r="B54" s="29"/>
      <c r="C54" s="25" t="s">
        <v>127</v>
      </c>
      <c r="D54" s="131">
        <f>SUM(D50:D53)</f>
        <v>0</v>
      </c>
      <c r="E54" s="153"/>
      <c r="F54" s="131">
        <f>F53</f>
        <v>0</v>
      </c>
      <c r="G54" s="131">
        <f t="shared" ref="G54:H54" si="6">G53</f>
        <v>0</v>
      </c>
      <c r="H54" s="131">
        <f t="shared" si="6"/>
        <v>0</v>
      </c>
      <c r="I54" s="29"/>
      <c r="J54" s="29"/>
      <c r="K54" s="29"/>
      <c r="L54" s="29"/>
    </row>
    <row r="55" spans="2:12">
      <c r="B55" s="62" t="s">
        <v>254</v>
      </c>
      <c r="C55" s="50" t="s">
        <v>255</v>
      </c>
    </row>
  </sheetData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J21"/>
  <sheetViews>
    <sheetView showGridLines="0" zoomScale="80" zoomScaleNormal="80" workbookViewId="0">
      <selection activeCell="D21" sqref="D21:E21"/>
    </sheetView>
  </sheetViews>
  <sheetFormatPr defaultColWidth="9.28515625" defaultRowHeight="14.25"/>
  <cols>
    <col min="1" max="1" width="2.140625" style="103" customWidth="1"/>
    <col min="2" max="2" width="7.7109375" style="103" customWidth="1"/>
    <col min="3" max="3" width="25" style="103" customWidth="1"/>
    <col min="4" max="4" width="13.42578125" style="103" customWidth="1"/>
    <col min="5" max="5" width="10.7109375" style="103" customWidth="1"/>
    <col min="6" max="6" width="16.28515625" style="103" customWidth="1"/>
    <col min="7" max="7" width="13.42578125" style="103" customWidth="1"/>
    <col min="8" max="8" width="14.42578125" style="103" customWidth="1"/>
    <col min="9" max="9" width="14.28515625" style="103" customWidth="1"/>
    <col min="10" max="10" width="15.7109375" style="103" customWidth="1"/>
    <col min="11" max="16384" width="9.28515625" style="103"/>
  </cols>
  <sheetData>
    <row r="2" spans="2:10" ht="14.25" customHeight="1">
      <c r="B2" s="271" t="s">
        <v>401</v>
      </c>
      <c r="C2" s="271"/>
      <c r="D2" s="271"/>
      <c r="E2" s="271"/>
      <c r="F2" s="271"/>
      <c r="G2" s="271"/>
      <c r="H2" s="271"/>
      <c r="I2" s="271"/>
      <c r="J2" s="271"/>
    </row>
    <row r="3" spans="2:10" ht="14.25" customHeight="1">
      <c r="B3" s="271" t="s">
        <v>377</v>
      </c>
      <c r="C3" s="271"/>
      <c r="D3" s="271"/>
      <c r="E3" s="271"/>
      <c r="F3" s="271"/>
      <c r="G3" s="271"/>
      <c r="H3" s="271"/>
      <c r="I3" s="271"/>
      <c r="J3" s="271"/>
    </row>
    <row r="4" spans="2:10" ht="14.25" customHeight="1">
      <c r="B4" s="272" t="s">
        <v>306</v>
      </c>
      <c r="C4" s="272"/>
      <c r="D4" s="272"/>
      <c r="E4" s="272"/>
      <c r="F4" s="272"/>
      <c r="G4" s="272"/>
      <c r="H4" s="272"/>
      <c r="I4" s="272"/>
      <c r="J4" s="272"/>
    </row>
    <row r="6" spans="2:10" ht="15" customHeight="1">
      <c r="B6" s="285" t="s">
        <v>186</v>
      </c>
      <c r="C6" s="275" t="s">
        <v>18</v>
      </c>
      <c r="D6" s="285" t="s">
        <v>383</v>
      </c>
      <c r="E6" s="249" t="s">
        <v>384</v>
      </c>
      <c r="F6" s="285" t="s">
        <v>225</v>
      </c>
      <c r="G6" s="285"/>
      <c r="H6" s="285"/>
      <c r="I6" s="285"/>
      <c r="J6" s="285"/>
    </row>
    <row r="7" spans="2:10" ht="15">
      <c r="B7" s="285"/>
      <c r="C7" s="275"/>
      <c r="D7" s="285"/>
      <c r="E7" s="21" t="s">
        <v>242</v>
      </c>
      <c r="F7" s="21" t="s">
        <v>378</v>
      </c>
      <c r="G7" s="21" t="s">
        <v>379</v>
      </c>
      <c r="H7" s="21" t="s">
        <v>380</v>
      </c>
      <c r="I7" s="21" t="s">
        <v>381</v>
      </c>
      <c r="J7" s="21" t="s">
        <v>382</v>
      </c>
    </row>
    <row r="8" spans="2:10" ht="30">
      <c r="B8" s="285"/>
      <c r="C8" s="275"/>
      <c r="D8" s="104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05">
        <v>1</v>
      </c>
      <c r="C9" s="30" t="s">
        <v>307</v>
      </c>
      <c r="D9" s="126">
        <f>F3.1!H15</f>
        <v>12.242824666999999</v>
      </c>
      <c r="E9" s="126">
        <f>F3.1!H22</f>
        <v>8.5</v>
      </c>
      <c r="F9" s="126">
        <f>F3.1!H30</f>
        <v>161.19999999999999</v>
      </c>
      <c r="G9" s="126">
        <f>F3.1!H36</f>
        <v>0</v>
      </c>
      <c r="H9" s="126">
        <f>F3.1!H40</f>
        <v>0</v>
      </c>
      <c r="I9" s="126">
        <f>F3.1!H46</f>
        <v>0</v>
      </c>
      <c r="J9" s="126">
        <f>F3.1!H52</f>
        <v>0</v>
      </c>
    </row>
    <row r="10" spans="2:10">
      <c r="B10" s="30"/>
      <c r="C10" s="30"/>
      <c r="D10" s="115"/>
      <c r="E10" s="115"/>
      <c r="F10" s="115"/>
      <c r="G10" s="115"/>
      <c r="H10" s="115"/>
      <c r="I10" s="115"/>
      <c r="J10" s="115"/>
    </row>
    <row r="11" spans="2:10" ht="15">
      <c r="B11" s="105">
        <v>2</v>
      </c>
      <c r="C11" s="106" t="s">
        <v>176</v>
      </c>
      <c r="D11" s="115"/>
      <c r="E11" s="115"/>
      <c r="F11" s="115"/>
      <c r="G11" s="115"/>
      <c r="H11" s="115"/>
      <c r="I11" s="115"/>
      <c r="J11" s="115"/>
    </row>
    <row r="12" spans="2:10">
      <c r="B12" s="30"/>
      <c r="C12" s="30" t="s">
        <v>185</v>
      </c>
      <c r="D12" s="115"/>
      <c r="E12" s="115"/>
      <c r="F12" s="115"/>
      <c r="G12" s="115"/>
      <c r="H12" s="115"/>
      <c r="I12" s="115"/>
      <c r="J12" s="115"/>
    </row>
    <row r="13" spans="2:10">
      <c r="B13" s="30"/>
      <c r="C13" s="30" t="s">
        <v>184</v>
      </c>
      <c r="D13" s="115"/>
      <c r="E13" s="115"/>
      <c r="F13" s="115"/>
      <c r="G13" s="115"/>
      <c r="H13" s="115"/>
      <c r="I13" s="115"/>
      <c r="J13" s="115"/>
    </row>
    <row r="14" spans="2:10">
      <c r="B14" s="30"/>
      <c r="C14" s="30" t="s">
        <v>9</v>
      </c>
      <c r="D14" s="115"/>
      <c r="E14" s="115"/>
      <c r="F14" s="115"/>
      <c r="G14" s="115"/>
      <c r="H14" s="115"/>
      <c r="I14" s="115"/>
      <c r="J14" s="115"/>
    </row>
    <row r="15" spans="2:10" ht="15">
      <c r="B15" s="30"/>
      <c r="C15" s="106" t="s">
        <v>174</v>
      </c>
      <c r="D15" s="126">
        <f>SUM(D12:D14)</f>
        <v>0</v>
      </c>
      <c r="E15" s="126">
        <f>SUM(E12:E14)</f>
        <v>0</v>
      </c>
      <c r="F15" s="126">
        <f t="shared" ref="F15:J15" si="0">SUM(F12:F14)</f>
        <v>0</v>
      </c>
      <c r="G15" s="126">
        <f t="shared" si="0"/>
        <v>0</v>
      </c>
      <c r="H15" s="126">
        <f t="shared" si="0"/>
        <v>0</v>
      </c>
      <c r="I15" s="126">
        <f t="shared" si="0"/>
        <v>0</v>
      </c>
      <c r="J15" s="126">
        <f t="shared" si="0"/>
        <v>0</v>
      </c>
    </row>
    <row r="16" spans="2:10">
      <c r="B16" s="30"/>
      <c r="C16" s="30"/>
      <c r="D16" s="115"/>
      <c r="E16" s="115"/>
      <c r="F16" s="115"/>
      <c r="G16" s="115"/>
      <c r="H16" s="115"/>
      <c r="I16" s="115"/>
      <c r="J16" s="115"/>
    </row>
    <row r="17" spans="2:10">
      <c r="B17" s="105">
        <v>3</v>
      </c>
      <c r="C17" s="30" t="s">
        <v>0</v>
      </c>
      <c r="D17" s="115"/>
      <c r="E17" s="115"/>
      <c r="F17" s="115"/>
      <c r="G17" s="115"/>
      <c r="H17" s="115"/>
      <c r="I17" s="115"/>
      <c r="J17" s="115"/>
    </row>
    <row r="18" spans="2:10">
      <c r="B18" s="105">
        <v>4</v>
      </c>
      <c r="C18" s="30" t="s">
        <v>177</v>
      </c>
      <c r="D18" s="115">
        <f>D9</f>
        <v>12.242824666999999</v>
      </c>
      <c r="E18" s="115">
        <f t="shared" ref="E18:F18" si="1">E9</f>
        <v>8.5</v>
      </c>
      <c r="F18" s="115">
        <f t="shared" si="1"/>
        <v>161.19999999999999</v>
      </c>
      <c r="G18" s="115"/>
      <c r="H18" s="115"/>
      <c r="I18" s="115"/>
      <c r="J18" s="115"/>
    </row>
    <row r="19" spans="2:10">
      <c r="B19" s="105">
        <v>5</v>
      </c>
      <c r="C19" s="30" t="s">
        <v>308</v>
      </c>
      <c r="D19" s="115"/>
      <c r="E19" s="115"/>
      <c r="F19" s="115"/>
      <c r="G19" s="115"/>
      <c r="H19" s="115"/>
      <c r="I19" s="115"/>
      <c r="J19" s="115"/>
    </row>
    <row r="20" spans="2:10" ht="15">
      <c r="B20" s="30"/>
      <c r="C20" s="30"/>
      <c r="D20" s="122"/>
      <c r="E20" s="122"/>
      <c r="F20" s="122"/>
      <c r="G20" s="122"/>
      <c r="H20" s="122"/>
      <c r="I20" s="122"/>
      <c r="J20" s="122"/>
    </row>
    <row r="21" spans="2:10" ht="15">
      <c r="B21" s="105">
        <v>6</v>
      </c>
      <c r="C21" s="106" t="s">
        <v>309</v>
      </c>
      <c r="D21" s="126">
        <f>D15+D17+D18+D19</f>
        <v>12.242824666999999</v>
      </c>
      <c r="E21" s="126">
        <f>E15+E17+E18+E19</f>
        <v>8.5</v>
      </c>
      <c r="F21" s="126">
        <f t="shared" ref="F21:J21" si="2">F15+F17+F18+F19</f>
        <v>161.19999999999999</v>
      </c>
      <c r="G21" s="126">
        <f t="shared" si="2"/>
        <v>0</v>
      </c>
      <c r="H21" s="126">
        <f t="shared" si="2"/>
        <v>0</v>
      </c>
      <c r="I21" s="126">
        <f t="shared" si="2"/>
        <v>0</v>
      </c>
      <c r="J21" s="126">
        <f t="shared" si="2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Sheet1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TSGENCO</cp:lastModifiedBy>
  <cp:lastPrinted>2024-09-24T06:10:39Z</cp:lastPrinted>
  <dcterms:created xsi:type="dcterms:W3CDTF">2004-07-28T05:30:50Z</dcterms:created>
  <dcterms:modified xsi:type="dcterms:W3CDTF">2024-09-24T06:25:21Z</dcterms:modified>
</cp:coreProperties>
</file>