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926" activeTab="9"/>
  </bookViews>
  <sheets>
    <sheet name="Title" sheetId="112" r:id="rId1"/>
    <sheet name="Checklist" sheetId="57" r:id="rId2"/>
    <sheet name="F1" sheetId="58" r:id="rId3"/>
    <sheet name="F2" sheetId="66" r:id="rId4"/>
    <sheet name="F2.1" sheetId="67" r:id="rId5"/>
    <sheet name="F2.2" sheetId="68" r:id="rId6"/>
    <sheet name="F2.3" sheetId="69" r:id="rId7"/>
    <sheet name="F3" sheetId="93" r:id="rId8"/>
    <sheet name="F3.1" sheetId="101" r:id="rId9"/>
    <sheet name="F3.2" sheetId="109" r:id="rId10"/>
    <sheet name="F4" sheetId="102" r:id="rId11"/>
    <sheet name="F5" sheetId="103" r:id="rId12"/>
    <sheet name="F6" sheetId="104" r:id="rId13"/>
    <sheet name="F7" sheetId="105" r:id="rId14"/>
    <sheet name="F8" sheetId="106" r:id="rId15"/>
    <sheet name="F9" sheetId="64" r:id="rId16"/>
    <sheet name="F13" sheetId="71" r:id="rId17"/>
    <sheet name="F14" sheetId="72" r:id="rId18"/>
    <sheet name="F15" sheetId="91" r:id="rId19"/>
  </sheets>
  <externalReferences>
    <externalReference r:id="rId20"/>
    <externalReference r:id="rId21"/>
    <externalReference r:id="rId22"/>
  </externalReferences>
  <definedNames>
    <definedName name="__123Graph_A" localSheetId="7" hidden="1">[1]CE!#REF!</definedName>
    <definedName name="__123Graph_A" localSheetId="8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" localSheetId="14" hidden="1">[1]CE!#REF!</definedName>
    <definedName name="__123Graph_ASTNPLF" localSheetId="7" hidden="1">[1]CE!#REF!</definedName>
    <definedName name="__123Graph_ASTNPLF" localSheetId="8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ASTNPLF" localSheetId="14" hidden="1">[1]CE!#REF!</definedName>
    <definedName name="__123Graph_B" localSheetId="7" hidden="1">[1]CE!#REF!</definedName>
    <definedName name="__123Graph_B" localSheetId="8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" localSheetId="14" hidden="1">[1]CE!#REF!</definedName>
    <definedName name="__123Graph_BSTNPLF" localSheetId="7" hidden="1">[1]CE!#REF!</definedName>
    <definedName name="__123Graph_BSTNPLF" localSheetId="8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BSTNPLF" localSheetId="14" hidden="1">[1]CE!#REF!</definedName>
    <definedName name="__123Graph_C" localSheetId="7" hidden="1">[1]CE!#REF!</definedName>
    <definedName name="__123Graph_C" localSheetId="8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" localSheetId="14" hidden="1">[1]CE!#REF!</definedName>
    <definedName name="__123Graph_CSTNPLF" localSheetId="7" hidden="1">[1]CE!#REF!</definedName>
    <definedName name="__123Graph_CSTNPLF" localSheetId="8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CSTNPLF" localSheetId="14" hidden="1">[1]CE!#REF!</definedName>
    <definedName name="__123Graph_X" localSheetId="7" hidden="1">[1]CE!#REF!</definedName>
    <definedName name="__123Graph_X" localSheetId="8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" localSheetId="14" hidden="1">[1]CE!#REF!</definedName>
    <definedName name="__123Graph_XSTNPLF" localSheetId="7" hidden="1">[1]CE!#REF!</definedName>
    <definedName name="__123Graph_XSTNPLF" localSheetId="8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_123Graph_XSTNPLF" localSheetId="14" hidden="1">[1]CE!#REF!</definedName>
    <definedName name="_Fill" localSheetId="7" hidden="1">#REF!</definedName>
    <definedName name="_Fill" localSheetId="8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new" localSheetId="7" hidden="1">[2]CE!#REF!</definedName>
    <definedName name="new" localSheetId="8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new" localSheetId="14" hidden="1">[2]CE!#REF!</definedName>
    <definedName name="_xlnm.Print_Area" localSheetId="1">Checklist!$A$1:$E$41</definedName>
    <definedName name="_xlnm.Print_Area" localSheetId="10">'F4'!$A$1:$O$75</definedName>
    <definedName name="xxxx" localSheetId="7" hidden="1">[3]CE!#REF!</definedName>
    <definedName name="xxxx" localSheetId="8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  <definedName name="xxxx" localSheetId="14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09"/>
  <c r="E21"/>
  <c r="E15"/>
  <c r="M14" i="103" l="1"/>
  <c r="L12" i="93"/>
  <c r="H52" i="101"/>
  <c r="G52"/>
  <c r="M11" i="93" s="1"/>
  <c r="F52" i="101"/>
  <c r="D52"/>
  <c r="H46"/>
  <c r="G46"/>
  <c r="L11" i="93" s="1"/>
  <c r="F46" i="101"/>
  <c r="H40"/>
  <c r="G40"/>
  <c r="K11" i="93" s="1"/>
  <c r="F40" i="101"/>
  <c r="H34"/>
  <c r="G34"/>
  <c r="J11" i="93" s="1"/>
  <c r="F34" i="101"/>
  <c r="H28"/>
  <c r="G28"/>
  <c r="I11" i="93" s="1"/>
  <c r="F28" i="101"/>
  <c r="H20"/>
  <c r="G20"/>
  <c r="F20"/>
  <c r="H14"/>
  <c r="G14"/>
  <c r="F14"/>
  <c r="G9"/>
  <c r="G8"/>
  <c r="I11" i="105" l="1"/>
  <c r="I12" s="1"/>
  <c r="K14" i="103"/>
  <c r="I12" i="93"/>
  <c r="J11" i="105"/>
  <c r="J12" s="1"/>
  <c r="L14" i="103"/>
  <c r="J12" i="93"/>
  <c r="K11" i="105"/>
  <c r="K12" s="1"/>
  <c r="K12" i="93"/>
  <c r="L11" i="105"/>
  <c r="L12" s="1"/>
  <c r="N14" i="103"/>
  <c r="M11" i="105"/>
  <c r="M12" s="1"/>
  <c r="O14" i="103"/>
  <c r="M12" i="93"/>
  <c r="D72" i="7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C22"/>
  <c r="D12"/>
  <c r="E12"/>
  <c r="F12"/>
  <c r="G12"/>
  <c r="H12"/>
  <c r="I12"/>
  <c r="J12"/>
  <c r="K12"/>
  <c r="L12"/>
  <c r="M12"/>
  <c r="N12"/>
  <c r="C12"/>
  <c r="I14" i="58"/>
  <c r="F14"/>
  <c r="N20" i="71"/>
  <c r="M20"/>
  <c r="L20"/>
  <c r="K20"/>
  <c r="N18"/>
  <c r="N22" s="1"/>
  <c r="M18"/>
  <c r="M22" s="1"/>
  <c r="L18"/>
  <c r="K18"/>
  <c r="J20"/>
  <c r="J18"/>
  <c r="I20"/>
  <c r="I18"/>
  <c r="J12" i="102"/>
  <c r="L22" i="71" l="1"/>
  <c r="K22"/>
  <c r="J22"/>
  <c r="I22"/>
  <c r="O70"/>
  <c r="O68"/>
  <c r="O60"/>
  <c r="O58"/>
  <c r="O50"/>
  <c r="O48"/>
  <c r="O40"/>
  <c r="O38"/>
  <c r="O30"/>
  <c r="O28"/>
  <c r="O20"/>
  <c r="O18"/>
  <c r="O10"/>
  <c r="O8"/>
  <c r="H14" i="66"/>
  <c r="E14"/>
  <c r="L75" i="102"/>
  <c r="H75"/>
  <c r="G75"/>
  <c r="L66"/>
  <c r="H66"/>
  <c r="G66"/>
  <c r="L57"/>
  <c r="H57"/>
  <c r="G57"/>
  <c r="L48"/>
  <c r="H48"/>
  <c r="L21"/>
  <c r="G21"/>
  <c r="H21"/>
  <c r="Q21"/>
  <c r="F21"/>
  <c r="N12"/>
  <c r="I12"/>
  <c r="M12" s="1"/>
  <c r="N11"/>
  <c r="I11"/>
  <c r="N10"/>
  <c r="M10"/>
  <c r="I10"/>
  <c r="N9"/>
  <c r="I9"/>
  <c r="N16"/>
  <c r="M16"/>
  <c r="I16"/>
  <c r="N15"/>
  <c r="I15"/>
  <c r="N14"/>
  <c r="I14"/>
  <c r="M14" s="1"/>
  <c r="N13"/>
  <c r="I13"/>
  <c r="H34" i="67"/>
  <c r="I34"/>
  <c r="E34"/>
  <c r="F34"/>
  <c r="G34"/>
  <c r="D34"/>
  <c r="Q15" i="91"/>
  <c r="Q14"/>
  <c r="O32" i="71" l="1"/>
  <c r="O52"/>
  <c r="O72"/>
  <c r="O62"/>
  <c r="O42"/>
  <c r="O22"/>
  <c r="O12"/>
  <c r="M9" i="102"/>
  <c r="O9" s="1"/>
  <c r="D10" i="105"/>
  <c r="E10" s="1"/>
  <c r="F10" s="1"/>
  <c r="D10" i="103"/>
  <c r="D11"/>
  <c r="O12" i="102"/>
  <c r="O10"/>
  <c r="M11"/>
  <c r="O16"/>
  <c r="O14"/>
  <c r="M15"/>
  <c r="O15" s="1"/>
  <c r="M13"/>
  <c r="O13" s="1"/>
  <c r="P25" i="91"/>
  <c r="O25"/>
  <c r="N25"/>
  <c r="M25"/>
  <c r="L25"/>
  <c r="K25"/>
  <c r="J25"/>
  <c r="I25"/>
  <c r="H25"/>
  <c r="G25"/>
  <c r="F25"/>
  <c r="E25"/>
  <c r="Q21"/>
  <c r="Q25" s="1"/>
  <c r="Q30" s="1"/>
  <c r="Q19"/>
  <c r="O11" i="102" l="1"/>
  <c r="G10" i="103"/>
  <c r="E10"/>
  <c r="E11"/>
  <c r="F11" s="1"/>
  <c r="G11"/>
  <c r="G12" i="105"/>
  <c r="D12"/>
  <c r="F10" i="103" l="1"/>
  <c r="D38" i="68"/>
  <c r="D40" s="1"/>
  <c r="D18" i="69"/>
  <c r="D21" s="1"/>
  <c r="D15" i="109"/>
  <c r="D21" s="1"/>
  <c r="D54" i="103"/>
  <c r="G15"/>
  <c r="D15"/>
  <c r="D17" s="1"/>
  <c r="D14" i="105"/>
  <c r="H12" i="103"/>
  <c r="G12"/>
  <c r="D12"/>
  <c r="N17" i="102"/>
  <c r="I17"/>
  <c r="D22" i="106"/>
  <c r="N18" i="72"/>
  <c r="J18"/>
  <c r="G18"/>
  <c r="C18"/>
  <c r="E30" i="91"/>
  <c r="E16"/>
  <c r="F26" i="102" l="1"/>
  <c r="M17"/>
  <c r="D16" i="103"/>
  <c r="D18" s="1"/>
  <c r="D20" s="1"/>
  <c r="O17" i="102" l="1"/>
  <c r="G13" i="104"/>
  <c r="D13"/>
  <c r="M34" i="67"/>
  <c r="M36" s="1"/>
  <c r="N11" i="66" s="1"/>
  <c r="L34" i="67"/>
  <c r="L36" s="1"/>
  <c r="M11" i="66" s="1"/>
  <c r="K34" i="67"/>
  <c r="K36" s="1"/>
  <c r="L11" i="66" s="1"/>
  <c r="J34" i="67"/>
  <c r="J36" s="1"/>
  <c r="K11" i="66" s="1"/>
  <c r="I36" i="67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H11"/>
  <c r="J15" i="109"/>
  <c r="J21" s="1"/>
  <c r="I15"/>
  <c r="I21" s="1"/>
  <c r="H15"/>
  <c r="H21" s="1"/>
  <c r="G15"/>
  <c r="G21" s="1"/>
  <c r="F15"/>
  <c r="F21" s="1"/>
  <c r="L61" i="103"/>
  <c r="K61"/>
  <c r="J61"/>
  <c r="I61"/>
  <c r="H61"/>
  <c r="G61"/>
  <c r="F61"/>
  <c r="E61"/>
  <c r="D61"/>
  <c r="L56"/>
  <c r="K56"/>
  <c r="J56"/>
  <c r="I56"/>
  <c r="H56"/>
  <c r="G56"/>
  <c r="F56"/>
  <c r="E56"/>
  <c r="D56"/>
  <c r="L55"/>
  <c r="K55"/>
  <c r="J55"/>
  <c r="I55"/>
  <c r="H55"/>
  <c r="G55"/>
  <c r="F55"/>
  <c r="E55"/>
  <c r="D55"/>
  <c r="L54"/>
  <c r="K54"/>
  <c r="J54"/>
  <c r="I54"/>
  <c r="H54"/>
  <c r="G54"/>
  <c r="F54"/>
  <c r="E54"/>
  <c r="L46"/>
  <c r="L47" s="1"/>
  <c r="L49" s="1"/>
  <c r="L51" s="1"/>
  <c r="K46"/>
  <c r="K47" s="1"/>
  <c r="K49" s="1"/>
  <c r="K51" s="1"/>
  <c r="J46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D46"/>
  <c r="L36"/>
  <c r="L37" s="1"/>
  <c r="L39" s="1"/>
  <c r="K36"/>
  <c r="K37" s="1"/>
  <c r="K39" s="1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D36"/>
  <c r="D37" s="1"/>
  <c r="D39" s="1"/>
  <c r="D41" s="1"/>
  <c r="G17"/>
  <c r="I12"/>
  <c r="F12"/>
  <c r="E12"/>
  <c r="D18" i="105"/>
  <c r="M18"/>
  <c r="L18"/>
  <c r="K18"/>
  <c r="J18"/>
  <c r="I18"/>
  <c r="H18"/>
  <c r="G18"/>
  <c r="F18"/>
  <c r="E18"/>
  <c r="L39" i="102"/>
  <c r="H39"/>
  <c r="L30"/>
  <c r="H30"/>
  <c r="G30"/>
  <c r="N20"/>
  <c r="I20"/>
  <c r="M20" s="1"/>
  <c r="N19"/>
  <c r="I19"/>
  <c r="N18"/>
  <c r="I18"/>
  <c r="N21" l="1"/>
  <c r="M18"/>
  <c r="O18" s="1"/>
  <c r="O21" s="1"/>
  <c r="I21"/>
  <c r="F30" s="1"/>
  <c r="L14" i="66"/>
  <c r="K13" i="104" s="1"/>
  <c r="F27" i="102"/>
  <c r="N27" s="1"/>
  <c r="I14" i="66"/>
  <c r="H13" i="104" s="1"/>
  <c r="D47" i="103"/>
  <c r="D49" s="1"/>
  <c r="J57"/>
  <c r="G9" i="109"/>
  <c r="G48" i="102"/>
  <c r="E14" i="103"/>
  <c r="J10" s="1"/>
  <c r="D9" i="109"/>
  <c r="E12" i="93"/>
  <c r="F12" s="1"/>
  <c r="E11" i="105"/>
  <c r="F14" i="66"/>
  <c r="E13" i="104" s="1"/>
  <c r="E57" i="103"/>
  <c r="I57"/>
  <c r="F9" i="109"/>
  <c r="G39" i="102"/>
  <c r="J9" i="109"/>
  <c r="D20" i="105"/>
  <c r="D21" s="1"/>
  <c r="J14" i="103"/>
  <c r="E9" i="109"/>
  <c r="H12" i="93"/>
  <c r="H11" i="105"/>
  <c r="H12" s="1"/>
  <c r="I9" i="109"/>
  <c r="M12" i="66"/>
  <c r="M14" s="1"/>
  <c r="G14"/>
  <c r="F13" i="104" s="1"/>
  <c r="H9" i="109"/>
  <c r="F11" i="93"/>
  <c r="J14" i="66"/>
  <c r="I13" i="104" s="1"/>
  <c r="N14" i="66"/>
  <c r="M13" i="104" s="1"/>
  <c r="K14" i="66"/>
  <c r="J13" i="104" s="1"/>
  <c r="I27" i="102"/>
  <c r="I11" i="58"/>
  <c r="K57" i="103"/>
  <c r="K58" s="1"/>
  <c r="F28" i="102"/>
  <c r="J58" i="103"/>
  <c r="M19" i="102"/>
  <c r="O19" s="1"/>
  <c r="G57" i="103"/>
  <c r="G58" s="1"/>
  <c r="F29" i="102"/>
  <c r="F57" i="103"/>
  <c r="F58" s="1"/>
  <c r="G20" i="69"/>
  <c r="F11" i="58"/>
  <c r="I10" i="93"/>
  <c r="J60" i="103"/>
  <c r="J41"/>
  <c r="G41"/>
  <c r="G60"/>
  <c r="K41"/>
  <c r="K60"/>
  <c r="L60"/>
  <c r="L41"/>
  <c r="F60"/>
  <c r="F41"/>
  <c r="H60"/>
  <c r="H41"/>
  <c r="E41"/>
  <c r="E60"/>
  <c r="I41"/>
  <c r="I60"/>
  <c r="I58"/>
  <c r="D57"/>
  <c r="D58" s="1"/>
  <c r="H57"/>
  <c r="H58" s="1"/>
  <c r="L57"/>
  <c r="L58" s="1"/>
  <c r="E58"/>
  <c r="F13" i="58"/>
  <c r="G16" i="103"/>
  <c r="G18" s="1"/>
  <c r="G20" s="1"/>
  <c r="I13" i="58" s="1"/>
  <c r="E20" i="105"/>
  <c r="F20"/>
  <c r="N26" i="102"/>
  <c r="I26"/>
  <c r="O20"/>
  <c r="J59" i="103" l="1"/>
  <c r="M11" i="58"/>
  <c r="I59" i="103"/>
  <c r="D14" i="104"/>
  <c r="K10" i="103"/>
  <c r="G10" i="105"/>
  <c r="I30" i="102"/>
  <c r="F39" s="1"/>
  <c r="I39" s="1"/>
  <c r="F48" s="1"/>
  <c r="I48" s="1"/>
  <c r="F57" s="1"/>
  <c r="I57" s="1"/>
  <c r="F66" s="1"/>
  <c r="I66" s="1"/>
  <c r="F75" s="1"/>
  <c r="I75" s="1"/>
  <c r="M21"/>
  <c r="J30" s="1"/>
  <c r="F13" i="93"/>
  <c r="I13"/>
  <c r="J10" s="1"/>
  <c r="J13" s="1"/>
  <c r="K10" s="1"/>
  <c r="K13" s="1"/>
  <c r="I28" i="102"/>
  <c r="F37" s="1"/>
  <c r="I37" s="1"/>
  <c r="F46" s="1"/>
  <c r="I46" s="1"/>
  <c r="F55" s="1"/>
  <c r="N55" s="1"/>
  <c r="N28"/>
  <c r="J11" i="58"/>
  <c r="H14" i="104" s="1"/>
  <c r="H11" i="58"/>
  <c r="L13" i="104"/>
  <c r="N11" i="58"/>
  <c r="D51" i="103"/>
  <c r="D60"/>
  <c r="D59" s="1"/>
  <c r="H20" i="69"/>
  <c r="H21" s="1"/>
  <c r="F14" i="103"/>
  <c r="H59"/>
  <c r="G59"/>
  <c r="G11" i="58"/>
  <c r="E14" i="104" s="1"/>
  <c r="F14" s="1"/>
  <c r="E13" i="93"/>
  <c r="H10" s="1"/>
  <c r="E12" i="105"/>
  <c r="E14" s="1"/>
  <c r="F11"/>
  <c r="F12" s="1"/>
  <c r="F14" s="1"/>
  <c r="F21" s="1"/>
  <c r="F22" s="1"/>
  <c r="H15" i="58" s="1"/>
  <c r="I20" i="103"/>
  <c r="I22" s="1"/>
  <c r="E59"/>
  <c r="H20" s="1"/>
  <c r="H22" s="1"/>
  <c r="L59"/>
  <c r="F59"/>
  <c r="K59"/>
  <c r="K37" i="102"/>
  <c r="M37" s="1"/>
  <c r="O37" s="1"/>
  <c r="G21" i="69"/>
  <c r="L11" i="58"/>
  <c r="N29" i="102"/>
  <c r="N30" s="1"/>
  <c r="I29"/>
  <c r="K11" i="58"/>
  <c r="K26" i="102"/>
  <c r="M26" s="1"/>
  <c r="O26" s="1"/>
  <c r="F35"/>
  <c r="K27"/>
  <c r="M27" s="1"/>
  <c r="O27" s="1"/>
  <c r="F36"/>
  <c r="O11" i="58"/>
  <c r="F62" i="103"/>
  <c r="I62"/>
  <c r="H62"/>
  <c r="K62"/>
  <c r="G62"/>
  <c r="L62"/>
  <c r="E62"/>
  <c r="J62"/>
  <c r="F15" i="58"/>
  <c r="K46" i="102"/>
  <c r="M46" s="1"/>
  <c r="O46" s="1"/>
  <c r="K28"/>
  <c r="M28" s="1"/>
  <c r="O28" s="1"/>
  <c r="Q11" i="58" l="1"/>
  <c r="I55" i="102"/>
  <c r="N37"/>
  <c r="N46"/>
  <c r="E21" i="105"/>
  <c r="E22" s="1"/>
  <c r="G15" i="58" s="1"/>
  <c r="H10" i="105"/>
  <c r="M30" i="102"/>
  <c r="J39" s="1"/>
  <c r="M39" s="1"/>
  <c r="J48" s="1"/>
  <c r="M48" s="1"/>
  <c r="J57" s="1"/>
  <c r="M57" s="1"/>
  <c r="J66" s="1"/>
  <c r="M66" s="1"/>
  <c r="J75" s="1"/>
  <c r="M75" s="1"/>
  <c r="G14" i="105"/>
  <c r="G20"/>
  <c r="L10" i="103"/>
  <c r="L10" i="93"/>
  <c r="L13" s="1"/>
  <c r="D62" i="103"/>
  <c r="H12" i="58"/>
  <c r="I36" i="102"/>
  <c r="F45" s="1"/>
  <c r="N36"/>
  <c r="I35"/>
  <c r="N35"/>
  <c r="F38"/>
  <c r="K29"/>
  <c r="M29" s="1"/>
  <c r="O29" s="1"/>
  <c r="O30" s="1"/>
  <c r="F64" l="1"/>
  <c r="K55"/>
  <c r="M55" s="1"/>
  <c r="O55" s="1"/>
  <c r="F15" i="103"/>
  <c r="G12" i="58"/>
  <c r="E15" i="103" s="1"/>
  <c r="M10"/>
  <c r="G21" i="105"/>
  <c r="I15" i="58" s="1"/>
  <c r="H20" i="105"/>
  <c r="H14"/>
  <c r="I10" s="1"/>
  <c r="E30" i="102"/>
  <c r="M10" i="93"/>
  <c r="M13" s="1"/>
  <c r="J12" i="58"/>
  <c r="J15" i="103" s="1"/>
  <c r="K36" i="102"/>
  <c r="M36" s="1"/>
  <c r="O36" s="1"/>
  <c r="F44"/>
  <c r="K35"/>
  <c r="N45"/>
  <c r="I45"/>
  <c r="F54" s="1"/>
  <c r="N38"/>
  <c r="N39" s="1"/>
  <c r="I38"/>
  <c r="I64" l="1"/>
  <c r="F73" s="1"/>
  <c r="N64"/>
  <c r="F16" i="103"/>
  <c r="F18" s="1"/>
  <c r="F20" s="1"/>
  <c r="F22" s="1"/>
  <c r="H13" i="58" s="1"/>
  <c r="J11" i="103"/>
  <c r="J12" s="1"/>
  <c r="J16" s="1"/>
  <c r="J18" s="1"/>
  <c r="J20" s="1"/>
  <c r="J22" s="1"/>
  <c r="J13" i="58" s="1"/>
  <c r="F17" i="103"/>
  <c r="H21" i="105"/>
  <c r="H22" s="1"/>
  <c r="J15" i="58" s="1"/>
  <c r="I20" i="105"/>
  <c r="I14"/>
  <c r="J10" s="1"/>
  <c r="N10" i="103"/>
  <c r="E17"/>
  <c r="E16"/>
  <c r="E18" s="1"/>
  <c r="E20" s="1"/>
  <c r="E22" s="1"/>
  <c r="G13" i="58" s="1"/>
  <c r="I14" i="104"/>
  <c r="I20" i="69"/>
  <c r="I21" s="1"/>
  <c r="J17" i="103"/>
  <c r="K45" i="102"/>
  <c r="M45" s="1"/>
  <c r="O45" s="1"/>
  <c r="M35"/>
  <c r="N54"/>
  <c r="I54"/>
  <c r="N44"/>
  <c r="I44"/>
  <c r="K44" s="1"/>
  <c r="F47"/>
  <c r="K38"/>
  <c r="M38" s="1"/>
  <c r="O38" s="1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Q16" i="58" l="1"/>
  <c r="I73" i="102"/>
  <c r="K73" s="1"/>
  <c r="M73" s="1"/>
  <c r="O73" s="1"/>
  <c r="N73"/>
  <c r="K64"/>
  <c r="M64" s="1"/>
  <c r="O64" s="1"/>
  <c r="K11" i="103"/>
  <c r="K12" s="1"/>
  <c r="I21" i="105"/>
  <c r="I22" s="1"/>
  <c r="K15" i="58" s="1"/>
  <c r="O10" i="103"/>
  <c r="J20" i="105"/>
  <c r="J14"/>
  <c r="K10" s="1"/>
  <c r="J14" i="104"/>
  <c r="J20" i="69"/>
  <c r="J21" s="1"/>
  <c r="D17" i="104"/>
  <c r="O35" i="102"/>
  <c r="O39" s="1"/>
  <c r="M44"/>
  <c r="O44" s="1"/>
  <c r="K54"/>
  <c r="M54" s="1"/>
  <c r="O54" s="1"/>
  <c r="F63"/>
  <c r="N47"/>
  <c r="N48" s="1"/>
  <c r="I47"/>
  <c r="F56" s="1"/>
  <c r="F53"/>
  <c r="J21" i="105" l="1"/>
  <c r="J22" s="1"/>
  <c r="L15" i="58" s="1"/>
  <c r="K20" i="105"/>
  <c r="K14"/>
  <c r="L10" s="1"/>
  <c r="E39" i="102"/>
  <c r="K12" i="58"/>
  <c r="K47" i="102"/>
  <c r="M47" s="1"/>
  <c r="O47" s="1"/>
  <c r="O48" s="1"/>
  <c r="I53"/>
  <c r="N53"/>
  <c r="N56"/>
  <c r="I56"/>
  <c r="F65" s="1"/>
  <c r="I63"/>
  <c r="F72" s="1"/>
  <c r="N63"/>
  <c r="K63"/>
  <c r="M63" s="1"/>
  <c r="O63" s="1"/>
  <c r="K15" i="103" l="1"/>
  <c r="L11" s="1"/>
  <c r="K21" i="105"/>
  <c r="K22" s="1"/>
  <c r="M15" i="58" s="1"/>
  <c r="N57" i="102"/>
  <c r="L12" i="103"/>
  <c r="L20" i="105"/>
  <c r="L14"/>
  <c r="M10" s="1"/>
  <c r="K16" i="103"/>
  <c r="K18" s="1"/>
  <c r="K20" s="1"/>
  <c r="K22" s="1"/>
  <c r="K13" i="58" s="1"/>
  <c r="K14" i="104"/>
  <c r="K20" i="69"/>
  <c r="K21" s="1"/>
  <c r="L12" i="58"/>
  <c r="E48" i="102"/>
  <c r="I65"/>
  <c r="N65"/>
  <c r="F62"/>
  <c r="N72"/>
  <c r="I72"/>
  <c r="K72" s="1"/>
  <c r="M72" s="1"/>
  <c r="O72" s="1"/>
  <c r="K56"/>
  <c r="M56" s="1"/>
  <c r="O56" s="1"/>
  <c r="K53"/>
  <c r="B20" i="58"/>
  <c r="B21" s="1"/>
  <c r="K17" i="103" l="1"/>
  <c r="L15"/>
  <c r="M11" s="1"/>
  <c r="M12" s="1"/>
  <c r="M20" i="105"/>
  <c r="M14"/>
  <c r="L21"/>
  <c r="L22" s="1"/>
  <c r="N15" i="58" s="1"/>
  <c r="L16" i="103"/>
  <c r="L18" s="1"/>
  <c r="L20" s="1"/>
  <c r="L22" s="1"/>
  <c r="L13" i="58" s="1"/>
  <c r="L17" i="103"/>
  <c r="M53" i="102"/>
  <c r="F74"/>
  <c r="N62"/>
  <c r="N66" s="1"/>
  <c r="I62"/>
  <c r="K62" s="1"/>
  <c r="K65"/>
  <c r="M65" s="1"/>
  <c r="O65" s="1"/>
  <c r="M21" i="105" l="1"/>
  <c r="M22" s="1"/>
  <c r="O15" i="58" s="1"/>
  <c r="Q15" s="1"/>
  <c r="L14" i="104"/>
  <c r="L20" i="69"/>
  <c r="L21" s="1"/>
  <c r="E57" i="102"/>
  <c r="M12" i="58"/>
  <c r="M62" i="102"/>
  <c r="F71"/>
  <c r="N74"/>
  <c r="I74"/>
  <c r="K74" s="1"/>
  <c r="M74" s="1"/>
  <c r="O53"/>
  <c r="O57" s="1"/>
  <c r="M15" i="103" l="1"/>
  <c r="N11" s="1"/>
  <c r="N12" s="1"/>
  <c r="N12" i="58"/>
  <c r="E66" i="102"/>
  <c r="O74"/>
  <c r="N71"/>
  <c r="N75" s="1"/>
  <c r="I71"/>
  <c r="O62"/>
  <c r="O66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M17" l="1"/>
  <c r="M16"/>
  <c r="M18" s="1"/>
  <c r="M20" s="1"/>
  <c r="M22" s="1"/>
  <c r="M13" i="58" s="1"/>
  <c r="N15" i="103"/>
  <c r="O11" s="1"/>
  <c r="O12" s="1"/>
  <c r="N17"/>
  <c r="M14" i="104"/>
  <c r="M20" i="69"/>
  <c r="M21" s="1"/>
  <c r="K71" i="102"/>
  <c r="B21" i="105"/>
  <c r="B22" s="1"/>
  <c r="B12" i="58"/>
  <c r="B13" s="1"/>
  <c r="B14" s="1"/>
  <c r="B15" s="1"/>
  <c r="B16" s="1"/>
  <c r="B17" s="1"/>
  <c r="N16" i="103" l="1"/>
  <c r="N18" s="1"/>
  <c r="N20" s="1"/>
  <c r="N22" s="1"/>
  <c r="N13" i="58" s="1"/>
  <c r="M71" i="102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E75" i="102" l="1"/>
  <c r="O12" i="58"/>
  <c r="O71" i="102"/>
  <c r="O75" s="1"/>
  <c r="B9" i="57"/>
  <c r="B10" s="1"/>
  <c r="B11" s="1"/>
  <c r="B12" s="1"/>
  <c r="O15" i="103" l="1"/>
  <c r="O16" s="1"/>
  <c r="O18" s="1"/>
  <c r="O20" s="1"/>
  <c r="Q12" i="58"/>
  <c r="B13" i="57"/>
  <c r="B14" s="1"/>
  <c r="B15" s="1"/>
  <c r="B12" i="66"/>
  <c r="B13" s="1"/>
  <c r="B14" s="1"/>
  <c r="B28" i="67"/>
  <c r="B29" s="1"/>
  <c r="B30" s="1"/>
  <c r="B31" s="1"/>
  <c r="O17" i="103" l="1"/>
  <c r="O22"/>
  <c r="O13" i="58" s="1"/>
  <c r="Q13" s="1"/>
  <c r="B16" i="57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F17" i="58" l="1"/>
  <c r="I17"/>
  <c r="F22" l="1"/>
  <c r="D15" i="104" s="1"/>
  <c r="D18" s="1"/>
  <c r="F23" i="58"/>
  <c r="I22"/>
  <c r="G15" i="104" s="1"/>
  <c r="G18" s="1"/>
  <c r="I23" i="58"/>
  <c r="G14"/>
  <c r="H14"/>
  <c r="J14"/>
  <c r="K14"/>
  <c r="L14"/>
  <c r="M14"/>
  <c r="N14"/>
  <c r="O14"/>
  <c r="Q14"/>
  <c r="G17"/>
  <c r="H17"/>
  <c r="J17"/>
  <c r="K17"/>
  <c r="L17"/>
  <c r="M17"/>
  <c r="N17"/>
  <c r="O17"/>
  <c r="Q17"/>
  <c r="G22"/>
  <c r="H22"/>
  <c r="J22"/>
  <c r="K22"/>
  <c r="L22"/>
  <c r="M22"/>
  <c r="N22"/>
  <c r="O22"/>
  <c r="G23"/>
  <c r="H23"/>
  <c r="J23"/>
  <c r="K23"/>
  <c r="L23"/>
  <c r="M23"/>
  <c r="N23"/>
  <c r="O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<sst xmlns="http://schemas.openxmlformats.org/spreadsheetml/2006/main" count="1147" uniqueCount="417">
  <si>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</si>
  <si>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</si>
  <si>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</si>
  <si>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</si>
  <si>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</si>
  <si>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</si>
  <si>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</si>
  <si>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</si>
  <si>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</si>
  <si>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</si>
  <si>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</si>
  <si>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</si>
  <si>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</si>
  <si>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</si>
  <si>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</si>
  <si>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</si>
  <si>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</si>
  <si>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</si>
  <si>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</si>
  <si>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</si>
  <si>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</si>
  <si>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</si>
  <si>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</si>
  <si>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</si>
  <si>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</si>
  <si>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</si>
  <si>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</si>
  <si>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</si>
  <si>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</si>
  <si>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</si>
  <si>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</si>
  <si>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</si>
  <si>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</si>
  <si>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</si>
  <si>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</si>
  <si>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</si>
  <si>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</si>
  <si>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</si>
  <si>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</si>
  <si>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</si>
  <si>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</si>
  <si>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</si>
  <si>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</si>
  <si>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</si>
  <si>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</si>
  <si>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</si>
  <si>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</si>
  <si>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</si>
  <si>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</si>
  <si>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</si>
  <si>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</si>
  <si>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</si>
  <si>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</si>
  <si>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</si>
  <si>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</si>
  <si>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</si>
  <si>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</si>
  <si>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</si>
  <si>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</si>
  <si>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</si>
  <si>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</si>
  <si>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</si>
  <si>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</si>
  <si>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</si>
  <si>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</si>
  <si>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</si>
  <si>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</si>
  <si>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</si>
  <si>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</si>
  <si>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</si>
  <si>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</si>
  <si>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</si>
  <si>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</si>
  <si>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</si>
  <si>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</si>
  <si>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</si>
  <si>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</si>
  <si>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</si>
  <si>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</si>
  <si>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</si>
  <si>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</si>
  <si>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</si>
  <si>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</si>
  <si>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</si>
  <si>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</si>
  <si>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</si>
  <si>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</si>
  <si>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</si>
  <si>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</si>
  <si>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</si>
  <si>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</si>
  <si>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</si>
  <si>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</si>
  <si>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</si>
  <si>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</si>
  <si>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</si>
  <si>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</si>
  <si>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</si>
  <si>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</si>
  <si>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</si>
  <si>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</si>
  <si>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</si>
  <si>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</si>
  <si>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</si>
  <si>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</si>
  <si>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</si>
  <si>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</si>
  <si>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</si>
  <si>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</si>
  <si>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</si>
  <si>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</si>
  <si>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</si>
  <si>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</si>
  <si>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</si>
  <si>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</si>
  <si>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</si>
  <si>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</si>
  <si>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</si>
  <si>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</si>
  <si>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</si>
  <si>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</si>
  <si>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</si>
  <si>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</si>
  <si>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</si>
  <si>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</si>
  <si>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</si>
  <si>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</si>
  <si>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</si>
  <si>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</si>
  <si>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</si>
  <si>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</si>
  <si>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</si>
  <si>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</si>
  <si>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</si>
  <si>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</si>
  <si>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</si>
  <si>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</si>
  <si>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</si>
  <si>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</si>
  <si>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</si>
  <si>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</si>
  <si>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</si>
  <si>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</si>
  <si>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</si>
  <si>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</si>
  <si>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</si>
  <si>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</si>
  <si>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</si>
  <si>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</si>
  <si>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</si>
  <si>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</si>
  <si>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</si>
  <si>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</si>
  <si>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</si>
  <si>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</si>
  <si>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</si>
  <si>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</si>
  <si>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</si>
  <si>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</si>
  <si>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</si>
  <si>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</si>
  <si>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</si>
  <si>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</si>
  <si>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</si>
  <si>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</si>
  <si>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</si>
  <si>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</si>
  <si>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</si>
  <si>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</si>
  <si>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</si>
  <si>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</si>
  <si>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</si>
  <si>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</si>
  <si>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</si>
  <si>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</si>
  <si>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</si>
  <si>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</si>
  <si>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</si>
  <si>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</si>
  <si>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</si>
  <si>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</si>
  <si>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</si>
  <si>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</si>
  <si>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</si>
  <si>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</si>
  <si>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</si>
  <si>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</si>
  <si>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</si>
  <si>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</si>
  <si>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</si>
  <si>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</si>
  <si>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</si>
  <si>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</si>
  <si>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</si>
  <si>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</si>
  <si>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</si>
  <si>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</si>
  <si>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</si>
  <si>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</si>
  <si>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</si>
  <si>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</si>
  <si>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</si>
  <si>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</si>
  <si>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</si>
  <si>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</si>
  <si>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</si>
  <si>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</si>
  <si>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</si>
  <si>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</si>
  <si>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</si>
  <si>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</si>
  <si>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</si>
  <si>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</si>
  <si>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</si>
  <si>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</si>
  <si>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</si>
  <si>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</si>
  <si>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</si>
  <si>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</si>
  <si>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</si>
  <si>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</si>
  <si>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</si>
  <si>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</si>
  <si>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</si>
  <si>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</si>
  <si>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</si>
  <si>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</si>
  <si>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</si>
  <si>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</si>
  <si>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</si>
  <si>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</si>
  <si>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</si>
  <si>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</si>
  <si>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</si>
  <si>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</si>
  <si>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</si>
  <si>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</si>
  <si>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</si>
  <si>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</si>
  <si>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</si>
  <si>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</si>
  <si>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</si>
  <si>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</si>
  <si>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</si>
  <si>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</si>
  <si>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</si>
  <si>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</si>
  <si>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</si>
  <si>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</si>
  <si>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</si>
  <si>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</si>
  <si>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</si>
  <si>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</si>
  <si>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</si>
  <si>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</si>
  <si>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</si>
  <si>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</si>
  <si>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</si>
  <si>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</si>
  <si>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</si>
  <si>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</si>
  <si>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</si>
  <si>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</si>
  <si>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</si>
  <si>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</si>
  <si>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</si>
  <si>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</si>
  <si>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</si>
  <si>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</si>
  <si>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</si>
  <si>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</si>
  <si>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</si>
  <si>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</si>
  <si>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</si>
  <si>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</si>
  <si>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</si>
  <si>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</si>
  <si>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</si>
  <si>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</si>
  <si>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</si>
  <si>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</si>
  <si>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</si>
  <si>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</si>
  <si>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</si>
  <si>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</si>
  <si>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</si>
  <si>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</si>
  <si>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</si>
  <si>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</si>
  <si>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</si>
  <si>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</si>
  <si>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</si>
  <si>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</si>
  <si>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</si>
  <si>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</si>
  <si>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</si>
  <si>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</si>
  <si>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</si>
  <si>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</si>
  <si>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</si>
  <si>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</si>
  <si>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</si>
  <si>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</si>
  <si>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</si>
  <si>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</si>
  <si>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</si>
  <si>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</si>
  <si>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</si>
  <si>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</si>
  <si>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</si>
  <si>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</si>
  <si>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</si>
  <si>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</si>
  <si>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</si>
  <si>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</si>
  <si>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</si>
  <si>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</si>
  <si>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</si>
  <si>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</si>
  <si>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</si>
  <si>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</si>
  <si>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</si>
  <si>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</si>
  <si>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</si>
  <si>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Previous Year (n-1)</t>
  </si>
  <si>
    <t>Fuel Surcharge</t>
  </si>
  <si>
    <t>Energy Charges Amount</t>
  </si>
  <si>
    <t>Form 15: Revenue Reconciliation</t>
  </si>
  <si>
    <t>MYT/Tariff Order</t>
  </si>
  <si>
    <t>Appendix 1: Tariff Filing Forms (Generation)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</si>
  <si>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</si>
  <si>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</si>
  <si>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</si>
  <si>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</si>
  <si>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</si>
  <si>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</si>
  <si>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</si>
  <si>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</si>
  <si>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</si>
  <si>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</si>
  <si>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</si>
  <si>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</si>
  <si>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</si>
  <si>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</si>
  <si>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</si>
  <si>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</si>
  <si>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</si>
  <si>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</si>
  <si>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</si>
  <si>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</si>
  <si>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</si>
  <si>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</si>
  <si>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</si>
  <si>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</si>
  <si>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</si>
  <si>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</si>
  <si>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</si>
  <si>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</si>
  <si>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</si>
  <si>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</si>
  <si>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</si>
  <si>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</si>
  <si>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</si>
  <si>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</si>
  <si>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</si>
  <si>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</si>
  <si>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</si>
  <si>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</si>
  <si>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</si>
  <si>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</si>
  <si>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</si>
  <si>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</si>
  <si>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2022-2023</t>
  </si>
  <si>
    <t>2023-2024</t>
  </si>
  <si>
    <t>2024-2025</t>
  </si>
  <si>
    <t>2025-2026</t>
  </si>
  <si>
    <t>2027-2028</t>
  </si>
  <si>
    <t>2028-2029</t>
  </si>
  <si>
    <t>2026-2027</t>
  </si>
  <si>
    <t>TSSPDCL (70.55%)</t>
  </si>
  <si>
    <t>TSNPDCL (29.45%)</t>
  </si>
  <si>
    <t>TSGENCO</t>
  </si>
  <si>
    <t>Mini Hydel (Peddapally)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</si>
  <si>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</si>
  <si>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</si>
  <si>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</si>
  <si>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</si>
  <si>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</si>
  <si>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</si>
  <si>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</si>
  <si>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>FY 2019-20</t>
  </si>
  <si>
    <t>FY 2020-21</t>
  </si>
  <si>
    <t>FY 2021-22</t>
  </si>
  <si>
    <t>Land &amp; Land Rights</t>
  </si>
  <si>
    <t>Lines &amp;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</si>
  <si>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</si>
  <si>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</si>
  <si>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</si>
  <si>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</si>
  <si>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</si>
  <si>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</si>
  <si>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CWIP PLANT AND MACHINERY</t>
  </si>
  <si>
    <t>CWIP OTHER CIVIL WORKS</t>
  </si>
  <si>
    <t>TGGENCO</t>
  </si>
  <si>
    <t>IT initiatives</t>
  </si>
  <si>
    <t>&lt;TGGENCO&gt;</t>
  </si>
  <si>
    <t>&lt;Mini  Hydel (Peddapally) &gt;</t>
  </si>
  <si>
    <t>Form 2.3: Repair &amp; Maintenance Expenses</t>
  </si>
  <si>
    <t>&lt;Mini Hydel (Peddapally)&gt;</t>
  </si>
  <si>
    <t>Form 3:  Summary of Capital Expenditure and Capitalisation</t>
  </si>
  <si>
    <t xml:space="preserve">Mini Hydel (Peddapally) </t>
  </si>
  <si>
    <t>Form 1:Summary Sheet</t>
  </si>
  <si>
    <t>Form 2.1: Employee Expenses</t>
  </si>
  <si>
    <t>Form 2.2:  Administration &amp; General Expenses</t>
  </si>
  <si>
    <t>Form 6: Interest on working capital</t>
  </si>
  <si>
    <t>Form 7: Return on Equity</t>
  </si>
  <si>
    <t>Form 8: Non-Tariff Income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</si>
</sst>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0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indexed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87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15" fillId="0" borderId="4" xfId="10" applyFont="1" applyBorder="1" applyAlignment="1">
      <alignment horizontal="right"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15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15" fillId="4" borderId="16" xfId="68" applyFont="1" applyFill="1" applyBorder="1" applyAlignment="1">
      <alignment horizontal="left" vertical="center"/>
    </xf>
    <xf numFmtId="0" fontId="20" fillId="4" borderId="16" xfId="68" applyFont="1" applyFill="1" applyBorder="1" applyAlignment="1">
      <alignment horizontal="center" vertical="center"/>
    </xf>
    <xf numFmtId="10" fontId="15" fillId="4" borderId="16" xfId="68" applyNumberFormat="1" applyFont="1" applyFill="1" applyBorder="1" applyAlignment="1">
      <alignment horizontal="center" vertical="center"/>
    </xf>
    <xf numFmtId="2" fontId="15" fillId="4" borderId="16" xfId="68" applyNumberFormat="1" applyFont="1" applyFill="1" applyBorder="1" applyAlignment="1">
      <alignment horizontal="center" vertical="center"/>
    </xf>
    <xf numFmtId="2" fontId="15" fillId="0" borderId="16" xfId="68" applyNumberFormat="1" applyFont="1" applyBorder="1" applyAlignment="1">
      <alignment horizontal="center" vertical="center"/>
    </xf>
    <xf numFmtId="0" fontId="15" fillId="4" borderId="5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5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5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15" fillId="4" borderId="0" xfId="10" applyFont="1" applyFill="1" applyAlignment="1">
      <alignment vertical="center" wrapText="1"/>
    </xf>
    <xf numFmtId="0" fontId="23" fillId="0" borderId="0" xfId="10" applyFont="1" applyAlignment="1">
      <alignment horizontal="left" vertical="center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4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0" fontId="20" fillId="0" borderId="9" xfId="14" applyFont="1" applyBorder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16" xfId="68" applyNumberFormat="1" applyFont="1" applyFill="1" applyBorder="1" applyAlignment="1">
      <alignment horizontal="center" vertical="center"/>
    </xf>
    <xf numFmtId="2" fontId="15" fillId="4" borderId="22" xfId="68" applyNumberFormat="1" applyFont="1" applyFill="1" applyBorder="1" applyAlignment="1">
      <alignment horizontal="center" vertical="center"/>
    </xf>
    <xf numFmtId="2" fontId="20" fillId="6" borderId="7" xfId="19" applyNumberFormat="1" applyFont="1" applyFill="1" applyBorder="1" applyAlignment="1">
      <alignment horizontal="center" vertical="center"/>
    </xf>
    <xf numFmtId="2" fontId="15" fillId="4" borderId="18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7" xfId="68" applyNumberFormat="1" applyFont="1" applyFill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6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10" fontId="20" fillId="6" borderId="13" xfId="68" applyNumberFormat="1" applyFont="1" applyFill="1" applyBorder="1" applyAlignment="1">
      <alignment horizontal="center" vertical="center"/>
    </xf>
    <xf numFmtId="2" fontId="20" fillId="6" borderId="13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0" xfId="19" applyNumberFormat="1" applyFont="1" applyFill="1" applyBorder="1" applyAlignment="1">
      <alignment horizontal="center" vertical="center"/>
    </xf>
    <xf numFmtId="10" fontId="15" fillId="0" borderId="9" xfId="39" applyNumberFormat="1" applyFont="1" applyBorder="1" applyAlignment="1">
      <alignment vertical="center"/>
    </xf>
    <xf numFmtId="10" fontId="15" fillId="0" borderId="9" xfId="14" applyNumberFormat="1" applyFont="1" applyBorder="1">
      <alignment vertical="center"/>
    </xf>
    <xf numFmtId="10" fontId="20" fillId="6" borderId="9" xfId="14" applyNumberFormat="1" applyFont="1" applyFill="1" applyBorder="1">
      <alignment vertical="center"/>
    </xf>
    <xf numFmtId="2" fontId="15" fillId="0" borderId="9" xfId="14" applyNumberFormat="1" applyFont="1" applyBorder="1">
      <alignment vertical="center"/>
    </xf>
    <xf numFmtId="10" fontId="15" fillId="0" borderId="4" xfId="10" applyNumberFormat="1" applyFont="1" applyBorder="1" applyAlignment="1">
      <alignment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0" applyNumberFormat="1" applyFont="1" applyFill="1" applyBorder="1" applyAlignment="1">
      <alignment horizontal="center" vertical="center" wrapText="1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left" vertical="center"/>
    </xf>
    <xf numFmtId="2" fontId="15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left" vertical="center" wrapText="1"/>
    </xf>
    <xf numFmtId="2" fontId="20" fillId="0" borderId="4" xfId="14" applyNumberFormat="1" applyFont="1" applyBorder="1" applyAlignment="1">
      <alignment horizontal="center" vertical="center"/>
    </xf>
    <xf numFmtId="0" fontId="15" fillId="0" borderId="4" xfId="14" applyFont="1" applyBorder="1" applyAlignment="1">
      <alignment horizontal="right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0" fontId="15" fillId="0" borderId="4" xfId="10" applyFont="1" applyBorder="1" applyAlignment="1">
      <alignment horizontal="right" vertical="center" wrapText="1"/>
    </xf>
    <xf numFmtId="2" fontId="15" fillId="0" borderId="4" xfId="10" applyNumberFormat="1" applyFont="1" applyBorder="1" applyAlignment="1">
      <alignment horizontal="right" vertical="center" wrapText="1"/>
    </xf>
    <xf numFmtId="0" fontId="15" fillId="0" borderId="9" xfId="14" applyFont="1" applyBorder="1" applyAlignment="1">
      <alignment horizontal="right" vertical="center"/>
    </xf>
    <xf numFmtId="2" fontId="20" fillId="6" borderId="9" xfId="14" applyNumberFormat="1" applyFont="1" applyFill="1" applyBorder="1" applyAlignment="1">
      <alignment horizontal="right" vertical="center"/>
    </xf>
    <xf numFmtId="2" fontId="15" fillId="6" borderId="9" xfId="14" applyNumberFormat="1" applyFont="1" applyFill="1" applyBorder="1">
      <alignment vertical="center"/>
    </xf>
    <xf numFmtId="0" fontId="15" fillId="0" borderId="0" xfId="10" applyFont="1" applyAlignment="1">
      <alignment horizontal="center" vertical="center"/>
    </xf>
    <xf numFmtId="10" fontId="20" fillId="6" borderId="4" xfId="10" applyNumberFormat="1" applyFont="1" applyFill="1" applyBorder="1" applyAlignment="1">
      <alignment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vertical="center"/>
    </xf>
    <xf numFmtId="164" fontId="27" fillId="0" borderId="4" xfId="71" applyNumberFormat="1" applyFont="1" applyBorder="1" applyAlignment="1">
      <alignment horizontal="center" vertical="center"/>
    </xf>
    <xf numFmtId="2" fontId="28" fillId="0" borderId="4" xfId="10" applyNumberFormat="1" applyFont="1" applyBorder="1" applyAlignment="1">
      <alignment horizontal="right" vertical="center"/>
    </xf>
    <xf numFmtId="0" fontId="27" fillId="0" borderId="8" xfId="10" applyFont="1" applyBorder="1" applyAlignment="1">
      <alignment horizontal="center" vertical="center" wrapText="1"/>
    </xf>
    <xf numFmtId="0" fontId="27" fillId="0" borderId="4" xfId="10" applyFont="1" applyBorder="1" applyAlignment="1">
      <alignment vertical="center" wrapText="1"/>
    </xf>
    <xf numFmtId="0" fontId="27" fillId="0" borderId="4" xfId="10" applyFont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vertical="center"/>
    </xf>
    <xf numFmtId="2" fontId="20" fillId="0" borderId="4" xfId="10" applyNumberFormat="1" applyFont="1" applyBorder="1" applyAlignment="1">
      <alignment horizontal="right" vertical="center"/>
    </xf>
    <xf numFmtId="2" fontId="15" fillId="0" borderId="0" xfId="10" applyNumberFormat="1" applyFont="1" applyAlignment="1">
      <alignment vertical="center"/>
    </xf>
    <xf numFmtId="2" fontId="20" fillId="0" borderId="0" xfId="10" applyNumberFormat="1" applyFont="1" applyAlignment="1">
      <alignment horizontal="right" vertical="center"/>
    </xf>
    <xf numFmtId="2" fontId="20" fillId="0" borderId="0" xfId="10" applyNumberFormat="1" applyFont="1" applyAlignment="1">
      <alignment horizontal="center" vertical="center"/>
    </xf>
    <xf numFmtId="2" fontId="15" fillId="0" borderId="4" xfId="10" applyNumberFormat="1" applyFont="1" applyBorder="1" applyAlignment="1">
      <alignment vertical="top" wrapText="1"/>
    </xf>
    <xf numFmtId="0" fontId="15" fillId="0" borderId="5" xfId="68" applyFont="1" applyBorder="1" applyAlignment="1">
      <alignment horizontal="center" vertical="center"/>
    </xf>
    <xf numFmtId="0" fontId="15" fillId="0" borderId="4" xfId="68" applyFont="1" applyBorder="1" applyAlignment="1">
      <alignment horizontal="left" vertical="center" wrapText="1"/>
    </xf>
    <xf numFmtId="0" fontId="20" fillId="0" borderId="4" xfId="68" applyFont="1" applyBorder="1" applyAlignment="1">
      <alignment horizontal="center" vertical="center"/>
    </xf>
    <xf numFmtId="10" fontId="15" fillId="0" borderId="4" xfId="39" applyNumberFormat="1" applyFont="1" applyFill="1" applyBorder="1" applyAlignment="1">
      <alignment horizontal="center" vertical="center"/>
    </xf>
    <xf numFmtId="2" fontId="20" fillId="0" borderId="4" xfId="68" applyNumberFormat="1" applyFont="1" applyBorder="1" applyAlignment="1">
      <alignment horizontal="center" vertical="center"/>
    </xf>
    <xf numFmtId="2" fontId="15" fillId="0" borderId="6" xfId="68" applyNumberFormat="1" applyFont="1" applyBorder="1" applyAlignment="1">
      <alignment horizontal="center" vertical="center"/>
    </xf>
    <xf numFmtId="2" fontId="20" fillId="0" borderId="4" xfId="19" applyNumberFormat="1" applyFont="1" applyFill="1" applyBorder="1" applyAlignment="1">
      <alignment horizontal="center" vertical="center"/>
    </xf>
    <xf numFmtId="2" fontId="15" fillId="0" borderId="3" xfId="68" applyNumberFormat="1" applyFont="1" applyBorder="1" applyAlignment="1">
      <alignment horizontal="center" vertical="center"/>
    </xf>
    <xf numFmtId="2" fontId="20" fillId="0" borderId="6" xfId="68" applyNumberFormat="1" applyFont="1" applyBorder="1" applyAlignment="1">
      <alignment horizontal="center" vertical="center"/>
    </xf>
    <xf numFmtId="0" fontId="1" fillId="0" borderId="0" xfId="72"/>
    <xf numFmtId="0" fontId="1" fillId="0" borderId="4" xfId="72" applyBorder="1"/>
    <xf numFmtId="43" fontId="15" fillId="0" borderId="4" xfId="73" applyFont="1" applyBorder="1" applyAlignment="1">
      <alignment vertical="center"/>
    </xf>
    <xf numFmtId="2" fontId="20" fillId="7" borderId="4" xfId="10" applyNumberFormat="1" applyFont="1" applyFill="1" applyBorder="1" applyAlignment="1">
      <alignment vertical="center"/>
    </xf>
    <xf numFmtId="2" fontId="15" fillId="7" borderId="4" xfId="10" applyNumberFormat="1" applyFont="1" applyFill="1" applyBorder="1" applyAlignment="1">
      <alignment horizontal="center" vertical="center"/>
    </xf>
    <xf numFmtId="0" fontId="7" fillId="0" borderId="0" xfId="10" applyFont="1" applyAlignment="1">
      <alignment vertical="center"/>
    </xf>
    <xf numFmtId="0" fontId="12" fillId="0" borderId="4" xfId="14" applyFont="1" applyBorder="1" applyAlignment="1">
      <alignment horizontal="center" vertical="center" wrapText="1"/>
    </xf>
    <xf numFmtId="0" fontId="12" fillId="0" borderId="7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 wrapText="1"/>
    </xf>
    <xf numFmtId="0" fontId="7" fillId="5" borderId="4" xfId="14" applyFont="1" applyFill="1" applyBorder="1" applyAlignment="1">
      <alignment horizontal="left" vertical="center"/>
    </xf>
    <xf numFmtId="2" fontId="12" fillId="6" borderId="4" xfId="14" applyNumberFormat="1" applyFont="1" applyFill="1" applyBorder="1" applyAlignment="1">
      <alignment horizontal="center" vertical="center"/>
    </xf>
    <xf numFmtId="2" fontId="12" fillId="0" borderId="4" xfId="14" applyNumberFormat="1" applyFont="1" applyBorder="1" applyAlignment="1">
      <alignment horizontal="center" vertical="center"/>
    </xf>
    <xf numFmtId="2" fontId="12" fillId="5" borderId="4" xfId="14" applyNumberFormat="1" applyFont="1" applyFill="1" applyBorder="1" applyAlignment="1">
      <alignment horizontal="center" vertical="center"/>
    </xf>
    <xf numFmtId="0" fontId="12" fillId="0" borderId="4" xfId="14" applyFont="1" applyBorder="1">
      <alignment vertical="center"/>
    </xf>
    <xf numFmtId="164" fontId="29" fillId="0" borderId="4" xfId="0" applyNumberFormat="1" applyFont="1" applyBorder="1"/>
    <xf numFmtId="169" fontId="15" fillId="0" borderId="0" xfId="10" applyNumberFormat="1" applyFont="1" applyAlignment="1">
      <alignment vertical="center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2" fontId="7" fillId="0" borderId="0" xfId="14" applyNumberFormat="1" applyFont="1">
      <alignment vertical="center"/>
    </xf>
    <xf numFmtId="0" fontId="20" fillId="0" borderId="9" xfId="0" applyFont="1" applyBorder="1" applyAlignment="1">
      <alignment horizontal="center" vertical="center"/>
    </xf>
    <xf numFmtId="2" fontId="30" fillId="6" borderId="4" xfId="14" applyNumberFormat="1" applyFont="1" applyFill="1" applyBorder="1" applyAlignment="1">
      <alignment horizontal="center" vertical="center"/>
    </xf>
    <xf numFmtId="170" fontId="7" fillId="0" borderId="0" xfId="14" applyNumberFormat="1" applyFont="1">
      <alignment vertical="center"/>
    </xf>
    <xf numFmtId="0" fontId="25" fillId="0" borderId="0" xfId="0" applyFont="1" applyAlignment="1">
      <alignment horizontal="center" vertical="center"/>
    </xf>
    <xf numFmtId="2" fontId="15" fillId="0" borderId="9" xfId="14" applyNumberFormat="1" applyFont="1" applyFill="1" applyBorder="1">
      <alignment vertical="center"/>
    </xf>
    <xf numFmtId="2" fontId="20" fillId="0" borderId="9" xfId="14" applyNumberFormat="1" applyFont="1" applyFill="1" applyBorder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2" fillId="0" borderId="8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 vertical="center"/>
    </xf>
    <xf numFmtId="0" fontId="12" fillId="0" borderId="7" xfId="14" applyFont="1" applyBorder="1" applyAlignment="1">
      <alignment horizontal="center" vertical="center"/>
    </xf>
    <xf numFmtId="0" fontId="12" fillId="0" borderId="8" xfId="14" applyFont="1" applyBorder="1" applyAlignment="1">
      <alignment horizontal="center" vertical="center" wrapText="1"/>
    </xf>
    <xf numFmtId="0" fontId="12" fillId="0" borderId="10" xfId="14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12" fillId="0" borderId="4" xfId="14" applyFont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12" fillId="0" borderId="6" xfId="14" applyFont="1" applyBorder="1" applyAlignment="1">
      <alignment horizontal="center" vertical="center" wrapText="1"/>
    </xf>
    <xf numFmtId="0" fontId="12" fillId="0" borderId="3" xfId="14" applyFont="1" applyBorder="1" applyAlignment="1">
      <alignment horizontal="center" vertical="center" wrapText="1"/>
    </xf>
    <xf numFmtId="0" fontId="12" fillId="0" borderId="9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0" borderId="4" xfId="14" applyFont="1" applyBorder="1" applyAlignment="1">
      <alignment horizontal="center" vertical="center" wrapText="1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/>
    </xf>
    <xf numFmtId="0" fontId="20" fillId="4" borderId="17" xfId="68" applyFont="1" applyFill="1" applyBorder="1" applyAlignment="1">
      <alignment horizontal="center" vertical="center"/>
    </xf>
    <xf numFmtId="0" fontId="20" fillId="4" borderId="18" xfId="68" applyFont="1" applyFill="1" applyBorder="1" applyAlignment="1">
      <alignment horizontal="center" vertical="center"/>
    </xf>
    <xf numFmtId="0" fontId="20" fillId="4" borderId="19" xfId="68" applyFont="1" applyFill="1" applyBorder="1" applyAlignment="1">
      <alignment horizontal="center" vertical="center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2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3" xfId="68" quotePrefix="1" applyFont="1" applyFill="1" applyBorder="1" applyAlignment="1">
      <alignment horizontal="center" vertical="center" wrapText="1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20" fillId="0" borderId="6" xfId="10" applyFont="1" applyBorder="1" applyAlignment="1">
      <alignment horizontal="center" vertical="center"/>
    </xf>
    <xf numFmtId="0" fontId="20" fillId="0" borderId="3" xfId="10" applyFont="1" applyBorder="1" applyAlignment="1">
      <alignment horizontal="center" vertical="center"/>
    </xf>
    <xf numFmtId="0" fontId="20" fillId="0" borderId="9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</cellXfs>
  <cellStyles count="74">
    <cellStyle name="Body" xfId="1"/>
    <cellStyle name="Comma" xfId="71" builtinId="3"/>
    <cellStyle name="Comma  - Style1" xfId="2"/>
    <cellStyle name="Comma 10" xfId="73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3" xfId="72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G10"/>
  <sheetViews>
    <sheetView showGridLines="0" zoomScale="80" zoomScaleNormal="80" workbookViewId="0">
      <selection activeCell="G15" sqref="G15"/>
    </sheetView>
  </sheetViews>
  <sheetFormatPr defaultColWidth="9.28515625" defaultRowHeight="14.25"/>
  <cols>
    <col min="1" max="16384" width="9.28515625" style="106"/>
  </cols>
  <sheetData>
    <row r="10" spans="7:7" ht="23.25">
      <c r="G10" s="230" t="s">
        <v>329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view="pageBreakPreview" zoomScale="90" zoomScaleNormal="80" zoomScaleSheetLayoutView="90" workbookViewId="0">
      <selection activeCell="E19" sqref="E19"/>
    </sheetView>
  </sheetViews>
  <sheetFormatPr defaultColWidth="9.28515625" defaultRowHeight="14.25"/>
  <cols>
    <col min="1" max="1" width="2.5703125" style="106" customWidth="1"/>
    <col min="2" max="2" width="9.28515625" style="106"/>
    <col min="3" max="3" width="22.5703125" style="106" customWidth="1"/>
    <col min="4" max="4" width="11.7109375" style="106" customWidth="1"/>
    <col min="5" max="5" width="12.5703125" style="106" customWidth="1"/>
    <col min="6" max="6" width="14.140625" style="106" customWidth="1"/>
    <col min="7" max="7" width="13.85546875" style="106" customWidth="1"/>
    <col min="8" max="8" width="15" style="106" customWidth="1"/>
    <col min="9" max="10" width="15.7109375" style="106" customWidth="1"/>
    <col min="11" max="16384" width="9.28515625" style="106"/>
  </cols>
  <sheetData>
    <row r="2" spans="2:10" ht="14.25" customHeight="1">
      <c r="B2" s="250" t="s">
        <v>403</v>
      </c>
      <c r="C2" s="250"/>
      <c r="D2" s="250"/>
      <c r="E2" s="250"/>
      <c r="F2" s="250"/>
      <c r="G2" s="250"/>
      <c r="H2" s="250"/>
      <c r="I2" s="250"/>
      <c r="J2" s="250"/>
    </row>
    <row r="3" spans="2:10" ht="14.25" customHeight="1">
      <c r="B3" s="250" t="s">
        <v>382</v>
      </c>
      <c r="C3" s="250"/>
      <c r="D3" s="250"/>
      <c r="E3" s="250"/>
      <c r="F3" s="250"/>
      <c r="G3" s="250"/>
      <c r="H3" s="250"/>
      <c r="I3" s="250"/>
      <c r="J3" s="250"/>
    </row>
    <row r="4" spans="2:10" ht="14.25" customHeight="1">
      <c r="B4" s="251" t="s">
        <v>308</v>
      </c>
      <c r="C4" s="251"/>
      <c r="D4" s="251"/>
      <c r="E4" s="251"/>
      <c r="F4" s="251"/>
      <c r="G4" s="251"/>
      <c r="H4" s="251"/>
      <c r="I4" s="251"/>
      <c r="J4" s="251"/>
    </row>
    <row r="6" spans="2:10" ht="15" customHeight="1">
      <c r="B6" s="263" t="s">
        <v>186</v>
      </c>
      <c r="C6" s="254" t="s">
        <v>18</v>
      </c>
      <c r="D6" s="263" t="s">
        <v>383</v>
      </c>
      <c r="E6" s="227" t="s">
        <v>384</v>
      </c>
      <c r="F6" s="263" t="s">
        <v>225</v>
      </c>
      <c r="G6" s="263"/>
      <c r="H6" s="263"/>
      <c r="I6" s="263"/>
      <c r="J6" s="263"/>
    </row>
    <row r="7" spans="2:10" ht="15">
      <c r="B7" s="263"/>
      <c r="C7" s="254"/>
      <c r="D7" s="263"/>
      <c r="E7" s="21" t="s">
        <v>244</v>
      </c>
      <c r="F7" s="21" t="s">
        <v>385</v>
      </c>
      <c r="G7" s="21" t="s">
        <v>386</v>
      </c>
      <c r="H7" s="21" t="s">
        <v>387</v>
      </c>
      <c r="I7" s="21" t="s">
        <v>388</v>
      </c>
      <c r="J7" s="21" t="s">
        <v>389</v>
      </c>
    </row>
    <row r="8" spans="2:10" ht="15">
      <c r="B8" s="263"/>
      <c r="C8" s="254"/>
      <c r="D8" s="107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08">
        <v>1</v>
      </c>
      <c r="C9" s="30" t="s">
        <v>309</v>
      </c>
      <c r="D9" s="129">
        <f>F3.1!H14</f>
        <v>0</v>
      </c>
      <c r="E9" s="129">
        <f>F3.1!H20</f>
        <v>0.05</v>
      </c>
      <c r="F9" s="129">
        <f>F3.1!H26</f>
        <v>0</v>
      </c>
      <c r="G9" s="129">
        <f>F3.1!H32</f>
        <v>0</v>
      </c>
      <c r="H9" s="129">
        <f>F3.1!H38</f>
        <v>0</v>
      </c>
      <c r="I9" s="129">
        <f>F3.1!H44</f>
        <v>0</v>
      </c>
      <c r="J9" s="129">
        <f>F3.1!H50</f>
        <v>0</v>
      </c>
    </row>
    <row r="10" spans="2:10">
      <c r="B10" s="30"/>
      <c r="C10" s="30"/>
      <c r="D10" s="118"/>
      <c r="E10" s="118"/>
      <c r="F10" s="118"/>
      <c r="G10" s="118"/>
      <c r="H10" s="118"/>
      <c r="I10" s="118"/>
      <c r="J10" s="118"/>
    </row>
    <row r="11" spans="2:10" ht="15">
      <c r="B11" s="108">
        <v>2</v>
      </c>
      <c r="C11" s="109" t="s">
        <v>176</v>
      </c>
      <c r="D11" s="118"/>
      <c r="E11" s="118"/>
      <c r="F11" s="118"/>
      <c r="G11" s="118"/>
      <c r="H11" s="118"/>
      <c r="I11" s="118"/>
      <c r="J11" s="118"/>
    </row>
    <row r="12" spans="2:10">
      <c r="B12" s="30"/>
      <c r="C12" s="30" t="s">
        <v>185</v>
      </c>
      <c r="D12" s="118"/>
      <c r="E12" s="118"/>
      <c r="F12" s="118"/>
      <c r="G12" s="118"/>
      <c r="H12" s="118"/>
      <c r="I12" s="118"/>
      <c r="J12" s="118"/>
    </row>
    <row r="13" spans="2:10">
      <c r="B13" s="30"/>
      <c r="C13" s="30" t="s">
        <v>184</v>
      </c>
      <c r="D13" s="118"/>
      <c r="E13" s="118"/>
      <c r="F13" s="118"/>
      <c r="G13" s="118"/>
      <c r="H13" s="118"/>
      <c r="I13" s="118"/>
      <c r="J13" s="118"/>
    </row>
    <row r="14" spans="2:10">
      <c r="B14" s="30"/>
      <c r="C14" s="30" t="s">
        <v>9</v>
      </c>
      <c r="D14" s="118"/>
      <c r="E14" s="118"/>
      <c r="F14" s="118"/>
      <c r="G14" s="118"/>
      <c r="H14" s="118"/>
      <c r="I14" s="118"/>
      <c r="J14" s="118"/>
    </row>
    <row r="15" spans="2:10" ht="15">
      <c r="B15" s="30"/>
      <c r="C15" s="109" t="s">
        <v>174</v>
      </c>
      <c r="D15" s="129">
        <f>SUM(D12:D14)</f>
        <v>0</v>
      </c>
      <c r="E15" s="129">
        <f>SUM(E12:E14)</f>
        <v>0</v>
      </c>
      <c r="F15" s="129">
        <f t="shared" ref="F15:J15" si="0">SUM(F12:F14)</f>
        <v>0</v>
      </c>
      <c r="G15" s="129">
        <f t="shared" si="0"/>
        <v>0</v>
      </c>
      <c r="H15" s="129">
        <f t="shared" si="0"/>
        <v>0</v>
      </c>
      <c r="I15" s="129">
        <f t="shared" si="0"/>
        <v>0</v>
      </c>
      <c r="J15" s="129">
        <f t="shared" si="0"/>
        <v>0</v>
      </c>
    </row>
    <row r="16" spans="2:10">
      <c r="B16" s="30"/>
      <c r="C16" s="30"/>
      <c r="D16" s="118"/>
      <c r="E16" s="118"/>
      <c r="F16" s="118"/>
      <c r="G16" s="118"/>
      <c r="H16" s="118"/>
      <c r="I16" s="118"/>
      <c r="J16" s="118"/>
    </row>
    <row r="17" spans="2:10">
      <c r="B17" s="108">
        <v>3</v>
      </c>
      <c r="C17" s="30" t="s">
        <v>0</v>
      </c>
      <c r="D17" s="118"/>
      <c r="E17" s="118"/>
      <c r="F17" s="118"/>
      <c r="G17" s="118"/>
      <c r="H17" s="118"/>
      <c r="I17" s="118"/>
      <c r="J17" s="118"/>
    </row>
    <row r="18" spans="2:10">
      <c r="B18" s="108">
        <v>4</v>
      </c>
      <c r="C18" s="30" t="s">
        <v>177</v>
      </c>
      <c r="D18" s="118"/>
      <c r="E18" s="118">
        <f>E9</f>
        <v>0.05</v>
      </c>
      <c r="F18" s="118"/>
      <c r="G18" s="118"/>
      <c r="H18" s="118"/>
      <c r="I18" s="118"/>
      <c r="J18" s="118"/>
    </row>
    <row r="19" spans="2:10">
      <c r="B19" s="108">
        <v>5</v>
      </c>
      <c r="C19" s="30" t="s">
        <v>310</v>
      </c>
      <c r="D19" s="118"/>
      <c r="E19" s="118"/>
      <c r="F19" s="118"/>
      <c r="G19" s="118"/>
      <c r="H19" s="118"/>
      <c r="I19" s="118"/>
      <c r="J19" s="118"/>
    </row>
    <row r="20" spans="2:10" ht="15">
      <c r="B20" s="30"/>
      <c r="C20" s="30"/>
      <c r="D20" s="125"/>
      <c r="E20" s="125"/>
      <c r="F20" s="125"/>
      <c r="G20" s="125"/>
      <c r="H20" s="125"/>
      <c r="I20" s="125"/>
      <c r="J20" s="125"/>
    </row>
    <row r="21" spans="2:10" ht="15">
      <c r="B21" s="108">
        <v>6</v>
      </c>
      <c r="C21" s="109" t="s">
        <v>311</v>
      </c>
      <c r="D21" s="129">
        <f>D15+D17+D18+D19</f>
        <v>0</v>
      </c>
      <c r="E21" s="129">
        <f>E9</f>
        <v>0.05</v>
      </c>
      <c r="F21" s="129">
        <f t="shared" ref="F21:J21" si="1">F15+F17+F18+F19</f>
        <v>0</v>
      </c>
      <c r="G21" s="129">
        <f t="shared" si="1"/>
        <v>0</v>
      </c>
      <c r="H21" s="129">
        <f t="shared" si="1"/>
        <v>0</v>
      </c>
      <c r="I21" s="129">
        <f t="shared" si="1"/>
        <v>0</v>
      </c>
      <c r="J21" s="129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Q75"/>
  <sheetViews>
    <sheetView showGridLines="0" view="pageBreakPreview" topLeftCell="A52" zoomScale="90" zoomScaleNormal="90" zoomScaleSheetLayoutView="90" workbookViewId="0">
      <selection activeCell="G30" sqref="G30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15">
      <c r="B1" s="26"/>
    </row>
    <row r="2" spans="2:15" ht="15">
      <c r="B2" s="250" t="s">
        <v>403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2:15" ht="15">
      <c r="B3" s="250" t="s">
        <v>382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5" ht="15">
      <c r="B4" s="251" t="s">
        <v>278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2:15" ht="15.75" thickBot="1">
      <c r="K5" s="37"/>
      <c r="O5" s="35" t="s">
        <v>4</v>
      </c>
    </row>
    <row r="6" spans="2:15" ht="15">
      <c r="B6" s="268" t="s">
        <v>383</v>
      </c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  <c r="O6" s="270"/>
    </row>
    <row r="7" spans="2:15" ht="14.25" customHeight="1">
      <c r="B7" s="271" t="s">
        <v>2</v>
      </c>
      <c r="C7" s="273" t="s">
        <v>274</v>
      </c>
      <c r="D7" s="275" t="s">
        <v>261</v>
      </c>
      <c r="E7" s="275" t="s">
        <v>262</v>
      </c>
      <c r="F7" s="275" t="s">
        <v>263</v>
      </c>
      <c r="G7" s="275"/>
      <c r="H7" s="275"/>
      <c r="I7" s="275"/>
      <c r="J7" s="275" t="s">
        <v>264</v>
      </c>
      <c r="K7" s="275"/>
      <c r="L7" s="275"/>
      <c r="M7" s="275"/>
      <c r="N7" s="275" t="s">
        <v>265</v>
      </c>
      <c r="O7" s="277"/>
    </row>
    <row r="8" spans="2:15" ht="60.75" thickBot="1">
      <c r="B8" s="272"/>
      <c r="C8" s="274"/>
      <c r="D8" s="276"/>
      <c r="E8" s="276"/>
      <c r="F8" s="66" t="s">
        <v>266</v>
      </c>
      <c r="G8" s="66" t="s">
        <v>126</v>
      </c>
      <c r="H8" s="66" t="s">
        <v>267</v>
      </c>
      <c r="I8" s="66" t="s">
        <v>268</v>
      </c>
      <c r="J8" s="66" t="s">
        <v>269</v>
      </c>
      <c r="K8" s="66" t="s">
        <v>126</v>
      </c>
      <c r="L8" s="66" t="s">
        <v>270</v>
      </c>
      <c r="M8" s="66" t="s">
        <v>271</v>
      </c>
      <c r="N8" s="66" t="s">
        <v>266</v>
      </c>
      <c r="O8" s="67" t="s">
        <v>268</v>
      </c>
    </row>
    <row r="9" spans="2:15" ht="15">
      <c r="B9" s="65">
        <v>1</v>
      </c>
      <c r="C9" s="68" t="s">
        <v>393</v>
      </c>
      <c r="D9" s="69">
        <v>0</v>
      </c>
      <c r="E9" s="70">
        <v>0</v>
      </c>
      <c r="F9" s="71">
        <v>0</v>
      </c>
      <c r="G9" s="72">
        <v>0</v>
      </c>
      <c r="H9" s="71">
        <v>0</v>
      </c>
      <c r="I9" s="137">
        <f>F9+G9-H9</f>
        <v>0</v>
      </c>
      <c r="J9" s="138">
        <v>0</v>
      </c>
      <c r="K9" s="139">
        <v>0</v>
      </c>
      <c r="L9" s="140"/>
      <c r="M9" s="141">
        <f>J9+K9-L9</f>
        <v>0</v>
      </c>
      <c r="N9" s="142">
        <f>F9-J9</f>
        <v>0</v>
      </c>
      <c r="O9" s="142">
        <f>I9-M9</f>
        <v>0</v>
      </c>
    </row>
    <row r="10" spans="2:15" ht="15">
      <c r="B10" s="73">
        <v>2</v>
      </c>
      <c r="C10" s="74" t="s">
        <v>116</v>
      </c>
      <c r="D10" s="75">
        <v>1100</v>
      </c>
      <c r="E10" s="76">
        <v>0</v>
      </c>
      <c r="F10" s="77">
        <v>3.3016535</v>
      </c>
      <c r="G10" s="78">
        <v>0</v>
      </c>
      <c r="H10" s="77">
        <v>0</v>
      </c>
      <c r="I10" s="143">
        <f>F10+G10-H10</f>
        <v>3.3016535</v>
      </c>
      <c r="J10" s="144">
        <v>1.9377714419999998</v>
      </c>
      <c r="K10" s="145">
        <v>4.8194946000000002E-2</v>
      </c>
      <c r="L10" s="146"/>
      <c r="M10" s="147">
        <f t="shared" ref="M10:M12" si="0">J10+K10-L10</f>
        <v>1.9859663879999998</v>
      </c>
      <c r="N10" s="143">
        <f t="shared" ref="N10:N12" si="1">F10-J10</f>
        <v>1.3638820580000002</v>
      </c>
      <c r="O10" s="143">
        <f t="shared" ref="O10:O12" si="2">I10-M10</f>
        <v>1.3156871120000002</v>
      </c>
    </row>
    <row r="11" spans="2:15" ht="15">
      <c r="B11" s="73">
        <v>3</v>
      </c>
      <c r="C11" s="80" t="s">
        <v>394</v>
      </c>
      <c r="D11" s="75">
        <v>1200</v>
      </c>
      <c r="E11" s="76">
        <v>0</v>
      </c>
      <c r="F11" s="77">
        <v>0.62638389999999999</v>
      </c>
      <c r="G11" s="78">
        <v>0</v>
      </c>
      <c r="H11" s="77">
        <v>0</v>
      </c>
      <c r="I11" s="143">
        <f t="shared" ref="I11:I12" si="3">F11+G11-H11</f>
        <v>0.62638389999999999</v>
      </c>
      <c r="J11" s="144">
        <v>0.56374550999999995</v>
      </c>
      <c r="K11" s="145">
        <v>0</v>
      </c>
      <c r="L11" s="146"/>
      <c r="M11" s="147">
        <f t="shared" si="0"/>
        <v>0.56374550999999995</v>
      </c>
      <c r="N11" s="143">
        <f t="shared" si="1"/>
        <v>6.2638390000000044E-2</v>
      </c>
      <c r="O11" s="143">
        <f t="shared" si="2"/>
        <v>6.2638390000000044E-2</v>
      </c>
    </row>
    <row r="12" spans="2:15" ht="15.75" thickBot="1">
      <c r="B12" s="73">
        <v>4</v>
      </c>
      <c r="C12" s="80" t="s">
        <v>115</v>
      </c>
      <c r="D12" s="75">
        <v>1300</v>
      </c>
      <c r="E12" s="81">
        <v>0</v>
      </c>
      <c r="F12" s="77">
        <v>20.183276624000001</v>
      </c>
      <c r="G12" s="78">
        <v>0</v>
      </c>
      <c r="H12" s="79">
        <v>0</v>
      </c>
      <c r="I12" s="143">
        <f t="shared" si="3"/>
        <v>20.183276624000001</v>
      </c>
      <c r="J12" s="144">
        <f>14.3465285193522-0.6</f>
        <v>13.7465285193522</v>
      </c>
      <c r="K12" s="145">
        <v>0.22282175645481775</v>
      </c>
      <c r="L12" s="146"/>
      <c r="M12" s="147">
        <f t="shared" si="0"/>
        <v>13.969350275807018</v>
      </c>
      <c r="N12" s="143">
        <f t="shared" si="1"/>
        <v>6.4367481046478012</v>
      </c>
      <c r="O12" s="143">
        <f t="shared" si="2"/>
        <v>6.2139263481929827</v>
      </c>
    </row>
    <row r="13" spans="2:15" ht="15">
      <c r="B13" s="65">
        <v>5</v>
      </c>
      <c r="C13" s="68" t="s">
        <v>395</v>
      </c>
      <c r="D13" s="69">
        <v>0</v>
      </c>
      <c r="E13" s="70">
        <v>0</v>
      </c>
      <c r="F13" s="71">
        <v>0</v>
      </c>
      <c r="G13" s="72">
        <v>0</v>
      </c>
      <c r="H13" s="71">
        <v>0</v>
      </c>
      <c r="I13" s="137">
        <f>F13+G13-H13</f>
        <v>0</v>
      </c>
      <c r="J13" s="138">
        <v>0</v>
      </c>
      <c r="K13" s="139">
        <v>0</v>
      </c>
      <c r="L13" s="140"/>
      <c r="M13" s="141">
        <f>J13+K13-L13</f>
        <v>0</v>
      </c>
      <c r="N13" s="142">
        <f>F13-J13</f>
        <v>0</v>
      </c>
      <c r="O13" s="142">
        <f>I13-M13</f>
        <v>0</v>
      </c>
    </row>
    <row r="14" spans="2:15" ht="15">
      <c r="B14" s="73">
        <v>6</v>
      </c>
      <c r="C14" s="74" t="s">
        <v>396</v>
      </c>
      <c r="D14" s="75">
        <v>1500</v>
      </c>
      <c r="E14" s="76">
        <v>0</v>
      </c>
      <c r="F14" s="77">
        <v>5.3026229999999996</v>
      </c>
      <c r="G14" s="78">
        <v>0</v>
      </c>
      <c r="H14" s="77">
        <v>0</v>
      </c>
      <c r="I14" s="143">
        <f>F14+G14-H14</f>
        <v>5.3026229999999996</v>
      </c>
      <c r="J14" s="144">
        <v>2.7399480380000001</v>
      </c>
      <c r="K14" s="145">
        <v>0.13797313799999997</v>
      </c>
      <c r="L14" s="146"/>
      <c r="M14" s="147">
        <f t="shared" ref="M14:M16" si="4">J14+K14-L14</f>
        <v>2.8779211760000001</v>
      </c>
      <c r="N14" s="143">
        <f t="shared" ref="N14:N16" si="5">F14-J14</f>
        <v>2.5626749619999996</v>
      </c>
      <c r="O14" s="143">
        <f t="shared" ref="O14:O16" si="6">I14-M14</f>
        <v>2.4247018239999996</v>
      </c>
    </row>
    <row r="15" spans="2:15" ht="15">
      <c r="B15" s="73">
        <v>7</v>
      </c>
      <c r="C15" s="80" t="s">
        <v>397</v>
      </c>
      <c r="D15" s="75">
        <v>1600</v>
      </c>
      <c r="E15" s="76">
        <v>0</v>
      </c>
      <c r="F15" s="77">
        <v>1.2305330999999999</v>
      </c>
      <c r="G15" s="78">
        <v>0</v>
      </c>
      <c r="H15" s="77">
        <v>0</v>
      </c>
      <c r="I15" s="143">
        <f t="shared" ref="I15:I16" si="7">F15+G15-H15</f>
        <v>1.2305330999999999</v>
      </c>
      <c r="J15" s="144">
        <v>0.81280115699999989</v>
      </c>
      <c r="K15" s="145">
        <v>2.1584459999999996E-2</v>
      </c>
      <c r="L15" s="146"/>
      <c r="M15" s="147">
        <f t="shared" si="4"/>
        <v>0.83438561699999991</v>
      </c>
      <c r="N15" s="143">
        <f t="shared" si="5"/>
        <v>0.41773194300000005</v>
      </c>
      <c r="O15" s="143">
        <f t="shared" si="6"/>
        <v>0.39614748300000002</v>
      </c>
    </row>
    <row r="16" spans="2:15" ht="15.75" thickBot="1">
      <c r="B16" s="73">
        <v>8</v>
      </c>
      <c r="C16" s="80" t="s">
        <v>120</v>
      </c>
      <c r="D16" s="75">
        <v>0</v>
      </c>
      <c r="E16" s="81">
        <v>0</v>
      </c>
      <c r="F16" s="77">
        <v>0</v>
      </c>
      <c r="G16" s="78">
        <v>0</v>
      </c>
      <c r="H16" s="79">
        <v>0</v>
      </c>
      <c r="I16" s="143">
        <f t="shared" si="7"/>
        <v>0</v>
      </c>
      <c r="J16" s="144">
        <v>0</v>
      </c>
      <c r="K16" s="145">
        <v>0</v>
      </c>
      <c r="L16" s="146"/>
      <c r="M16" s="147">
        <f t="shared" si="4"/>
        <v>0</v>
      </c>
      <c r="N16" s="143">
        <f t="shared" si="5"/>
        <v>0</v>
      </c>
      <c r="O16" s="143">
        <f t="shared" si="6"/>
        <v>0</v>
      </c>
    </row>
    <row r="17" spans="2:17" ht="15">
      <c r="B17" s="65">
        <v>9</v>
      </c>
      <c r="C17" s="68" t="s">
        <v>398</v>
      </c>
      <c r="D17" s="69">
        <v>1800</v>
      </c>
      <c r="E17" s="70">
        <v>0</v>
      </c>
      <c r="F17" s="71">
        <v>0.23216598300000002</v>
      </c>
      <c r="G17" s="72">
        <v>0</v>
      </c>
      <c r="H17" s="71">
        <v>-2.5052099999999999E-3</v>
      </c>
      <c r="I17" s="137">
        <f>F17+G17-H17</f>
        <v>0.23467119300000003</v>
      </c>
      <c r="J17" s="138">
        <v>7.3122841999999993E-2</v>
      </c>
      <c r="K17" s="139">
        <v>1.3052566999999998E-2</v>
      </c>
      <c r="L17" s="140"/>
      <c r="M17" s="141">
        <f>J17+K17-L17</f>
        <v>8.6175408999999994E-2</v>
      </c>
      <c r="N17" s="142">
        <f>F17-J17</f>
        <v>0.15904314100000003</v>
      </c>
      <c r="O17" s="142">
        <f>I17-M17</f>
        <v>0.14849578400000002</v>
      </c>
    </row>
    <row r="18" spans="2:17" ht="15">
      <c r="B18" s="196">
        <v>10</v>
      </c>
      <c r="C18" s="197" t="s">
        <v>399</v>
      </c>
      <c r="D18" s="198">
        <v>1900</v>
      </c>
      <c r="E18" s="199">
        <v>0</v>
      </c>
      <c r="F18" s="78">
        <v>0.25591229799999998</v>
      </c>
      <c r="G18" s="78">
        <v>1.3233370000000001E-2</v>
      </c>
      <c r="H18" s="78">
        <v>1.3233370000000001E-2</v>
      </c>
      <c r="I18" s="200">
        <f>F18+G18-H18</f>
        <v>0.25591229799999998</v>
      </c>
      <c r="J18" s="201">
        <v>0.12402568999999999</v>
      </c>
      <c r="K18" s="202">
        <v>3.1213357000000001E-2</v>
      </c>
      <c r="L18" s="203"/>
      <c r="M18" s="204">
        <f t="shared" ref="M18:M20" si="8">J18+K18-L18</f>
        <v>0.15523904699999999</v>
      </c>
      <c r="N18" s="200">
        <f t="shared" ref="N18:N20" si="9">F18-J18</f>
        <v>0.13188660799999999</v>
      </c>
      <c r="O18" s="200">
        <f t="shared" ref="O18:O20" si="10">I18-M18</f>
        <v>0.10067325099999999</v>
      </c>
    </row>
    <row r="19" spans="2:17" ht="15">
      <c r="B19" s="73">
        <v>11</v>
      </c>
      <c r="C19" s="80" t="s">
        <v>122</v>
      </c>
      <c r="D19" s="75">
        <v>2100</v>
      </c>
      <c r="E19" s="76">
        <v>0</v>
      </c>
      <c r="F19" s="77">
        <v>9.7451595000000002E-2</v>
      </c>
      <c r="G19" s="78">
        <v>8.0712000000000006E-3</v>
      </c>
      <c r="H19" s="77">
        <v>8.0712000000000006E-3</v>
      </c>
      <c r="I19" s="143">
        <f t="shared" ref="I19:I20" si="11">F19+G19-H19</f>
        <v>9.7451595000000002E-2</v>
      </c>
      <c r="J19" s="144">
        <v>2.0232706E-2</v>
      </c>
      <c r="K19" s="145">
        <v>6.879660000000001E-3</v>
      </c>
      <c r="L19" s="146"/>
      <c r="M19" s="147">
        <f t="shared" si="8"/>
        <v>2.7112365999999999E-2</v>
      </c>
      <c r="N19" s="143">
        <f t="shared" si="9"/>
        <v>7.7218888999999999E-2</v>
      </c>
      <c r="O19" s="143">
        <f t="shared" si="10"/>
        <v>7.0339229000000003E-2</v>
      </c>
    </row>
    <row r="20" spans="2:17" ht="15">
      <c r="B20" s="73">
        <v>12</v>
      </c>
      <c r="C20" s="80" t="s">
        <v>400</v>
      </c>
      <c r="D20" s="75">
        <v>0</v>
      </c>
      <c r="E20" s="81">
        <v>0</v>
      </c>
      <c r="F20" s="77">
        <v>0</v>
      </c>
      <c r="G20" s="78">
        <v>0</v>
      </c>
      <c r="H20" s="79">
        <v>0</v>
      </c>
      <c r="I20" s="143">
        <f t="shared" si="11"/>
        <v>0</v>
      </c>
      <c r="J20" s="144">
        <v>0</v>
      </c>
      <c r="K20" s="145">
        <v>0</v>
      </c>
      <c r="L20" s="146"/>
      <c r="M20" s="147">
        <f t="shared" si="8"/>
        <v>0</v>
      </c>
      <c r="N20" s="143">
        <f t="shared" si="9"/>
        <v>0</v>
      </c>
      <c r="O20" s="143">
        <f t="shared" si="10"/>
        <v>0</v>
      </c>
    </row>
    <row r="21" spans="2:17" ht="16.5" thickBot="1">
      <c r="B21" s="82"/>
      <c r="C21" s="83" t="s">
        <v>127</v>
      </c>
      <c r="D21" s="83"/>
      <c r="E21" s="148"/>
      <c r="F21" s="149">
        <f>SUM(F9:F20)</f>
        <v>31.23</v>
      </c>
      <c r="G21" s="149">
        <f t="shared" ref="G21:I21" si="12">SUM(G9:G20)</f>
        <v>2.1304570000000002E-2</v>
      </c>
      <c r="H21" s="149">
        <f t="shared" si="12"/>
        <v>1.8799360000000001E-2</v>
      </c>
      <c r="I21" s="149">
        <f t="shared" si="12"/>
        <v>31.232505209999999</v>
      </c>
      <c r="J21" s="149">
        <v>20.02</v>
      </c>
      <c r="K21" s="149">
        <v>0.36759090909090925</v>
      </c>
      <c r="L21" s="149">
        <f t="shared" ref="L21" si="13">SUM(L9:L20)</f>
        <v>0</v>
      </c>
      <c r="M21" s="149">
        <f t="shared" ref="M21" si="14">SUM(M9:M20)</f>
        <v>20.499895788807017</v>
      </c>
      <c r="N21" s="149">
        <f t="shared" ref="N21" si="15">SUM(N9:N20)</f>
        <v>11.211824095647799</v>
      </c>
      <c r="O21" s="149">
        <f t="shared" ref="O21" si="16">SUM(O9:O20)</f>
        <v>10.732609421192983</v>
      </c>
      <c r="P21" s="221">
        <v>20.019999999999996</v>
      </c>
      <c r="Q21" s="222">
        <f>J21-P21</f>
        <v>0</v>
      </c>
    </row>
    <row r="22" spans="2:17" ht="15" thickBot="1"/>
    <row r="23" spans="2:17" ht="15">
      <c r="B23" s="268" t="s">
        <v>384</v>
      </c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</row>
    <row r="24" spans="2:17" ht="14.25" customHeight="1">
      <c r="B24" s="271" t="s">
        <v>2</v>
      </c>
      <c r="C24" s="273" t="s">
        <v>274</v>
      </c>
      <c r="D24" s="275" t="s">
        <v>261</v>
      </c>
      <c r="E24" s="275" t="s">
        <v>262</v>
      </c>
      <c r="F24" s="275" t="s">
        <v>263</v>
      </c>
      <c r="G24" s="275"/>
      <c r="H24" s="275"/>
      <c r="I24" s="275"/>
      <c r="J24" s="275" t="s">
        <v>264</v>
      </c>
      <c r="K24" s="275"/>
      <c r="L24" s="275"/>
      <c r="M24" s="275"/>
      <c r="N24" s="275" t="s">
        <v>265</v>
      </c>
      <c r="O24" s="277"/>
    </row>
    <row r="25" spans="2:17" ht="60.75" thickBot="1">
      <c r="B25" s="272"/>
      <c r="C25" s="274"/>
      <c r="D25" s="276"/>
      <c r="E25" s="276"/>
      <c r="F25" s="66" t="s">
        <v>266</v>
      </c>
      <c r="G25" s="66" t="s">
        <v>126</v>
      </c>
      <c r="H25" s="66" t="s">
        <v>267</v>
      </c>
      <c r="I25" s="66" t="s">
        <v>268</v>
      </c>
      <c r="J25" s="66" t="s">
        <v>269</v>
      </c>
      <c r="K25" s="66" t="s">
        <v>126</v>
      </c>
      <c r="L25" s="66" t="s">
        <v>270</v>
      </c>
      <c r="M25" s="66" t="s">
        <v>271</v>
      </c>
      <c r="N25" s="66" t="s">
        <v>266</v>
      </c>
      <c r="O25" s="67" t="s">
        <v>268</v>
      </c>
    </row>
    <row r="26" spans="2:17" ht="15">
      <c r="B26" s="65">
        <v>1</v>
      </c>
      <c r="C26" s="68" t="s">
        <v>212</v>
      </c>
      <c r="D26" s="69"/>
      <c r="E26" s="70"/>
      <c r="F26" s="137">
        <f>I17</f>
        <v>0.23467119300000003</v>
      </c>
      <c r="G26" s="72"/>
      <c r="H26" s="71"/>
      <c r="I26" s="137">
        <f>F26+G26-H26</f>
        <v>0.23467119300000003</v>
      </c>
      <c r="J26" s="138"/>
      <c r="K26" s="139">
        <f>AVERAGE(F26,I26)*E26</f>
        <v>0</v>
      </c>
      <c r="L26" s="140"/>
      <c r="M26" s="141">
        <f>J26+K26-L26</f>
        <v>0</v>
      </c>
      <c r="N26" s="142">
        <f>F26-J26</f>
        <v>0.23467119300000003</v>
      </c>
      <c r="O26" s="142">
        <f>I26-M26</f>
        <v>0.23467119300000003</v>
      </c>
    </row>
    <row r="27" spans="2:17" ht="15">
      <c r="B27" s="73">
        <v>2</v>
      </c>
      <c r="C27" s="74" t="s">
        <v>116</v>
      </c>
      <c r="D27" s="75"/>
      <c r="E27" s="76"/>
      <c r="F27" s="143">
        <f>I18</f>
        <v>0.25591229799999998</v>
      </c>
      <c r="G27" s="78"/>
      <c r="H27" s="77"/>
      <c r="I27" s="143">
        <f>F27+G27-H27</f>
        <v>0.25591229799999998</v>
      </c>
      <c r="J27" s="144"/>
      <c r="K27" s="145">
        <f t="shared" ref="K27:K29" si="17">AVERAGE(F27,I27)*E27</f>
        <v>0</v>
      </c>
      <c r="L27" s="146"/>
      <c r="M27" s="147">
        <f t="shared" ref="M27:M29" si="18">J27+K27-L27</f>
        <v>0</v>
      </c>
      <c r="N27" s="143">
        <f t="shared" ref="N27:N29" si="19">F27-J27</f>
        <v>0.25591229799999998</v>
      </c>
      <c r="O27" s="143">
        <f t="shared" ref="O27:O29" si="20">I27-M27</f>
        <v>0.25591229799999998</v>
      </c>
    </row>
    <row r="28" spans="2:17" ht="15">
      <c r="B28" s="73">
        <v>3</v>
      </c>
      <c r="C28" s="80" t="s">
        <v>273</v>
      </c>
      <c r="D28" s="75"/>
      <c r="E28" s="76"/>
      <c r="F28" s="143">
        <f>I19</f>
        <v>9.7451595000000002E-2</v>
      </c>
      <c r="G28" s="78"/>
      <c r="H28" s="77"/>
      <c r="I28" s="143">
        <f t="shared" ref="I28:I29" si="21">F28+G28-H28</f>
        <v>9.7451595000000002E-2</v>
      </c>
      <c r="J28" s="144"/>
      <c r="K28" s="145">
        <f t="shared" si="17"/>
        <v>0</v>
      </c>
      <c r="L28" s="146"/>
      <c r="M28" s="147">
        <f t="shared" si="18"/>
        <v>0</v>
      </c>
      <c r="N28" s="143">
        <f t="shared" si="19"/>
        <v>9.7451595000000002E-2</v>
      </c>
      <c r="O28" s="143">
        <f t="shared" si="20"/>
        <v>9.7451595000000002E-2</v>
      </c>
    </row>
    <row r="29" spans="2:17" ht="15">
      <c r="B29" s="73"/>
      <c r="C29" s="80" t="s">
        <v>9</v>
      </c>
      <c r="D29" s="75"/>
      <c r="E29" s="81"/>
      <c r="F29" s="143">
        <f>I20</f>
        <v>0</v>
      </c>
      <c r="G29" s="78">
        <v>0.05</v>
      </c>
      <c r="H29" s="79"/>
      <c r="I29" s="143">
        <f t="shared" si="21"/>
        <v>0.05</v>
      </c>
      <c r="J29" s="144"/>
      <c r="K29" s="145">
        <f t="shared" si="17"/>
        <v>0</v>
      </c>
      <c r="L29" s="146"/>
      <c r="M29" s="147">
        <f t="shared" si="18"/>
        <v>0</v>
      </c>
      <c r="N29" s="143">
        <f t="shared" si="19"/>
        <v>0</v>
      </c>
      <c r="O29" s="143">
        <f t="shared" si="20"/>
        <v>0.05</v>
      </c>
    </row>
    <row r="30" spans="2:17" ht="15.75" thickBot="1">
      <c r="B30" s="82"/>
      <c r="C30" s="83" t="s">
        <v>127</v>
      </c>
      <c r="D30" s="83"/>
      <c r="E30" s="148">
        <f>IFERROR((K30-L30)/AVERAGE(F30,I30),0)</f>
        <v>1.1763519601562161E-2</v>
      </c>
      <c r="F30" s="149">
        <f>I21</f>
        <v>31.232505209999999</v>
      </c>
      <c r="G30" s="149">
        <f t="shared" ref="G30:O30" si="22">SUM(G26:G29)</f>
        <v>0.05</v>
      </c>
      <c r="H30" s="149">
        <f t="shared" si="22"/>
        <v>0</v>
      </c>
      <c r="I30" s="149">
        <f>F30+G30</f>
        <v>31.28250521</v>
      </c>
      <c r="J30" s="150">
        <f>M21</f>
        <v>20.499895788807017</v>
      </c>
      <c r="K30" s="149">
        <v>0.36769827523376636</v>
      </c>
      <c r="L30" s="151">
        <f t="shared" si="22"/>
        <v>0</v>
      </c>
      <c r="M30" s="150">
        <f>J30+K30</f>
        <v>20.867594064040784</v>
      </c>
      <c r="N30" s="149">
        <f t="shared" si="22"/>
        <v>0.58803508599999998</v>
      </c>
      <c r="O30" s="149">
        <f t="shared" si="22"/>
        <v>0.63803508600000003</v>
      </c>
    </row>
    <row r="31" spans="2:17" ht="15" thickBot="1"/>
    <row r="32" spans="2:17" ht="15">
      <c r="B32" s="268" t="s">
        <v>385</v>
      </c>
      <c r="C32" s="269"/>
      <c r="D32" s="269"/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270"/>
    </row>
    <row r="33" spans="2:15" ht="15">
      <c r="B33" s="271" t="s">
        <v>2</v>
      </c>
      <c r="C33" s="273" t="s">
        <v>274</v>
      </c>
      <c r="D33" s="275" t="s">
        <v>261</v>
      </c>
      <c r="E33" s="275" t="s">
        <v>262</v>
      </c>
      <c r="F33" s="275" t="s">
        <v>263</v>
      </c>
      <c r="G33" s="275"/>
      <c r="H33" s="275"/>
      <c r="I33" s="275"/>
      <c r="J33" s="275" t="s">
        <v>264</v>
      </c>
      <c r="K33" s="275"/>
      <c r="L33" s="275"/>
      <c r="M33" s="275"/>
      <c r="N33" s="275" t="s">
        <v>265</v>
      </c>
      <c r="O33" s="277"/>
    </row>
    <row r="34" spans="2:15" ht="60.75" thickBot="1">
      <c r="B34" s="272"/>
      <c r="C34" s="274"/>
      <c r="D34" s="276"/>
      <c r="E34" s="276"/>
      <c r="F34" s="66" t="s">
        <v>266</v>
      </c>
      <c r="G34" s="66" t="s">
        <v>126</v>
      </c>
      <c r="H34" s="66" t="s">
        <v>267</v>
      </c>
      <c r="I34" s="66" t="s">
        <v>268</v>
      </c>
      <c r="J34" s="66" t="s">
        <v>269</v>
      </c>
      <c r="K34" s="66" t="s">
        <v>126</v>
      </c>
      <c r="L34" s="66" t="s">
        <v>270</v>
      </c>
      <c r="M34" s="66" t="s">
        <v>271</v>
      </c>
      <c r="N34" s="66" t="s">
        <v>266</v>
      </c>
      <c r="O34" s="67" t="s">
        <v>268</v>
      </c>
    </row>
    <row r="35" spans="2:15" ht="15">
      <c r="B35" s="65">
        <v>1</v>
      </c>
      <c r="C35" s="68" t="s">
        <v>212</v>
      </c>
      <c r="D35" s="69"/>
      <c r="E35" s="70"/>
      <c r="F35" s="137">
        <f>I26</f>
        <v>0.23467119300000003</v>
      </c>
      <c r="G35" s="72"/>
      <c r="H35" s="71"/>
      <c r="I35" s="137">
        <f>F35+G35-H35</f>
        <v>0.23467119300000003</v>
      </c>
      <c r="J35" s="138"/>
      <c r="K35" s="139">
        <f>AVERAGE(F35,I35)*E35</f>
        <v>0</v>
      </c>
      <c r="L35" s="140"/>
      <c r="M35" s="141">
        <f>J35+K35-L35</f>
        <v>0</v>
      </c>
      <c r="N35" s="142">
        <f>F35-J35</f>
        <v>0.23467119300000003</v>
      </c>
      <c r="O35" s="142">
        <f>I35-M35</f>
        <v>0.23467119300000003</v>
      </c>
    </row>
    <row r="36" spans="2:15" ht="15">
      <c r="B36" s="73">
        <v>2</v>
      </c>
      <c r="C36" s="74" t="s">
        <v>116</v>
      </c>
      <c r="D36" s="75"/>
      <c r="E36" s="76"/>
      <c r="F36" s="143">
        <f>I27</f>
        <v>0.25591229799999998</v>
      </c>
      <c r="G36" s="78"/>
      <c r="H36" s="77"/>
      <c r="I36" s="143">
        <f>F36+G36-H36</f>
        <v>0.25591229799999998</v>
      </c>
      <c r="J36" s="144"/>
      <c r="K36" s="145">
        <f t="shared" ref="K36:K38" si="23">AVERAGE(F36,I36)*E36</f>
        <v>0</v>
      </c>
      <c r="L36" s="146"/>
      <c r="M36" s="147">
        <f t="shared" ref="M36:M38" si="24">J36+K36-L36</f>
        <v>0</v>
      </c>
      <c r="N36" s="143">
        <f t="shared" ref="N36:N38" si="25">F36-J36</f>
        <v>0.25591229799999998</v>
      </c>
      <c r="O36" s="143">
        <f t="shared" ref="O36:O38" si="26">I36-M36</f>
        <v>0.25591229799999998</v>
      </c>
    </row>
    <row r="37" spans="2:15" ht="15">
      <c r="B37" s="73">
        <v>3</v>
      </c>
      <c r="C37" s="80" t="s">
        <v>273</v>
      </c>
      <c r="D37" s="75"/>
      <c r="E37" s="76"/>
      <c r="F37" s="143">
        <f>I28</f>
        <v>9.7451595000000002E-2</v>
      </c>
      <c r="G37" s="78"/>
      <c r="H37" s="77"/>
      <c r="I37" s="143">
        <f t="shared" ref="I37:I38" si="27">F37+G37-H37</f>
        <v>9.7451595000000002E-2</v>
      </c>
      <c r="J37" s="144"/>
      <c r="K37" s="145">
        <f t="shared" si="23"/>
        <v>0</v>
      </c>
      <c r="L37" s="146"/>
      <c r="M37" s="147">
        <f t="shared" si="24"/>
        <v>0</v>
      </c>
      <c r="N37" s="143">
        <f t="shared" si="25"/>
        <v>9.7451595000000002E-2</v>
      </c>
      <c r="O37" s="143">
        <f t="shared" si="26"/>
        <v>9.7451595000000002E-2</v>
      </c>
    </row>
    <row r="38" spans="2:15" ht="15">
      <c r="B38" s="73"/>
      <c r="C38" s="80" t="s">
        <v>9</v>
      </c>
      <c r="D38" s="75"/>
      <c r="E38" s="81"/>
      <c r="F38" s="143">
        <f>I29</f>
        <v>0.05</v>
      </c>
      <c r="G38" s="78"/>
      <c r="H38" s="79"/>
      <c r="I38" s="143">
        <f t="shared" si="27"/>
        <v>0.05</v>
      </c>
      <c r="J38" s="144"/>
      <c r="K38" s="145">
        <f t="shared" si="23"/>
        <v>0</v>
      </c>
      <c r="L38" s="146"/>
      <c r="M38" s="147">
        <f t="shared" si="24"/>
        <v>0</v>
      </c>
      <c r="N38" s="143">
        <f t="shared" si="25"/>
        <v>0.05</v>
      </c>
      <c r="O38" s="143">
        <f t="shared" si="26"/>
        <v>0.05</v>
      </c>
    </row>
    <row r="39" spans="2:15" ht="15.75" thickBot="1">
      <c r="B39" s="82"/>
      <c r="C39" s="83" t="s">
        <v>127</v>
      </c>
      <c r="D39" s="83"/>
      <c r="E39" s="148">
        <f>IFERROR((K39-L39)/AVERAGE(F39,I39),0)</f>
        <v>1.005225794066986E-2</v>
      </c>
      <c r="F39" s="149">
        <f>I30</f>
        <v>31.28250521</v>
      </c>
      <c r="G39" s="149">
        <f>'F3'!I12</f>
        <v>11.04</v>
      </c>
      <c r="H39" s="149">
        <f t="shared" ref="H39:O39" si="28">SUM(H35:H38)</f>
        <v>0</v>
      </c>
      <c r="I39" s="149">
        <f>F39+G39</f>
        <v>42.322505210000003</v>
      </c>
      <c r="J39" s="150">
        <f>M30</f>
        <v>20.867594064040784</v>
      </c>
      <c r="K39" s="149">
        <v>0.36994827523376639</v>
      </c>
      <c r="L39" s="151">
        <f t="shared" si="28"/>
        <v>0</v>
      </c>
      <c r="M39" s="150">
        <f>J39+K39</f>
        <v>21.237542339274551</v>
      </c>
      <c r="N39" s="149">
        <f t="shared" si="28"/>
        <v>0.63803508600000003</v>
      </c>
      <c r="O39" s="149">
        <f t="shared" si="28"/>
        <v>0.63803508600000003</v>
      </c>
    </row>
    <row r="40" spans="2:15" ht="15" thickBot="1"/>
    <row r="41" spans="2:15" ht="15">
      <c r="B41" s="268" t="s">
        <v>386</v>
      </c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70"/>
    </row>
    <row r="42" spans="2:15" ht="15">
      <c r="B42" s="271" t="s">
        <v>2</v>
      </c>
      <c r="C42" s="273" t="s">
        <v>274</v>
      </c>
      <c r="D42" s="275" t="s">
        <v>261</v>
      </c>
      <c r="E42" s="275" t="s">
        <v>262</v>
      </c>
      <c r="F42" s="275" t="s">
        <v>263</v>
      </c>
      <c r="G42" s="275"/>
      <c r="H42" s="275"/>
      <c r="I42" s="275"/>
      <c r="J42" s="275" t="s">
        <v>264</v>
      </c>
      <c r="K42" s="275"/>
      <c r="L42" s="275"/>
      <c r="M42" s="275"/>
      <c r="N42" s="275" t="s">
        <v>265</v>
      </c>
      <c r="O42" s="277"/>
    </row>
    <row r="43" spans="2:15" ht="60.75" thickBot="1">
      <c r="B43" s="272"/>
      <c r="C43" s="274"/>
      <c r="D43" s="276"/>
      <c r="E43" s="276"/>
      <c r="F43" s="66" t="s">
        <v>266</v>
      </c>
      <c r="G43" s="66" t="s">
        <v>126</v>
      </c>
      <c r="H43" s="66" t="s">
        <v>267</v>
      </c>
      <c r="I43" s="66" t="s">
        <v>268</v>
      </c>
      <c r="J43" s="66" t="s">
        <v>269</v>
      </c>
      <c r="K43" s="66" t="s">
        <v>126</v>
      </c>
      <c r="L43" s="66" t="s">
        <v>270</v>
      </c>
      <c r="M43" s="66" t="s">
        <v>271</v>
      </c>
      <c r="N43" s="66" t="s">
        <v>266</v>
      </c>
      <c r="O43" s="67" t="s">
        <v>268</v>
      </c>
    </row>
    <row r="44" spans="2:15" ht="15">
      <c r="B44" s="65">
        <v>1</v>
      </c>
      <c r="C44" s="68" t="s">
        <v>212</v>
      </c>
      <c r="D44" s="69"/>
      <c r="E44" s="70"/>
      <c r="F44" s="137">
        <f>I35</f>
        <v>0.23467119300000003</v>
      </c>
      <c r="G44" s="72"/>
      <c r="H44" s="71"/>
      <c r="I44" s="137">
        <f>F44+G44-H44</f>
        <v>0.23467119300000003</v>
      </c>
      <c r="J44" s="138"/>
      <c r="K44" s="139">
        <f>AVERAGE(F44,I44)*E44</f>
        <v>0</v>
      </c>
      <c r="L44" s="140"/>
      <c r="M44" s="141">
        <f>J44+K44-L44</f>
        <v>0</v>
      </c>
      <c r="N44" s="142">
        <f>F44-J44</f>
        <v>0.23467119300000003</v>
      </c>
      <c r="O44" s="142">
        <f>I44-M44</f>
        <v>0.23467119300000003</v>
      </c>
    </row>
    <row r="45" spans="2:15" ht="15">
      <c r="B45" s="73">
        <v>2</v>
      </c>
      <c r="C45" s="74" t="s">
        <v>116</v>
      </c>
      <c r="D45" s="75"/>
      <c r="E45" s="76"/>
      <c r="F45" s="143">
        <f>I36</f>
        <v>0.25591229799999998</v>
      </c>
      <c r="G45" s="78"/>
      <c r="H45" s="77"/>
      <c r="I45" s="143">
        <f>F45+G45-H45</f>
        <v>0.25591229799999998</v>
      </c>
      <c r="J45" s="144"/>
      <c r="K45" s="145">
        <f t="shared" ref="K45:K47" si="29">AVERAGE(F45,I45)*E45</f>
        <v>0</v>
      </c>
      <c r="L45" s="146"/>
      <c r="M45" s="147">
        <f t="shared" ref="M45:M47" si="30">J45+K45-L45</f>
        <v>0</v>
      </c>
      <c r="N45" s="143">
        <f t="shared" ref="N45:N47" si="31">F45-J45</f>
        <v>0.25591229799999998</v>
      </c>
      <c r="O45" s="143">
        <f t="shared" ref="O45:O47" si="32">I45-M45</f>
        <v>0.25591229799999998</v>
      </c>
    </row>
    <row r="46" spans="2:15" ht="15">
      <c r="B46" s="73">
        <v>3</v>
      </c>
      <c r="C46" s="80" t="s">
        <v>273</v>
      </c>
      <c r="D46" s="75"/>
      <c r="E46" s="76"/>
      <c r="F46" s="143">
        <f>I37</f>
        <v>9.7451595000000002E-2</v>
      </c>
      <c r="G46" s="78"/>
      <c r="H46" s="77"/>
      <c r="I46" s="143">
        <f t="shared" ref="I46:I47" si="33">F46+G46-H46</f>
        <v>9.7451595000000002E-2</v>
      </c>
      <c r="J46" s="144"/>
      <c r="K46" s="145">
        <f t="shared" si="29"/>
        <v>0</v>
      </c>
      <c r="L46" s="146"/>
      <c r="M46" s="147">
        <f t="shared" si="30"/>
        <v>0</v>
      </c>
      <c r="N46" s="143">
        <f t="shared" si="31"/>
        <v>9.7451595000000002E-2</v>
      </c>
      <c r="O46" s="143">
        <f t="shared" si="32"/>
        <v>9.7451595000000002E-2</v>
      </c>
    </row>
    <row r="47" spans="2:15" ht="15">
      <c r="B47" s="73"/>
      <c r="C47" s="80" t="s">
        <v>9</v>
      </c>
      <c r="D47" s="75"/>
      <c r="E47" s="81"/>
      <c r="F47" s="143">
        <f>I38</f>
        <v>0.05</v>
      </c>
      <c r="G47" s="78"/>
      <c r="H47" s="79"/>
      <c r="I47" s="143">
        <f t="shared" si="33"/>
        <v>0.05</v>
      </c>
      <c r="J47" s="144"/>
      <c r="K47" s="145">
        <f t="shared" si="29"/>
        <v>0</v>
      </c>
      <c r="L47" s="146"/>
      <c r="M47" s="147">
        <f t="shared" si="30"/>
        <v>0</v>
      </c>
      <c r="N47" s="143">
        <f t="shared" si="31"/>
        <v>0.05</v>
      </c>
      <c r="O47" s="143">
        <f t="shared" si="32"/>
        <v>0.05</v>
      </c>
    </row>
    <row r="48" spans="2:15" ht="15.75" thickBot="1">
      <c r="B48" s="82"/>
      <c r="C48" s="83" t="s">
        <v>127</v>
      </c>
      <c r="D48" s="83"/>
      <c r="E48" s="148">
        <f>IFERROR((K48-L48)/AVERAGE(F48,I48),0)</f>
        <v>1.824003980642892E-2</v>
      </c>
      <c r="F48" s="149">
        <f>I39</f>
        <v>42.322505210000003</v>
      </c>
      <c r="G48" s="149">
        <f>'F3'!J12</f>
        <v>13.26</v>
      </c>
      <c r="H48" s="149">
        <f t="shared" ref="H48:O48" si="34">SUM(H44:H47)</f>
        <v>0</v>
      </c>
      <c r="I48" s="149">
        <f>F48+G48</f>
        <v>55.582505210000001</v>
      </c>
      <c r="J48" s="150">
        <f>M39</f>
        <v>21.237542339274551</v>
      </c>
      <c r="K48" s="149">
        <v>0.8928956436548191</v>
      </c>
      <c r="L48" s="151">
        <f t="shared" si="34"/>
        <v>0</v>
      </c>
      <c r="M48" s="150">
        <f>J48+K48</f>
        <v>22.130437982929369</v>
      </c>
      <c r="N48" s="149">
        <f t="shared" si="34"/>
        <v>0.63803508600000003</v>
      </c>
      <c r="O48" s="149">
        <f t="shared" si="34"/>
        <v>0.63803508600000003</v>
      </c>
    </row>
    <row r="49" spans="2:15" ht="15" thickBot="1"/>
    <row r="50" spans="2:15" ht="15">
      <c r="B50" s="268" t="s">
        <v>387</v>
      </c>
      <c r="C50" s="269"/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70"/>
    </row>
    <row r="51" spans="2:15" ht="15">
      <c r="B51" s="271" t="s">
        <v>2</v>
      </c>
      <c r="C51" s="273" t="s">
        <v>274</v>
      </c>
      <c r="D51" s="275" t="s">
        <v>261</v>
      </c>
      <c r="E51" s="275" t="s">
        <v>262</v>
      </c>
      <c r="F51" s="275" t="s">
        <v>263</v>
      </c>
      <c r="G51" s="275"/>
      <c r="H51" s="275"/>
      <c r="I51" s="275"/>
      <c r="J51" s="275" t="s">
        <v>264</v>
      </c>
      <c r="K51" s="275"/>
      <c r="L51" s="275"/>
      <c r="M51" s="275"/>
      <c r="N51" s="275" t="s">
        <v>265</v>
      </c>
      <c r="O51" s="277"/>
    </row>
    <row r="52" spans="2:15" ht="60.75" thickBot="1">
      <c r="B52" s="272"/>
      <c r="C52" s="274"/>
      <c r="D52" s="276"/>
      <c r="E52" s="276"/>
      <c r="F52" s="66" t="s">
        <v>266</v>
      </c>
      <c r="G52" s="66" t="s">
        <v>126</v>
      </c>
      <c r="H52" s="66" t="s">
        <v>267</v>
      </c>
      <c r="I52" s="66" t="s">
        <v>268</v>
      </c>
      <c r="J52" s="66" t="s">
        <v>269</v>
      </c>
      <c r="K52" s="66" t="s">
        <v>126</v>
      </c>
      <c r="L52" s="66" t="s">
        <v>270</v>
      </c>
      <c r="M52" s="66" t="s">
        <v>271</v>
      </c>
      <c r="N52" s="66" t="s">
        <v>266</v>
      </c>
      <c r="O52" s="67" t="s">
        <v>268</v>
      </c>
    </row>
    <row r="53" spans="2:15" ht="15">
      <c r="B53" s="65">
        <v>1</v>
      </c>
      <c r="C53" s="68" t="s">
        <v>212</v>
      </c>
      <c r="D53" s="69"/>
      <c r="E53" s="70"/>
      <c r="F53" s="137">
        <f>I44</f>
        <v>0.23467119300000003</v>
      </c>
      <c r="G53" s="72"/>
      <c r="H53" s="71"/>
      <c r="I53" s="137">
        <f>F53+G53-H53</f>
        <v>0.23467119300000003</v>
      </c>
      <c r="J53" s="138"/>
      <c r="K53" s="139">
        <f>AVERAGE(F53,I53)*E53</f>
        <v>0</v>
      </c>
      <c r="L53" s="140"/>
      <c r="M53" s="141">
        <f>J53+K53-L53</f>
        <v>0</v>
      </c>
      <c r="N53" s="142">
        <f>F53-J53</f>
        <v>0.23467119300000003</v>
      </c>
      <c r="O53" s="142">
        <f>I53-M53</f>
        <v>0.23467119300000003</v>
      </c>
    </row>
    <row r="54" spans="2:15" ht="15">
      <c r="B54" s="73">
        <v>2</v>
      </c>
      <c r="C54" s="74" t="s">
        <v>116</v>
      </c>
      <c r="D54" s="75"/>
      <c r="E54" s="76"/>
      <c r="F54" s="143">
        <f>I45</f>
        <v>0.25591229799999998</v>
      </c>
      <c r="G54" s="78"/>
      <c r="H54" s="77"/>
      <c r="I54" s="143">
        <f>F54+G54-H54</f>
        <v>0.25591229799999998</v>
      </c>
      <c r="J54" s="144"/>
      <c r="K54" s="145">
        <f t="shared" ref="K54:K56" si="35">AVERAGE(F54,I54)*E54</f>
        <v>0</v>
      </c>
      <c r="L54" s="146"/>
      <c r="M54" s="147">
        <f t="shared" ref="M54:M56" si="36">J54+K54-L54</f>
        <v>0</v>
      </c>
      <c r="N54" s="143">
        <f t="shared" ref="N54:N56" si="37">F54-J54</f>
        <v>0.25591229799999998</v>
      </c>
      <c r="O54" s="143">
        <f t="shared" ref="O54:O56" si="38">I54-M54</f>
        <v>0.25591229799999998</v>
      </c>
    </row>
    <row r="55" spans="2:15" ht="15">
      <c r="B55" s="73">
        <v>3</v>
      </c>
      <c r="C55" s="80" t="s">
        <v>273</v>
      </c>
      <c r="D55" s="75"/>
      <c r="E55" s="76"/>
      <c r="F55" s="143">
        <f>I46</f>
        <v>9.7451595000000002E-2</v>
      </c>
      <c r="G55" s="78"/>
      <c r="H55" s="77"/>
      <c r="I55" s="143">
        <f t="shared" ref="I55:I56" si="39">F55+G55-H55</f>
        <v>9.7451595000000002E-2</v>
      </c>
      <c r="J55" s="144"/>
      <c r="K55" s="145">
        <f t="shared" si="35"/>
        <v>0</v>
      </c>
      <c r="L55" s="146"/>
      <c r="M55" s="147">
        <f t="shared" si="36"/>
        <v>0</v>
      </c>
      <c r="N55" s="143">
        <f t="shared" si="37"/>
        <v>9.7451595000000002E-2</v>
      </c>
      <c r="O55" s="143">
        <f t="shared" si="38"/>
        <v>9.7451595000000002E-2</v>
      </c>
    </row>
    <row r="56" spans="2:15" ht="15">
      <c r="B56" s="73"/>
      <c r="C56" s="80" t="s">
        <v>9</v>
      </c>
      <c r="D56" s="75"/>
      <c r="E56" s="81"/>
      <c r="F56" s="143">
        <f>I47</f>
        <v>0.05</v>
      </c>
      <c r="G56" s="78"/>
      <c r="H56" s="79"/>
      <c r="I56" s="143">
        <f t="shared" si="39"/>
        <v>0.05</v>
      </c>
      <c r="J56" s="144"/>
      <c r="K56" s="145">
        <f t="shared" si="35"/>
        <v>0</v>
      </c>
      <c r="L56" s="146"/>
      <c r="M56" s="147">
        <f t="shared" si="36"/>
        <v>0</v>
      </c>
      <c r="N56" s="143">
        <f t="shared" si="37"/>
        <v>0.05</v>
      </c>
      <c r="O56" s="143">
        <f t="shared" si="38"/>
        <v>0.05</v>
      </c>
    </row>
    <row r="57" spans="2:15" ht="15.75" thickBot="1">
      <c r="B57" s="82"/>
      <c r="C57" s="83" t="s">
        <v>127</v>
      </c>
      <c r="D57" s="83"/>
      <c r="E57" s="148">
        <f>IFERROR((K57-L57)/AVERAGE(F57,I57),0)</f>
        <v>2.7992542577496015E-2</v>
      </c>
      <c r="F57" s="149">
        <f>I48</f>
        <v>55.582505210000001</v>
      </c>
      <c r="G57" s="149">
        <f t="shared" ref="G57:O57" si="40">SUM(G53:G56)</f>
        <v>0</v>
      </c>
      <c r="H57" s="149">
        <f t="shared" si="40"/>
        <v>0</v>
      </c>
      <c r="I57" s="149">
        <f>F57+G57</f>
        <v>55.582505210000001</v>
      </c>
      <c r="J57" s="150">
        <f>M48</f>
        <v>22.130437982929369</v>
      </c>
      <c r="K57" s="149">
        <v>1.555895643654819</v>
      </c>
      <c r="L57" s="151">
        <f t="shared" si="40"/>
        <v>0</v>
      </c>
      <c r="M57" s="150">
        <f>J57+K57</f>
        <v>23.686333626584187</v>
      </c>
      <c r="N57" s="149">
        <f t="shared" si="40"/>
        <v>0.63803508600000003</v>
      </c>
      <c r="O57" s="149">
        <f t="shared" si="40"/>
        <v>0.63803508600000003</v>
      </c>
    </row>
    <row r="58" spans="2:15" ht="15" thickBot="1"/>
    <row r="59" spans="2:15" ht="15">
      <c r="B59" s="268" t="s">
        <v>388</v>
      </c>
      <c r="C59" s="269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70"/>
    </row>
    <row r="60" spans="2:15" ht="15">
      <c r="B60" s="271" t="s">
        <v>2</v>
      </c>
      <c r="C60" s="273" t="s">
        <v>274</v>
      </c>
      <c r="D60" s="275" t="s">
        <v>261</v>
      </c>
      <c r="E60" s="275" t="s">
        <v>262</v>
      </c>
      <c r="F60" s="275" t="s">
        <v>263</v>
      </c>
      <c r="G60" s="275"/>
      <c r="H60" s="275"/>
      <c r="I60" s="275"/>
      <c r="J60" s="275" t="s">
        <v>264</v>
      </c>
      <c r="K60" s="275"/>
      <c r="L60" s="275"/>
      <c r="M60" s="275"/>
      <c r="N60" s="275" t="s">
        <v>265</v>
      </c>
      <c r="O60" s="277"/>
    </row>
    <row r="61" spans="2:15" ht="60.75" thickBot="1">
      <c r="B61" s="272"/>
      <c r="C61" s="274"/>
      <c r="D61" s="276"/>
      <c r="E61" s="276"/>
      <c r="F61" s="66" t="s">
        <v>266</v>
      </c>
      <c r="G61" s="66" t="s">
        <v>126</v>
      </c>
      <c r="H61" s="66" t="s">
        <v>267</v>
      </c>
      <c r="I61" s="66" t="s">
        <v>268</v>
      </c>
      <c r="J61" s="66" t="s">
        <v>269</v>
      </c>
      <c r="K61" s="66" t="s">
        <v>126</v>
      </c>
      <c r="L61" s="66" t="s">
        <v>270</v>
      </c>
      <c r="M61" s="66" t="s">
        <v>271</v>
      </c>
      <c r="N61" s="66" t="s">
        <v>266</v>
      </c>
      <c r="O61" s="67" t="s">
        <v>268</v>
      </c>
    </row>
    <row r="62" spans="2:15" ht="15">
      <c r="B62" s="65">
        <v>1</v>
      </c>
      <c r="C62" s="68" t="s">
        <v>212</v>
      </c>
      <c r="D62" s="69"/>
      <c r="E62" s="70"/>
      <c r="F62" s="137">
        <f>I53</f>
        <v>0.23467119300000003</v>
      </c>
      <c r="G62" s="72"/>
      <c r="H62" s="71"/>
      <c r="I62" s="137">
        <f>F62+G62-H62</f>
        <v>0.23467119300000003</v>
      </c>
      <c r="J62" s="138"/>
      <c r="K62" s="139">
        <f>AVERAGE(F62,I62)*E62</f>
        <v>0</v>
      </c>
      <c r="L62" s="140"/>
      <c r="M62" s="141">
        <f>J62+K62-L62</f>
        <v>0</v>
      </c>
      <c r="N62" s="142">
        <f>F62-J62</f>
        <v>0.23467119300000003</v>
      </c>
      <c r="O62" s="142">
        <f>I62-M62</f>
        <v>0.23467119300000003</v>
      </c>
    </row>
    <row r="63" spans="2:15" ht="15">
      <c r="B63" s="73">
        <v>2</v>
      </c>
      <c r="C63" s="74" t="s">
        <v>116</v>
      </c>
      <c r="D63" s="75"/>
      <c r="E63" s="76"/>
      <c r="F63" s="143">
        <f>I54</f>
        <v>0.25591229799999998</v>
      </c>
      <c r="G63" s="78"/>
      <c r="H63" s="77"/>
      <c r="I63" s="143">
        <f>F63+G63-H63</f>
        <v>0.25591229799999998</v>
      </c>
      <c r="J63" s="144"/>
      <c r="K63" s="145">
        <f t="shared" ref="K63:K65" si="41">AVERAGE(F63,I63)*E63</f>
        <v>0</v>
      </c>
      <c r="L63" s="146"/>
      <c r="M63" s="147">
        <f t="shared" ref="M63:M65" si="42">J63+K63-L63</f>
        <v>0</v>
      </c>
      <c r="N63" s="143">
        <f t="shared" ref="N63:N65" si="43">F63-J63</f>
        <v>0.25591229799999998</v>
      </c>
      <c r="O63" s="143">
        <f t="shared" ref="O63:O65" si="44">I63-M63</f>
        <v>0.25591229799999998</v>
      </c>
    </row>
    <row r="64" spans="2:15" ht="15">
      <c r="B64" s="73">
        <v>3</v>
      </c>
      <c r="C64" s="80" t="s">
        <v>273</v>
      </c>
      <c r="D64" s="75"/>
      <c r="E64" s="76"/>
      <c r="F64" s="143">
        <f>I55</f>
        <v>9.7451595000000002E-2</v>
      </c>
      <c r="G64" s="78"/>
      <c r="H64" s="77"/>
      <c r="I64" s="143">
        <f t="shared" ref="I64:I65" si="45">F64+G64-H64</f>
        <v>9.7451595000000002E-2</v>
      </c>
      <c r="J64" s="144"/>
      <c r="K64" s="145">
        <f t="shared" si="41"/>
        <v>0</v>
      </c>
      <c r="L64" s="146"/>
      <c r="M64" s="147">
        <f t="shared" si="42"/>
        <v>0</v>
      </c>
      <c r="N64" s="143">
        <f t="shared" si="43"/>
        <v>9.7451595000000002E-2</v>
      </c>
      <c r="O64" s="143">
        <f t="shared" si="44"/>
        <v>9.7451595000000002E-2</v>
      </c>
    </row>
    <row r="65" spans="2:15" ht="15">
      <c r="B65" s="73"/>
      <c r="C65" s="80" t="s">
        <v>9</v>
      </c>
      <c r="D65" s="75"/>
      <c r="E65" s="81"/>
      <c r="F65" s="143">
        <f>I56</f>
        <v>0.05</v>
      </c>
      <c r="G65" s="78"/>
      <c r="H65" s="79"/>
      <c r="I65" s="143">
        <f t="shared" si="45"/>
        <v>0.05</v>
      </c>
      <c r="J65" s="144"/>
      <c r="K65" s="145">
        <f t="shared" si="41"/>
        <v>0</v>
      </c>
      <c r="L65" s="146"/>
      <c r="M65" s="147">
        <f t="shared" si="42"/>
        <v>0</v>
      </c>
      <c r="N65" s="143">
        <f t="shared" si="43"/>
        <v>0.05</v>
      </c>
      <c r="O65" s="143">
        <f t="shared" si="44"/>
        <v>0.05</v>
      </c>
    </row>
    <row r="66" spans="2:15" ht="15.75" thickBot="1">
      <c r="B66" s="82"/>
      <c r="C66" s="83" t="s">
        <v>127</v>
      </c>
      <c r="D66" s="83"/>
      <c r="E66" s="148">
        <f>IFERROR((K66-L66)/AVERAGE(F66,I66),0)</f>
        <v>2.7992542577496018E-2</v>
      </c>
      <c r="F66" s="149">
        <f>I57</f>
        <v>55.582505210000001</v>
      </c>
      <c r="G66" s="149">
        <f t="shared" ref="G66:O66" si="46">SUM(G62:G65)</f>
        <v>0</v>
      </c>
      <c r="H66" s="149">
        <f t="shared" si="46"/>
        <v>0</v>
      </c>
      <c r="I66" s="149">
        <f>F66+G66</f>
        <v>55.582505210000001</v>
      </c>
      <c r="J66" s="150">
        <f>M57</f>
        <v>23.686333626584187</v>
      </c>
      <c r="K66" s="149">
        <v>1.5558956436548192</v>
      </c>
      <c r="L66" s="151">
        <f t="shared" si="46"/>
        <v>0</v>
      </c>
      <c r="M66" s="150">
        <f>J66+K66</f>
        <v>25.242229270239005</v>
      </c>
      <c r="N66" s="149">
        <f t="shared" si="46"/>
        <v>0.63803508600000003</v>
      </c>
      <c r="O66" s="149">
        <f t="shared" si="46"/>
        <v>0.63803508600000003</v>
      </c>
    </row>
    <row r="67" spans="2:15" ht="15" thickBot="1"/>
    <row r="68" spans="2:15" ht="15">
      <c r="B68" s="268" t="s">
        <v>389</v>
      </c>
      <c r="C68" s="269"/>
      <c r="D68" s="269"/>
      <c r="E68" s="269"/>
      <c r="F68" s="269"/>
      <c r="G68" s="269"/>
      <c r="H68" s="269"/>
      <c r="I68" s="269"/>
      <c r="J68" s="269"/>
      <c r="K68" s="269"/>
      <c r="L68" s="269"/>
      <c r="M68" s="269"/>
      <c r="N68" s="269"/>
      <c r="O68" s="270"/>
    </row>
    <row r="69" spans="2:15" ht="15">
      <c r="B69" s="271" t="s">
        <v>2</v>
      </c>
      <c r="C69" s="273" t="s">
        <v>274</v>
      </c>
      <c r="D69" s="275" t="s">
        <v>261</v>
      </c>
      <c r="E69" s="275" t="s">
        <v>262</v>
      </c>
      <c r="F69" s="275" t="s">
        <v>263</v>
      </c>
      <c r="G69" s="275"/>
      <c r="H69" s="275"/>
      <c r="I69" s="275"/>
      <c r="J69" s="275" t="s">
        <v>264</v>
      </c>
      <c r="K69" s="275"/>
      <c r="L69" s="275"/>
      <c r="M69" s="275"/>
      <c r="N69" s="275" t="s">
        <v>265</v>
      </c>
      <c r="O69" s="277"/>
    </row>
    <row r="70" spans="2:15" ht="60.75" thickBot="1">
      <c r="B70" s="272"/>
      <c r="C70" s="274"/>
      <c r="D70" s="276"/>
      <c r="E70" s="276"/>
      <c r="F70" s="66" t="s">
        <v>266</v>
      </c>
      <c r="G70" s="66" t="s">
        <v>126</v>
      </c>
      <c r="H70" s="66" t="s">
        <v>267</v>
      </c>
      <c r="I70" s="66" t="s">
        <v>268</v>
      </c>
      <c r="J70" s="66" t="s">
        <v>269</v>
      </c>
      <c r="K70" s="66" t="s">
        <v>126</v>
      </c>
      <c r="L70" s="66" t="s">
        <v>270</v>
      </c>
      <c r="M70" s="66" t="s">
        <v>271</v>
      </c>
      <c r="N70" s="66" t="s">
        <v>266</v>
      </c>
      <c r="O70" s="67" t="s">
        <v>268</v>
      </c>
    </row>
    <row r="71" spans="2:15" ht="15">
      <c r="B71" s="65">
        <v>1</v>
      </c>
      <c r="C71" s="68" t="s">
        <v>212</v>
      </c>
      <c r="D71" s="69"/>
      <c r="E71" s="70"/>
      <c r="F71" s="137">
        <f>I62</f>
        <v>0.23467119300000003</v>
      </c>
      <c r="G71" s="72"/>
      <c r="H71" s="71"/>
      <c r="I71" s="137">
        <f>F71+G71-H71</f>
        <v>0.23467119300000003</v>
      </c>
      <c r="J71" s="138"/>
      <c r="K71" s="139">
        <f>AVERAGE(F71,I71)*E71</f>
        <v>0</v>
      </c>
      <c r="L71" s="140"/>
      <c r="M71" s="141">
        <f>J71+K71-L71</f>
        <v>0</v>
      </c>
      <c r="N71" s="142">
        <f>F71-J71</f>
        <v>0.23467119300000003</v>
      </c>
      <c r="O71" s="142">
        <f>I71-M71</f>
        <v>0.23467119300000003</v>
      </c>
    </row>
    <row r="72" spans="2:15" ht="15">
      <c r="B72" s="73">
        <v>2</v>
      </c>
      <c r="C72" s="74" t="s">
        <v>116</v>
      </c>
      <c r="D72" s="75"/>
      <c r="E72" s="76"/>
      <c r="F72" s="143">
        <f>I63</f>
        <v>0.25591229799999998</v>
      </c>
      <c r="G72" s="78"/>
      <c r="H72" s="77"/>
      <c r="I72" s="143">
        <f>F72+G72-H72</f>
        <v>0.25591229799999998</v>
      </c>
      <c r="J72" s="144"/>
      <c r="K72" s="145">
        <f t="shared" ref="K72:K74" si="47">AVERAGE(F72,I72)*E72</f>
        <v>0</v>
      </c>
      <c r="L72" s="146"/>
      <c r="M72" s="147">
        <f t="shared" ref="M72:M74" si="48">J72+K72-L72</f>
        <v>0</v>
      </c>
      <c r="N72" s="143">
        <f t="shared" ref="N72:N74" si="49">F72-J72</f>
        <v>0.25591229799999998</v>
      </c>
      <c r="O72" s="143">
        <f t="shared" ref="O72:O74" si="50">I72-M72</f>
        <v>0.25591229799999998</v>
      </c>
    </row>
    <row r="73" spans="2:15" ht="15">
      <c r="B73" s="73">
        <v>3</v>
      </c>
      <c r="C73" s="80" t="s">
        <v>273</v>
      </c>
      <c r="D73" s="75"/>
      <c r="E73" s="76"/>
      <c r="F73" s="143">
        <f>I64</f>
        <v>9.7451595000000002E-2</v>
      </c>
      <c r="G73" s="78"/>
      <c r="H73" s="77"/>
      <c r="I73" s="143">
        <f t="shared" ref="I73:I74" si="51">F73+G73-H73</f>
        <v>9.7451595000000002E-2</v>
      </c>
      <c r="J73" s="144"/>
      <c r="K73" s="145">
        <f t="shared" si="47"/>
        <v>0</v>
      </c>
      <c r="L73" s="146"/>
      <c r="M73" s="147">
        <f t="shared" si="48"/>
        <v>0</v>
      </c>
      <c r="N73" s="143">
        <f t="shared" si="49"/>
        <v>9.7451595000000002E-2</v>
      </c>
      <c r="O73" s="143">
        <f t="shared" si="50"/>
        <v>9.7451595000000002E-2</v>
      </c>
    </row>
    <row r="74" spans="2:15" ht="15">
      <c r="B74" s="73"/>
      <c r="C74" s="80" t="s">
        <v>9</v>
      </c>
      <c r="D74" s="75"/>
      <c r="E74" s="81"/>
      <c r="F74" s="143">
        <f>I65</f>
        <v>0.05</v>
      </c>
      <c r="G74" s="78"/>
      <c r="H74" s="79"/>
      <c r="I74" s="143">
        <f t="shared" si="51"/>
        <v>0.05</v>
      </c>
      <c r="J74" s="144"/>
      <c r="K74" s="145">
        <f t="shared" si="47"/>
        <v>0</v>
      </c>
      <c r="L74" s="146"/>
      <c r="M74" s="147">
        <f t="shared" si="48"/>
        <v>0</v>
      </c>
      <c r="N74" s="143">
        <f t="shared" si="49"/>
        <v>0.05</v>
      </c>
      <c r="O74" s="143">
        <f t="shared" si="50"/>
        <v>0.05</v>
      </c>
    </row>
    <row r="75" spans="2:15" ht="15.75" thickBot="1">
      <c r="B75" s="82"/>
      <c r="C75" s="83" t="s">
        <v>127</v>
      </c>
      <c r="D75" s="83"/>
      <c r="E75" s="148">
        <f>IFERROR((K75-L75)/AVERAGE(F75,I75),0)</f>
        <v>2.7992542577496018E-2</v>
      </c>
      <c r="F75" s="149">
        <f>I66</f>
        <v>55.582505210000001</v>
      </c>
      <c r="G75" s="149">
        <f t="shared" ref="G75:O75" si="52">SUM(G71:G74)</f>
        <v>0</v>
      </c>
      <c r="H75" s="149">
        <f t="shared" si="52"/>
        <v>0</v>
      </c>
      <c r="I75" s="149">
        <f>F75+G75</f>
        <v>55.582505210000001</v>
      </c>
      <c r="J75" s="150">
        <f>M66</f>
        <v>25.242229270239005</v>
      </c>
      <c r="K75" s="149">
        <v>1.5558956436548192</v>
      </c>
      <c r="L75" s="151">
        <f t="shared" si="52"/>
        <v>0</v>
      </c>
      <c r="M75" s="150">
        <f>J75+K75</f>
        <v>26.798124913893822</v>
      </c>
      <c r="N75" s="149">
        <f t="shared" si="52"/>
        <v>0.63803508600000003</v>
      </c>
      <c r="O75" s="149">
        <f t="shared" si="52"/>
        <v>0.63803508600000003</v>
      </c>
    </row>
  </sheetData>
  <mergeCells count="59">
    <mergeCell ref="B2:O2"/>
    <mergeCell ref="B3:O3"/>
    <mergeCell ref="B4:O4"/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32:O32"/>
    <mergeCell ref="B33:B34"/>
    <mergeCell ref="C33:C34"/>
    <mergeCell ref="D33:D34"/>
    <mergeCell ref="E33:E34"/>
    <mergeCell ref="F33:I33"/>
    <mergeCell ref="J33:M33"/>
    <mergeCell ref="N33:O33"/>
    <mergeCell ref="B41:O41"/>
    <mergeCell ref="B42:B43"/>
    <mergeCell ref="C42:C43"/>
    <mergeCell ref="D42:D43"/>
    <mergeCell ref="E42:E43"/>
    <mergeCell ref="F42:I42"/>
    <mergeCell ref="J42:M42"/>
    <mergeCell ref="N42:O42"/>
    <mergeCell ref="B50:O50"/>
    <mergeCell ref="B51:B52"/>
    <mergeCell ref="C51:C52"/>
    <mergeCell ref="D51:D52"/>
    <mergeCell ref="E51:E52"/>
    <mergeCell ref="F51:I51"/>
    <mergeCell ref="J51:M51"/>
    <mergeCell ref="N51:O51"/>
    <mergeCell ref="B59:O59"/>
    <mergeCell ref="B60:B61"/>
    <mergeCell ref="C60:C61"/>
    <mergeCell ref="D60:D61"/>
    <mergeCell ref="E60:E61"/>
    <mergeCell ref="F60:I60"/>
    <mergeCell ref="J60:M60"/>
    <mergeCell ref="N60:O60"/>
    <mergeCell ref="B68:O68"/>
    <mergeCell ref="B69:B70"/>
    <mergeCell ref="C69:C70"/>
    <mergeCell ref="D69:D70"/>
    <mergeCell ref="E69:E70"/>
    <mergeCell ref="F69:I69"/>
    <mergeCell ref="J69:M69"/>
    <mergeCell ref="N69:O69"/>
  </mergeCells>
  <pageMargins left="0.2" right="0.23622047244094491" top="0.39" bottom="0.98425196850393704" header="0.23622047244094491" footer="0.23622047244094491"/>
  <pageSetup paperSize="9" scale="50" orientation="portrait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2"/>
  <sheetViews>
    <sheetView showGridLines="0" view="pageBreakPreview" zoomScale="90" zoomScaleNormal="80" zoomScaleSheetLayoutView="90" workbookViewId="0">
      <selection activeCell="I14" sqref="I14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bestFit="1" customWidth="1"/>
    <col min="9" max="9" width="13.28515625" style="5" bestFit="1" customWidth="1"/>
    <col min="10" max="10" width="12.5703125" style="5" customWidth="1"/>
    <col min="11" max="11" width="11.7109375" style="5" bestFit="1" customWidth="1"/>
    <col min="12" max="12" width="13.7109375" style="5" bestFit="1" customWidth="1"/>
    <col min="13" max="18" width="11.7109375" style="5" bestFit="1" customWidth="1"/>
    <col min="19" max="16384" width="9.28515625" style="5"/>
  </cols>
  <sheetData>
    <row r="1" spans="2:15" ht="15">
      <c r="B1" s="26"/>
    </row>
    <row r="2" spans="2:15" ht="14.25" customHeight="1">
      <c r="B2" s="250" t="s">
        <v>403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2:15" ht="14.25" customHeight="1">
      <c r="B3" s="250" t="s">
        <v>382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2:15" ht="14.25" customHeight="1">
      <c r="B4" s="251" t="s">
        <v>280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2:15" ht="15">
      <c r="B5" s="36" t="s">
        <v>45</v>
      </c>
      <c r="C5" s="26" t="s">
        <v>281</v>
      </c>
      <c r="D5" s="27"/>
      <c r="E5" s="27"/>
      <c r="F5" s="27"/>
      <c r="G5" s="27"/>
      <c r="H5" s="27"/>
      <c r="I5" s="27"/>
      <c r="J5" s="27"/>
      <c r="K5" s="27"/>
      <c r="L5" s="27"/>
    </row>
    <row r="6" spans="2:15" ht="15">
      <c r="O6" s="28" t="s">
        <v>4</v>
      </c>
    </row>
    <row r="7" spans="2:15" s="19" customFormat="1" ht="15" customHeight="1">
      <c r="B7" s="264" t="s">
        <v>186</v>
      </c>
      <c r="C7" s="261" t="s">
        <v>18</v>
      </c>
      <c r="D7" s="255" t="s">
        <v>383</v>
      </c>
      <c r="E7" s="256"/>
      <c r="F7" s="257"/>
      <c r="G7" s="255" t="s">
        <v>384</v>
      </c>
      <c r="H7" s="256"/>
      <c r="I7" s="256"/>
      <c r="J7" s="256"/>
      <c r="K7" s="254" t="s">
        <v>225</v>
      </c>
      <c r="L7" s="254"/>
      <c r="M7" s="254"/>
      <c r="N7" s="254"/>
      <c r="O7" s="254"/>
    </row>
    <row r="8" spans="2:15" s="19" customFormat="1" ht="45">
      <c r="B8" s="265"/>
      <c r="C8" s="26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235</v>
      </c>
      <c r="I8" s="21" t="s">
        <v>236</v>
      </c>
      <c r="J8" s="21" t="s">
        <v>244</v>
      </c>
      <c r="K8" s="21" t="s">
        <v>385</v>
      </c>
      <c r="L8" s="21" t="s">
        <v>386</v>
      </c>
      <c r="M8" s="21" t="s">
        <v>387</v>
      </c>
      <c r="N8" s="21" t="s">
        <v>388</v>
      </c>
      <c r="O8" s="21" t="s">
        <v>389</v>
      </c>
    </row>
    <row r="9" spans="2:15" s="19" customFormat="1" ht="15">
      <c r="B9" s="266"/>
      <c r="C9" s="26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3</v>
      </c>
      <c r="I9" s="21" t="s">
        <v>5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</row>
    <row r="10" spans="2:15">
      <c r="B10" s="62">
        <v>1</v>
      </c>
      <c r="C10" s="29" t="s">
        <v>165</v>
      </c>
      <c r="D10" s="2">
        <f>'F4'!F21*70%</f>
        <v>21.861000000000001</v>
      </c>
      <c r="E10" s="29">
        <f>D10</f>
        <v>21.861000000000001</v>
      </c>
      <c r="F10" s="29">
        <f>E10</f>
        <v>21.861000000000001</v>
      </c>
      <c r="G10" s="24">
        <f>D10</f>
        <v>21.861000000000001</v>
      </c>
      <c r="H10" s="24"/>
      <c r="I10" s="24"/>
      <c r="J10" s="130">
        <f>E10+E14</f>
        <v>21.861000000000001</v>
      </c>
      <c r="K10" s="130">
        <f>J10+J14</f>
        <v>21.898500000000002</v>
      </c>
      <c r="L10" s="130">
        <f t="shared" ref="L10:O10" si="0">K10+K14</f>
        <v>29.6265</v>
      </c>
      <c r="M10" s="130">
        <f t="shared" si="0"/>
        <v>38.908500000000004</v>
      </c>
      <c r="N10" s="130">
        <f t="shared" si="0"/>
        <v>38.908500000000004</v>
      </c>
      <c r="O10" s="130">
        <f t="shared" si="0"/>
        <v>38.908500000000004</v>
      </c>
    </row>
    <row r="11" spans="2:15">
      <c r="B11" s="23">
        <f>B10+1</f>
        <v>2</v>
      </c>
      <c r="C11" s="29" t="s">
        <v>166</v>
      </c>
      <c r="D11" s="158">
        <f>'F4'!J21</f>
        <v>20.02</v>
      </c>
      <c r="E11" s="157">
        <f>D11</f>
        <v>20.02</v>
      </c>
      <c r="F11" s="157">
        <f>E11</f>
        <v>20.02</v>
      </c>
      <c r="G11" s="130">
        <f>D11</f>
        <v>20.02</v>
      </c>
      <c r="H11" s="24"/>
      <c r="I11" s="24"/>
      <c r="J11" s="130">
        <f>F11+F15</f>
        <v>20.38759090909091</v>
      </c>
      <c r="K11" s="130">
        <f>J11+J15</f>
        <v>20.755289184324678</v>
      </c>
      <c r="L11" s="130">
        <f t="shared" ref="L11:O11" si="1">K11+K15</f>
        <v>21.125237459558445</v>
      </c>
      <c r="M11" s="130">
        <f t="shared" si="1"/>
        <v>22.018133103213263</v>
      </c>
      <c r="N11" s="130">
        <f t="shared" si="1"/>
        <v>23.57402874686808</v>
      </c>
      <c r="O11" s="130">
        <f t="shared" si="1"/>
        <v>25.129924390522898</v>
      </c>
    </row>
    <row r="12" spans="2:15" ht="15">
      <c r="B12" s="23">
        <f t="shared" ref="B12:B22" si="2">B11+1</f>
        <v>3</v>
      </c>
      <c r="C12" s="31" t="s">
        <v>167</v>
      </c>
      <c r="D12" s="136">
        <f>D10-D11</f>
        <v>1.8410000000000011</v>
      </c>
      <c r="E12" s="136">
        <f t="shared" ref="E12:O12" si="3">E10-E11</f>
        <v>1.8410000000000011</v>
      </c>
      <c r="F12" s="136">
        <f t="shared" si="3"/>
        <v>1.8410000000000011</v>
      </c>
      <c r="G12" s="136">
        <f>G10-G11</f>
        <v>1.8410000000000011</v>
      </c>
      <c r="H12" s="136">
        <f>H10-H11</f>
        <v>0</v>
      </c>
      <c r="I12" s="136">
        <f t="shared" si="3"/>
        <v>0</v>
      </c>
      <c r="J12" s="136">
        <f t="shared" si="3"/>
        <v>1.4734090909090902</v>
      </c>
      <c r="K12" s="136">
        <f>K10-K11</f>
        <v>1.1432108156753245</v>
      </c>
      <c r="L12" s="136">
        <f t="shared" si="3"/>
        <v>8.5012625404415552</v>
      </c>
      <c r="M12" s="136">
        <f t="shared" si="3"/>
        <v>16.890366896786741</v>
      </c>
      <c r="N12" s="136">
        <f t="shared" si="3"/>
        <v>15.334471253131923</v>
      </c>
      <c r="O12" s="136">
        <f t="shared" si="3"/>
        <v>13.778575609477105</v>
      </c>
    </row>
    <row r="13" spans="2:15" ht="28.5">
      <c r="B13" s="23">
        <f t="shared" si="2"/>
        <v>4</v>
      </c>
      <c r="C13" s="86" t="s">
        <v>168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</row>
    <row r="14" spans="2:15" s="35" customFormat="1" ht="28.5">
      <c r="B14" s="23">
        <f t="shared" si="2"/>
        <v>5</v>
      </c>
      <c r="C14" s="39" t="s">
        <v>368</v>
      </c>
      <c r="D14" s="155"/>
      <c r="E14" s="166">
        <f>F3.1!H14*75%</f>
        <v>0</v>
      </c>
      <c r="F14" s="166">
        <f>E14</f>
        <v>0</v>
      </c>
      <c r="G14" s="173"/>
      <c r="H14" s="173"/>
      <c r="I14" s="173"/>
      <c r="J14" s="174">
        <f>F3.1!H20*75%</f>
        <v>3.7500000000000006E-2</v>
      </c>
      <c r="K14" s="174">
        <f>F3.1!H28*70%</f>
        <v>7.7279999999999989</v>
      </c>
      <c r="L14" s="174">
        <f>F3.1!H34*70%</f>
        <v>9.282</v>
      </c>
      <c r="M14" s="174">
        <f>F3.1!H340*70%</f>
        <v>0</v>
      </c>
      <c r="N14" s="174">
        <f>F3.1!H46*70%</f>
        <v>0</v>
      </c>
      <c r="O14" s="174">
        <f>F3.1!H52*70%</f>
        <v>0</v>
      </c>
    </row>
    <row r="15" spans="2:15">
      <c r="B15" s="23">
        <f t="shared" si="2"/>
        <v>6</v>
      </c>
      <c r="C15" s="86" t="s">
        <v>173</v>
      </c>
      <c r="D15" s="177">
        <f>'F1'!F12</f>
        <v>0.9</v>
      </c>
      <c r="E15" s="177">
        <f>'F1'!G12</f>
        <v>0.36759090909090925</v>
      </c>
      <c r="F15" s="177">
        <f>'F1'!H12</f>
        <v>0.36759090909090925</v>
      </c>
      <c r="G15" s="177">
        <f>'F1'!I12</f>
        <v>0.9</v>
      </c>
      <c r="H15" s="231"/>
      <c r="I15" s="231"/>
      <c r="J15" s="177">
        <f>'F1'!J12</f>
        <v>0.36769827523376636</v>
      </c>
      <c r="K15" s="177">
        <f>'F1'!K12</f>
        <v>0.36994827523376639</v>
      </c>
      <c r="L15" s="177">
        <f>'F1'!L12</f>
        <v>0.8928956436548191</v>
      </c>
      <c r="M15" s="177">
        <f>'F1'!M12</f>
        <v>1.555895643654819</v>
      </c>
      <c r="N15" s="177">
        <f>'F1'!N12</f>
        <v>1.5558956436548192</v>
      </c>
      <c r="O15" s="177">
        <f>'F1'!O12</f>
        <v>1.5558956436548192</v>
      </c>
    </row>
    <row r="16" spans="2:15" ht="15">
      <c r="B16" s="23">
        <f t="shared" si="2"/>
        <v>7</v>
      </c>
      <c r="C16" s="29" t="s">
        <v>169</v>
      </c>
      <c r="D16" s="136">
        <f>D12-D13+D14-D15</f>
        <v>0.94100000000000106</v>
      </c>
      <c r="E16" s="136">
        <f t="shared" ref="E16:O16" si="4">E12-E13+E14-E15</f>
        <v>1.4734090909090918</v>
      </c>
      <c r="F16" s="136">
        <f t="shared" si="4"/>
        <v>1.4734090909090918</v>
      </c>
      <c r="G16" s="136">
        <f t="shared" si="4"/>
        <v>0.94100000000000106</v>
      </c>
      <c r="H16" s="232"/>
      <c r="I16" s="232"/>
      <c r="J16" s="136">
        <f t="shared" si="4"/>
        <v>1.143210815675324</v>
      </c>
      <c r="K16" s="136">
        <f t="shared" si="4"/>
        <v>8.5012625404415552</v>
      </c>
      <c r="L16" s="136">
        <f t="shared" si="4"/>
        <v>16.890366896786738</v>
      </c>
      <c r="M16" s="136">
        <f t="shared" si="4"/>
        <v>15.334471253131921</v>
      </c>
      <c r="N16" s="136">
        <f t="shared" si="4"/>
        <v>13.778575609477103</v>
      </c>
      <c r="O16" s="136">
        <f t="shared" si="4"/>
        <v>12.222679965822286</v>
      </c>
    </row>
    <row r="17" spans="2:15" ht="15">
      <c r="B17" s="23">
        <f t="shared" si="2"/>
        <v>8</v>
      </c>
      <c r="C17" s="29" t="s">
        <v>170</v>
      </c>
      <c r="D17" s="136">
        <f>D10-D13+D14-D15</f>
        <v>20.961000000000002</v>
      </c>
      <c r="E17" s="136">
        <f t="shared" ref="E17:O17" si="5">E10-E13+E14-E15</f>
        <v>21.49340909090909</v>
      </c>
      <c r="F17" s="136">
        <f t="shared" si="5"/>
        <v>21.49340909090909</v>
      </c>
      <c r="G17" s="136">
        <f t="shared" si="5"/>
        <v>20.961000000000002</v>
      </c>
      <c r="H17" s="232"/>
      <c r="I17" s="232"/>
      <c r="J17" s="136">
        <f t="shared" si="5"/>
        <v>21.530801724766235</v>
      </c>
      <c r="K17" s="136">
        <f t="shared" si="5"/>
        <v>29.256551724766233</v>
      </c>
      <c r="L17" s="136">
        <f t="shared" si="5"/>
        <v>38.015604356345186</v>
      </c>
      <c r="M17" s="136">
        <f t="shared" si="5"/>
        <v>37.352604356345182</v>
      </c>
      <c r="N17" s="136">
        <f t="shared" si="5"/>
        <v>37.352604356345182</v>
      </c>
      <c r="O17" s="136">
        <f t="shared" si="5"/>
        <v>37.352604356345182</v>
      </c>
    </row>
    <row r="18" spans="2:15" ht="15">
      <c r="B18" s="23">
        <f t="shared" si="2"/>
        <v>9</v>
      </c>
      <c r="C18" s="29" t="s">
        <v>205</v>
      </c>
      <c r="D18" s="136">
        <f>AVERAGE(D12,D16)</f>
        <v>1.3910000000000011</v>
      </c>
      <c r="E18" s="136">
        <f t="shared" ref="E18:O18" si="6">AVERAGE(E12,E16)</f>
        <v>1.6572045454545465</v>
      </c>
      <c r="F18" s="136">
        <f t="shared" si="6"/>
        <v>1.6572045454545465</v>
      </c>
      <c r="G18" s="136">
        <f t="shared" si="6"/>
        <v>1.3910000000000011</v>
      </c>
      <c r="H18" s="232"/>
      <c r="I18" s="232"/>
      <c r="J18" s="136">
        <f t="shared" si="6"/>
        <v>1.3083099532922071</v>
      </c>
      <c r="K18" s="136">
        <f t="shared" si="6"/>
        <v>4.8222366780584398</v>
      </c>
      <c r="L18" s="136">
        <f t="shared" si="6"/>
        <v>12.695814718614146</v>
      </c>
      <c r="M18" s="136">
        <f t="shared" si="6"/>
        <v>16.11241907495933</v>
      </c>
      <c r="N18" s="136">
        <f t="shared" si="6"/>
        <v>14.556523431304512</v>
      </c>
      <c r="O18" s="136">
        <f t="shared" si="6"/>
        <v>13.000627787649695</v>
      </c>
    </row>
    <row r="19" spans="2:15">
      <c r="B19" s="23">
        <f t="shared" si="2"/>
        <v>10</v>
      </c>
      <c r="C19" s="86" t="s">
        <v>204</v>
      </c>
      <c r="D19" s="153">
        <v>0.125</v>
      </c>
      <c r="E19" s="153">
        <v>0.125</v>
      </c>
      <c r="F19" s="153">
        <v>0.125</v>
      </c>
      <c r="G19" s="153">
        <v>0.125</v>
      </c>
      <c r="H19" s="153">
        <v>0.125</v>
      </c>
      <c r="I19" s="153">
        <v>0.125</v>
      </c>
      <c r="J19" s="153">
        <v>0.125</v>
      </c>
      <c r="K19" s="153">
        <v>0.125</v>
      </c>
      <c r="L19" s="153">
        <v>0.125</v>
      </c>
      <c r="M19" s="153">
        <v>0.125</v>
      </c>
      <c r="N19" s="153">
        <v>0.125</v>
      </c>
      <c r="O19" s="153">
        <v>0.125</v>
      </c>
    </row>
    <row r="20" spans="2:15" ht="15">
      <c r="B20" s="23">
        <f t="shared" si="2"/>
        <v>11</v>
      </c>
      <c r="C20" s="29" t="s">
        <v>282</v>
      </c>
      <c r="D20" s="136">
        <f>D18*D19</f>
        <v>0.17387500000000014</v>
      </c>
      <c r="E20" s="136">
        <f>E18*E19</f>
        <v>0.20715056818181832</v>
      </c>
      <c r="F20" s="136">
        <f t="shared" ref="F20:O20" si="7">F18*F19</f>
        <v>0.20715056818181832</v>
      </c>
      <c r="G20" s="136">
        <f t="shared" si="7"/>
        <v>0.17387500000000014</v>
      </c>
      <c r="H20" s="136">
        <f t="shared" si="7"/>
        <v>0</v>
      </c>
      <c r="I20" s="136">
        <f t="shared" si="7"/>
        <v>0</v>
      </c>
      <c r="J20" s="136">
        <f t="shared" si="7"/>
        <v>0.16353874416152589</v>
      </c>
      <c r="K20" s="136">
        <f t="shared" si="7"/>
        <v>0.60277958475730498</v>
      </c>
      <c r="L20" s="136">
        <f t="shared" si="7"/>
        <v>1.5869768398267683</v>
      </c>
      <c r="M20" s="136">
        <f t="shared" si="7"/>
        <v>2.0140523843699163</v>
      </c>
      <c r="N20" s="136">
        <f t="shared" si="7"/>
        <v>1.8195654289130641</v>
      </c>
      <c r="O20" s="136">
        <f t="shared" si="7"/>
        <v>1.6250784734562118</v>
      </c>
    </row>
    <row r="21" spans="2:15">
      <c r="B21" s="23">
        <f t="shared" si="2"/>
        <v>12</v>
      </c>
      <c r="C21" s="29" t="s">
        <v>285</v>
      </c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</row>
    <row r="22" spans="2:15" ht="15">
      <c r="B22" s="23">
        <f t="shared" si="2"/>
        <v>13</v>
      </c>
      <c r="C22" s="29" t="s">
        <v>286</v>
      </c>
      <c r="D22" s="136">
        <v>0.11</v>
      </c>
      <c r="E22" s="136">
        <f t="shared" ref="E22:O22" si="8">E20+E21</f>
        <v>0.20715056818181832</v>
      </c>
      <c r="F22" s="136">
        <f t="shared" si="8"/>
        <v>0.20715056818181832</v>
      </c>
      <c r="G22" s="136">
        <v>0</v>
      </c>
      <c r="H22" s="136">
        <f t="shared" si="8"/>
        <v>0</v>
      </c>
      <c r="I22" s="136">
        <f t="shared" si="8"/>
        <v>0</v>
      </c>
      <c r="J22" s="136">
        <f t="shared" si="8"/>
        <v>0.16353874416152589</v>
      </c>
      <c r="K22" s="136">
        <f t="shared" si="8"/>
        <v>0.60277958475730498</v>
      </c>
      <c r="L22" s="136">
        <f t="shared" si="8"/>
        <v>1.5869768398267683</v>
      </c>
      <c r="M22" s="136">
        <f t="shared" si="8"/>
        <v>2.0140523843699163</v>
      </c>
      <c r="N22" s="136">
        <f t="shared" si="8"/>
        <v>1.8195654289130641</v>
      </c>
      <c r="O22" s="136">
        <f t="shared" si="8"/>
        <v>1.6250784734562118</v>
      </c>
    </row>
    <row r="23" spans="2:15">
      <c r="B23" s="178"/>
    </row>
    <row r="24" spans="2:15">
      <c r="B24" s="178"/>
      <c r="C24" s="5" t="s">
        <v>247</v>
      </c>
    </row>
    <row r="25" spans="2:15">
      <c r="C25" s="5" t="s">
        <v>369</v>
      </c>
    </row>
    <row r="27" spans="2:15" ht="15">
      <c r="B27" s="36" t="s">
        <v>50</v>
      </c>
      <c r="C27" s="26" t="s">
        <v>283</v>
      </c>
    </row>
    <row r="28" spans="2:15" ht="15">
      <c r="L28" s="28" t="s">
        <v>4</v>
      </c>
    </row>
    <row r="29" spans="2:15" ht="15" customHeight="1">
      <c r="B29" s="264" t="s">
        <v>186</v>
      </c>
      <c r="C29" s="261" t="s">
        <v>18</v>
      </c>
      <c r="D29" s="85" t="s">
        <v>232</v>
      </c>
      <c r="E29" s="255" t="s">
        <v>231</v>
      </c>
      <c r="F29" s="256"/>
      <c r="G29" s="257"/>
      <c r="H29" s="278" t="s">
        <v>225</v>
      </c>
      <c r="I29" s="279"/>
      <c r="J29" s="279"/>
      <c r="K29" s="279"/>
      <c r="L29" s="280"/>
    </row>
    <row r="30" spans="2:15" ht="15">
      <c r="B30" s="265"/>
      <c r="C30" s="261"/>
      <c r="D30" s="21" t="s">
        <v>245</v>
      </c>
      <c r="E30" s="21" t="s">
        <v>235</v>
      </c>
      <c r="F30" s="21" t="s">
        <v>236</v>
      </c>
      <c r="G30" s="21" t="s">
        <v>244</v>
      </c>
      <c r="H30" s="21" t="s">
        <v>226</v>
      </c>
      <c r="I30" s="21" t="s">
        <v>227</v>
      </c>
      <c r="J30" s="21" t="s">
        <v>228</v>
      </c>
      <c r="K30" s="21" t="s">
        <v>229</v>
      </c>
      <c r="L30" s="21" t="s">
        <v>230</v>
      </c>
    </row>
    <row r="31" spans="2:15" ht="15">
      <c r="B31" s="266"/>
      <c r="C31" s="267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  <c r="K31" s="21" t="s">
        <v>8</v>
      </c>
      <c r="L31" s="21" t="s">
        <v>8</v>
      </c>
    </row>
    <row r="32" spans="2:15" ht="15">
      <c r="B32" s="23">
        <v>1</v>
      </c>
      <c r="C32" s="40" t="s">
        <v>185</v>
      </c>
      <c r="D32" s="29"/>
      <c r="E32" s="29"/>
      <c r="F32" s="29"/>
      <c r="G32" s="29"/>
      <c r="H32" s="29"/>
      <c r="I32" s="29"/>
      <c r="J32" s="29"/>
      <c r="K32" s="29"/>
      <c r="L32" s="29"/>
    </row>
    <row r="33" spans="2:12">
      <c r="B33" s="29"/>
      <c r="C33" s="29" t="s">
        <v>13</v>
      </c>
      <c r="D33" s="29"/>
      <c r="E33" s="29"/>
      <c r="F33" s="29"/>
      <c r="G33" s="29"/>
      <c r="H33" s="29"/>
      <c r="I33" s="29"/>
      <c r="J33" s="29"/>
      <c r="K33" s="29"/>
      <c r="L33" s="29"/>
    </row>
    <row r="34" spans="2:12">
      <c r="B34" s="29"/>
      <c r="C34" s="29" t="s">
        <v>158</v>
      </c>
      <c r="D34" s="29"/>
      <c r="E34" s="29"/>
      <c r="F34" s="29"/>
      <c r="G34" s="29"/>
      <c r="H34" s="29"/>
      <c r="I34" s="29"/>
      <c r="J34" s="29"/>
      <c r="K34" s="29"/>
      <c r="L34" s="29"/>
    </row>
    <row r="35" spans="2:12">
      <c r="B35" s="29"/>
      <c r="C35" s="29" t="s">
        <v>14</v>
      </c>
      <c r="D35" s="29"/>
      <c r="E35" s="29"/>
      <c r="F35" s="29"/>
      <c r="G35" s="29"/>
      <c r="H35" s="29"/>
      <c r="I35" s="29"/>
      <c r="J35" s="29"/>
      <c r="K35" s="29"/>
      <c r="L35" s="29"/>
    </row>
    <row r="36" spans="2:12" ht="15">
      <c r="B36" s="29"/>
      <c r="C36" s="29" t="s">
        <v>15</v>
      </c>
      <c r="D36" s="134">
        <f>D33+D34-D35</f>
        <v>0</v>
      </c>
      <c r="E36" s="134">
        <f t="shared" ref="E36:L36" si="9">E33+E34-E35</f>
        <v>0</v>
      </c>
      <c r="F36" s="134">
        <f t="shared" si="9"/>
        <v>0</v>
      </c>
      <c r="G36" s="134">
        <f t="shared" si="9"/>
        <v>0</v>
      </c>
      <c r="H36" s="134">
        <f t="shared" si="9"/>
        <v>0</v>
      </c>
      <c r="I36" s="134">
        <f t="shared" si="9"/>
        <v>0</v>
      </c>
      <c r="J36" s="134">
        <f t="shared" si="9"/>
        <v>0</v>
      </c>
      <c r="K36" s="134">
        <f t="shared" si="9"/>
        <v>0</v>
      </c>
      <c r="L36" s="134">
        <f t="shared" si="9"/>
        <v>0</v>
      </c>
    </row>
    <row r="37" spans="2:12" ht="15">
      <c r="B37" s="29"/>
      <c r="C37" s="29" t="s">
        <v>206</v>
      </c>
      <c r="D37" s="134">
        <f>AVERAGE(D33,D36)</f>
        <v>0</v>
      </c>
      <c r="E37" s="134">
        <f t="shared" ref="E37:L37" si="10">AVERAGE(E33,E36)</f>
        <v>0</v>
      </c>
      <c r="F37" s="134">
        <f t="shared" si="10"/>
        <v>0</v>
      </c>
      <c r="G37" s="134">
        <f t="shared" si="10"/>
        <v>0</v>
      </c>
      <c r="H37" s="134">
        <f t="shared" si="10"/>
        <v>0</v>
      </c>
      <c r="I37" s="134">
        <f t="shared" si="10"/>
        <v>0</v>
      </c>
      <c r="J37" s="134">
        <f t="shared" si="10"/>
        <v>0</v>
      </c>
      <c r="K37" s="134">
        <f t="shared" si="10"/>
        <v>0</v>
      </c>
      <c r="L37" s="134">
        <f t="shared" si="10"/>
        <v>0</v>
      </c>
    </row>
    <row r="38" spans="2:12">
      <c r="B38" s="29"/>
      <c r="C38" s="29" t="s">
        <v>16</v>
      </c>
      <c r="D38" s="156"/>
      <c r="E38" s="156"/>
      <c r="F38" s="156"/>
      <c r="G38" s="156"/>
      <c r="H38" s="156"/>
      <c r="I38" s="156"/>
      <c r="J38" s="156"/>
      <c r="K38" s="156"/>
      <c r="L38" s="156"/>
    </row>
    <row r="39" spans="2:12" ht="15">
      <c r="B39" s="29"/>
      <c r="C39" s="29" t="s">
        <v>282</v>
      </c>
      <c r="D39" s="134">
        <f>D37*D38</f>
        <v>0</v>
      </c>
      <c r="E39" s="134">
        <f t="shared" ref="E39:L39" si="11">E37*E38</f>
        <v>0</v>
      </c>
      <c r="F39" s="134">
        <f t="shared" si="11"/>
        <v>0</v>
      </c>
      <c r="G39" s="134">
        <f t="shared" si="11"/>
        <v>0</v>
      </c>
      <c r="H39" s="134">
        <f t="shared" si="11"/>
        <v>0</v>
      </c>
      <c r="I39" s="134">
        <f t="shared" si="11"/>
        <v>0</v>
      </c>
      <c r="J39" s="134">
        <f t="shared" si="11"/>
        <v>0</v>
      </c>
      <c r="K39" s="134">
        <f t="shared" si="11"/>
        <v>0</v>
      </c>
      <c r="L39" s="134">
        <f t="shared" si="11"/>
        <v>0</v>
      </c>
    </row>
    <row r="40" spans="2:12">
      <c r="B40" s="29"/>
      <c r="C40" s="29" t="s">
        <v>285</v>
      </c>
      <c r="D40" s="157"/>
      <c r="E40" s="157"/>
      <c r="F40" s="157"/>
      <c r="G40" s="157"/>
      <c r="H40" s="157"/>
      <c r="I40" s="157"/>
      <c r="J40" s="157"/>
      <c r="K40" s="157"/>
      <c r="L40" s="157"/>
    </row>
    <row r="41" spans="2:12" ht="15">
      <c r="B41" s="29"/>
      <c r="C41" s="29" t="s">
        <v>286</v>
      </c>
      <c r="D41" s="134">
        <f>D39+D40</f>
        <v>0</v>
      </c>
      <c r="E41" s="134">
        <f t="shared" ref="E41:L41" si="12">E39+E40</f>
        <v>0</v>
      </c>
      <c r="F41" s="134">
        <f t="shared" si="12"/>
        <v>0</v>
      </c>
      <c r="G41" s="134">
        <f t="shared" si="12"/>
        <v>0</v>
      </c>
      <c r="H41" s="134">
        <f t="shared" si="12"/>
        <v>0</v>
      </c>
      <c r="I41" s="134">
        <f t="shared" si="12"/>
        <v>0</v>
      </c>
      <c r="J41" s="134">
        <f t="shared" si="12"/>
        <v>0</v>
      </c>
      <c r="K41" s="134">
        <f t="shared" si="12"/>
        <v>0</v>
      </c>
      <c r="L41" s="134">
        <f t="shared" si="12"/>
        <v>0</v>
      </c>
    </row>
    <row r="42" spans="2:12" ht="15">
      <c r="B42" s="23">
        <v>2</v>
      </c>
      <c r="C42" s="40" t="s">
        <v>184</v>
      </c>
      <c r="D42" s="157"/>
      <c r="E42" s="157"/>
      <c r="F42" s="157"/>
      <c r="G42" s="157"/>
      <c r="H42" s="157"/>
      <c r="I42" s="157"/>
      <c r="J42" s="157"/>
      <c r="K42" s="157"/>
      <c r="L42" s="157"/>
    </row>
    <row r="43" spans="2:12">
      <c r="B43" s="29"/>
      <c r="C43" s="29" t="s">
        <v>13</v>
      </c>
      <c r="D43" s="157"/>
      <c r="E43" s="157"/>
      <c r="F43" s="157"/>
      <c r="G43" s="157"/>
      <c r="H43" s="157"/>
      <c r="I43" s="157"/>
      <c r="J43" s="157"/>
      <c r="K43" s="157"/>
      <c r="L43" s="157"/>
    </row>
    <row r="44" spans="2:12">
      <c r="B44" s="29"/>
      <c r="C44" s="29" t="s">
        <v>158</v>
      </c>
      <c r="D44" s="157"/>
      <c r="E44" s="157"/>
      <c r="F44" s="157"/>
      <c r="G44" s="157"/>
      <c r="H44" s="157"/>
      <c r="I44" s="157"/>
      <c r="J44" s="157"/>
      <c r="K44" s="157"/>
      <c r="L44" s="157"/>
    </row>
    <row r="45" spans="2:12">
      <c r="B45" s="29"/>
      <c r="C45" s="29" t="s">
        <v>14</v>
      </c>
      <c r="D45" s="157"/>
      <c r="E45" s="157"/>
      <c r="F45" s="157"/>
      <c r="G45" s="157"/>
      <c r="H45" s="157"/>
      <c r="I45" s="157"/>
      <c r="J45" s="157"/>
      <c r="K45" s="157"/>
      <c r="L45" s="157"/>
    </row>
    <row r="46" spans="2:12" ht="15">
      <c r="B46" s="29"/>
      <c r="C46" s="29" t="s">
        <v>15</v>
      </c>
      <c r="D46" s="134">
        <f>D43+D44-D45</f>
        <v>0</v>
      </c>
      <c r="E46" s="134">
        <f t="shared" ref="E46:L46" si="13">E43+E44-E45</f>
        <v>0</v>
      </c>
      <c r="F46" s="134">
        <f t="shared" si="13"/>
        <v>0</v>
      </c>
      <c r="G46" s="134">
        <f t="shared" si="13"/>
        <v>0</v>
      </c>
      <c r="H46" s="134">
        <f t="shared" si="13"/>
        <v>0</v>
      </c>
      <c r="I46" s="134">
        <f t="shared" si="13"/>
        <v>0</v>
      </c>
      <c r="J46" s="134">
        <f t="shared" si="13"/>
        <v>0</v>
      </c>
      <c r="K46" s="134">
        <f t="shared" si="13"/>
        <v>0</v>
      </c>
      <c r="L46" s="134">
        <f t="shared" si="13"/>
        <v>0</v>
      </c>
    </row>
    <row r="47" spans="2:12" ht="15">
      <c r="B47" s="29"/>
      <c r="C47" s="29" t="s">
        <v>206</v>
      </c>
      <c r="D47" s="134">
        <f>AVERAGE(D43,D46)</f>
        <v>0</v>
      </c>
      <c r="E47" s="134">
        <f t="shared" ref="E47:L47" si="14">AVERAGE(E43,E46)</f>
        <v>0</v>
      </c>
      <c r="F47" s="134">
        <f t="shared" si="14"/>
        <v>0</v>
      </c>
      <c r="G47" s="134">
        <f t="shared" si="14"/>
        <v>0</v>
      </c>
      <c r="H47" s="134">
        <f t="shared" si="14"/>
        <v>0</v>
      </c>
      <c r="I47" s="134">
        <f t="shared" si="14"/>
        <v>0</v>
      </c>
      <c r="J47" s="134">
        <f t="shared" si="14"/>
        <v>0</v>
      </c>
      <c r="K47" s="134">
        <f t="shared" si="14"/>
        <v>0</v>
      </c>
      <c r="L47" s="134">
        <f t="shared" si="14"/>
        <v>0</v>
      </c>
    </row>
    <row r="48" spans="2:12">
      <c r="B48" s="29"/>
      <c r="C48" s="29" t="s">
        <v>16</v>
      </c>
      <c r="D48" s="156"/>
      <c r="E48" s="156"/>
      <c r="F48" s="156"/>
      <c r="G48" s="156"/>
      <c r="H48" s="156"/>
      <c r="I48" s="156"/>
      <c r="J48" s="156"/>
      <c r="K48" s="156"/>
      <c r="L48" s="156"/>
    </row>
    <row r="49" spans="2:12" ht="15">
      <c r="B49" s="29"/>
      <c r="C49" s="29" t="s">
        <v>282</v>
      </c>
      <c r="D49" s="134">
        <f>D47*D48</f>
        <v>0</v>
      </c>
      <c r="E49" s="134">
        <f t="shared" ref="E49:L49" si="15">E47*E48</f>
        <v>0</v>
      </c>
      <c r="F49" s="134">
        <f t="shared" si="15"/>
        <v>0</v>
      </c>
      <c r="G49" s="134">
        <f t="shared" si="15"/>
        <v>0</v>
      </c>
      <c r="H49" s="134">
        <f t="shared" si="15"/>
        <v>0</v>
      </c>
      <c r="I49" s="134">
        <f t="shared" si="15"/>
        <v>0</v>
      </c>
      <c r="J49" s="134">
        <f t="shared" si="15"/>
        <v>0</v>
      </c>
      <c r="K49" s="134">
        <f t="shared" si="15"/>
        <v>0</v>
      </c>
      <c r="L49" s="134">
        <f t="shared" si="15"/>
        <v>0</v>
      </c>
    </row>
    <row r="50" spans="2:12">
      <c r="B50" s="29"/>
      <c r="C50" s="29" t="s">
        <v>285</v>
      </c>
      <c r="D50" s="157"/>
      <c r="E50" s="157"/>
      <c r="F50" s="157"/>
      <c r="G50" s="157"/>
      <c r="H50" s="157"/>
      <c r="I50" s="157"/>
      <c r="J50" s="157"/>
      <c r="K50" s="157"/>
      <c r="L50" s="157"/>
    </row>
    <row r="51" spans="2:12" ht="15">
      <c r="B51" s="29"/>
      <c r="C51" s="29" t="s">
        <v>286</v>
      </c>
      <c r="D51" s="134">
        <f>D49+D50</f>
        <v>0</v>
      </c>
      <c r="E51" s="134">
        <f t="shared" ref="E51:L51" si="16">E49+E50</f>
        <v>0</v>
      </c>
      <c r="F51" s="134">
        <f t="shared" si="16"/>
        <v>0</v>
      </c>
      <c r="G51" s="134">
        <f t="shared" si="16"/>
        <v>0</v>
      </c>
      <c r="H51" s="134">
        <f t="shared" si="16"/>
        <v>0</v>
      </c>
      <c r="I51" s="134">
        <f t="shared" si="16"/>
        <v>0</v>
      </c>
      <c r="J51" s="134">
        <f t="shared" si="16"/>
        <v>0</v>
      </c>
      <c r="K51" s="134">
        <f t="shared" si="16"/>
        <v>0</v>
      </c>
      <c r="L51" s="134">
        <f t="shared" si="16"/>
        <v>0</v>
      </c>
    </row>
    <row r="52" spans="2:12">
      <c r="B52" s="29"/>
      <c r="C52" s="29" t="s">
        <v>284</v>
      </c>
      <c r="D52" s="157"/>
      <c r="E52" s="157"/>
      <c r="F52" s="157"/>
      <c r="G52" s="157"/>
      <c r="H52" s="157"/>
      <c r="I52" s="157"/>
      <c r="J52" s="157"/>
      <c r="K52" s="157"/>
      <c r="L52" s="157"/>
    </row>
    <row r="53" spans="2:12" ht="15">
      <c r="B53" s="23"/>
      <c r="C53" s="40" t="s">
        <v>127</v>
      </c>
      <c r="D53" s="157"/>
      <c r="E53" s="157"/>
      <c r="F53" s="157"/>
      <c r="G53" s="157"/>
      <c r="H53" s="157"/>
      <c r="I53" s="157"/>
      <c r="J53" s="157"/>
      <c r="K53" s="157"/>
      <c r="L53" s="157"/>
    </row>
    <row r="54" spans="2:12" ht="15">
      <c r="B54" s="29"/>
      <c r="C54" s="29" t="s">
        <v>13</v>
      </c>
      <c r="D54" s="134">
        <f>D33+D43</f>
        <v>0</v>
      </c>
      <c r="E54" s="134">
        <f t="shared" ref="E54:L56" si="17">E33+E43</f>
        <v>0</v>
      </c>
      <c r="F54" s="134">
        <f t="shared" si="17"/>
        <v>0</v>
      </c>
      <c r="G54" s="134">
        <f t="shared" si="17"/>
        <v>0</v>
      </c>
      <c r="H54" s="134">
        <f t="shared" si="17"/>
        <v>0</v>
      </c>
      <c r="I54" s="134">
        <f t="shared" si="17"/>
        <v>0</v>
      </c>
      <c r="J54" s="134">
        <f t="shared" si="17"/>
        <v>0</v>
      </c>
      <c r="K54" s="134">
        <f t="shared" si="17"/>
        <v>0</v>
      </c>
      <c r="L54" s="134">
        <f t="shared" si="17"/>
        <v>0</v>
      </c>
    </row>
    <row r="55" spans="2:12" ht="15">
      <c r="B55" s="29"/>
      <c r="C55" s="29" t="s">
        <v>158</v>
      </c>
      <c r="D55" s="134">
        <f>D34+D44</f>
        <v>0</v>
      </c>
      <c r="E55" s="134">
        <f t="shared" si="17"/>
        <v>0</v>
      </c>
      <c r="F55" s="134">
        <f t="shared" si="17"/>
        <v>0</v>
      </c>
      <c r="G55" s="134">
        <f t="shared" si="17"/>
        <v>0</v>
      </c>
      <c r="H55" s="134">
        <f t="shared" si="17"/>
        <v>0</v>
      </c>
      <c r="I55" s="134">
        <f t="shared" si="17"/>
        <v>0</v>
      </c>
      <c r="J55" s="134">
        <f t="shared" si="17"/>
        <v>0</v>
      </c>
      <c r="K55" s="134">
        <f t="shared" si="17"/>
        <v>0</v>
      </c>
      <c r="L55" s="134">
        <f t="shared" si="17"/>
        <v>0</v>
      </c>
    </row>
    <row r="56" spans="2:12" ht="15">
      <c r="B56" s="29"/>
      <c r="C56" s="29" t="s">
        <v>14</v>
      </c>
      <c r="D56" s="134">
        <f>D35+D45</f>
        <v>0</v>
      </c>
      <c r="E56" s="134">
        <f t="shared" si="17"/>
        <v>0</v>
      </c>
      <c r="F56" s="134">
        <f t="shared" si="17"/>
        <v>0</v>
      </c>
      <c r="G56" s="134">
        <f t="shared" si="17"/>
        <v>0</v>
      </c>
      <c r="H56" s="134">
        <f t="shared" si="17"/>
        <v>0</v>
      </c>
      <c r="I56" s="134">
        <f t="shared" si="17"/>
        <v>0</v>
      </c>
      <c r="J56" s="134">
        <f t="shared" si="17"/>
        <v>0</v>
      </c>
      <c r="K56" s="134">
        <f t="shared" si="17"/>
        <v>0</v>
      </c>
      <c r="L56" s="134">
        <f t="shared" si="17"/>
        <v>0</v>
      </c>
    </row>
    <row r="57" spans="2:12" ht="15">
      <c r="B57" s="29"/>
      <c r="C57" s="29" t="s">
        <v>15</v>
      </c>
      <c r="D57" s="134">
        <f>D54+D55-D56</f>
        <v>0</v>
      </c>
      <c r="E57" s="134">
        <f t="shared" ref="E57:L57" si="18">E54+E55-E56</f>
        <v>0</v>
      </c>
      <c r="F57" s="134">
        <f t="shared" si="18"/>
        <v>0</v>
      </c>
      <c r="G57" s="134">
        <f t="shared" si="18"/>
        <v>0</v>
      </c>
      <c r="H57" s="134">
        <f t="shared" si="18"/>
        <v>0</v>
      </c>
      <c r="I57" s="134">
        <f t="shared" si="18"/>
        <v>0</v>
      </c>
      <c r="J57" s="134">
        <f t="shared" si="18"/>
        <v>0</v>
      </c>
      <c r="K57" s="134">
        <f t="shared" si="18"/>
        <v>0</v>
      </c>
      <c r="L57" s="134">
        <f t="shared" si="18"/>
        <v>0</v>
      </c>
    </row>
    <row r="58" spans="2:12" ht="15">
      <c r="B58" s="29"/>
      <c r="C58" s="29" t="s">
        <v>206</v>
      </c>
      <c r="D58" s="134">
        <f>AVERAGE(D54,D57)</f>
        <v>0</v>
      </c>
      <c r="E58" s="134">
        <f t="shared" ref="E58:L58" si="19">AVERAGE(E54,E57)</f>
        <v>0</v>
      </c>
      <c r="F58" s="134">
        <f t="shared" si="19"/>
        <v>0</v>
      </c>
      <c r="G58" s="134">
        <f t="shared" si="19"/>
        <v>0</v>
      </c>
      <c r="H58" s="134">
        <f t="shared" si="19"/>
        <v>0</v>
      </c>
      <c r="I58" s="134">
        <f t="shared" si="19"/>
        <v>0</v>
      </c>
      <c r="J58" s="134">
        <f t="shared" si="19"/>
        <v>0</v>
      </c>
      <c r="K58" s="134">
        <f t="shared" si="19"/>
        <v>0</v>
      </c>
      <c r="L58" s="134">
        <f t="shared" si="19"/>
        <v>0</v>
      </c>
    </row>
    <row r="59" spans="2:12" ht="15">
      <c r="B59" s="29"/>
      <c r="C59" s="29" t="s">
        <v>16</v>
      </c>
      <c r="D59" s="179">
        <f>IFERROR(D60/D58,0)</f>
        <v>0</v>
      </c>
      <c r="E59" s="179">
        <f t="shared" ref="E59:L59" si="20">IFERROR(E60/E58,0)</f>
        <v>0</v>
      </c>
      <c r="F59" s="179">
        <f t="shared" si="20"/>
        <v>0</v>
      </c>
      <c r="G59" s="179">
        <f t="shared" si="20"/>
        <v>0</v>
      </c>
      <c r="H59" s="179">
        <f t="shared" si="20"/>
        <v>0</v>
      </c>
      <c r="I59" s="179">
        <f t="shared" si="20"/>
        <v>0</v>
      </c>
      <c r="J59" s="179">
        <f t="shared" si="20"/>
        <v>0</v>
      </c>
      <c r="K59" s="179">
        <f t="shared" si="20"/>
        <v>0</v>
      </c>
      <c r="L59" s="179">
        <f t="shared" si="20"/>
        <v>0</v>
      </c>
    </row>
    <row r="60" spans="2:12" ht="15">
      <c r="B60" s="29"/>
      <c r="C60" s="29" t="s">
        <v>282</v>
      </c>
      <c r="D60" s="134">
        <f>D39+D49</f>
        <v>0</v>
      </c>
      <c r="E60" s="134">
        <f t="shared" ref="E60:L61" si="21">E39+E49</f>
        <v>0</v>
      </c>
      <c r="F60" s="134">
        <f t="shared" si="21"/>
        <v>0</v>
      </c>
      <c r="G60" s="134">
        <f t="shared" si="21"/>
        <v>0</v>
      </c>
      <c r="H60" s="134">
        <f t="shared" si="21"/>
        <v>0</v>
      </c>
      <c r="I60" s="134">
        <f t="shared" si="21"/>
        <v>0</v>
      </c>
      <c r="J60" s="134">
        <f t="shared" si="21"/>
        <v>0</v>
      </c>
      <c r="K60" s="134">
        <f t="shared" si="21"/>
        <v>0</v>
      </c>
      <c r="L60" s="134">
        <f t="shared" si="21"/>
        <v>0</v>
      </c>
    </row>
    <row r="61" spans="2:12" ht="15">
      <c r="B61" s="29"/>
      <c r="C61" s="29" t="s">
        <v>285</v>
      </c>
      <c r="D61" s="134">
        <f>D40+D50</f>
        <v>0</v>
      </c>
      <c r="E61" s="134">
        <f t="shared" si="21"/>
        <v>0</v>
      </c>
      <c r="F61" s="134">
        <f t="shared" si="21"/>
        <v>0</v>
      </c>
      <c r="G61" s="134">
        <f t="shared" si="21"/>
        <v>0</v>
      </c>
      <c r="H61" s="134">
        <f t="shared" si="21"/>
        <v>0</v>
      </c>
      <c r="I61" s="134">
        <f t="shared" si="21"/>
        <v>0</v>
      </c>
      <c r="J61" s="134">
        <f t="shared" si="21"/>
        <v>0</v>
      </c>
      <c r="K61" s="134">
        <f t="shared" si="21"/>
        <v>0</v>
      </c>
      <c r="L61" s="134">
        <f t="shared" si="21"/>
        <v>0</v>
      </c>
    </row>
    <row r="62" spans="2:12" ht="15">
      <c r="B62" s="29"/>
      <c r="C62" s="29" t="s">
        <v>286</v>
      </c>
      <c r="D62" s="134">
        <f>D60+D61</f>
        <v>0</v>
      </c>
      <c r="E62" s="134">
        <f t="shared" ref="E62:L62" si="22">E60+E61</f>
        <v>0</v>
      </c>
      <c r="F62" s="134">
        <f t="shared" si="22"/>
        <v>0</v>
      </c>
      <c r="G62" s="134">
        <f t="shared" si="22"/>
        <v>0</v>
      </c>
      <c r="H62" s="134">
        <f t="shared" si="22"/>
        <v>0</v>
      </c>
      <c r="I62" s="134">
        <f t="shared" si="22"/>
        <v>0</v>
      </c>
      <c r="J62" s="134">
        <f t="shared" si="22"/>
        <v>0</v>
      </c>
      <c r="K62" s="134">
        <f t="shared" si="22"/>
        <v>0</v>
      </c>
      <c r="L62" s="134">
        <f t="shared" si="22"/>
        <v>0</v>
      </c>
    </row>
  </sheetData>
  <mergeCells count="12">
    <mergeCell ref="B2:O2"/>
    <mergeCell ref="B3:O3"/>
    <mergeCell ref="B4:O4"/>
    <mergeCell ref="E29:G29"/>
    <mergeCell ref="H29:L29"/>
    <mergeCell ref="B7:B9"/>
    <mergeCell ref="C7:C9"/>
    <mergeCell ref="D7:F7"/>
    <mergeCell ref="G7:J7"/>
    <mergeCell ref="K7:O7"/>
    <mergeCell ref="B29:B31"/>
    <mergeCell ref="C29:C31"/>
  </mergeCells>
  <pageMargins left="1.0236220472440944" right="0.23622047244094491" top="0.98425196850393704" bottom="0.98425196850393704" header="0.23622047244094491" footer="0.23622047244094491"/>
  <pageSetup paperSize="9" scale="4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view="pageBreakPreview" zoomScale="90" zoomScaleNormal="80" zoomScaleSheetLayoutView="90" workbookViewId="0">
      <selection activeCell="E26" sqref="E26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33" t="s">
        <v>403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2:13" ht="15.75">
      <c r="B3" s="233" t="s">
        <v>382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</row>
    <row r="4" spans="2:13" ht="15.75">
      <c r="B4" s="281" t="s">
        <v>414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64" t="s">
        <v>186</v>
      </c>
      <c r="C7" s="261" t="s">
        <v>18</v>
      </c>
      <c r="D7" s="255" t="s">
        <v>383</v>
      </c>
      <c r="E7" s="256"/>
      <c r="F7" s="257"/>
      <c r="G7" s="255" t="s">
        <v>384</v>
      </c>
      <c r="H7" s="256"/>
      <c r="I7" s="254" t="s">
        <v>225</v>
      </c>
      <c r="J7" s="254"/>
      <c r="K7" s="254"/>
      <c r="L7" s="254"/>
      <c r="M7" s="254"/>
    </row>
    <row r="8" spans="2:13" s="19" customFormat="1" ht="45">
      <c r="B8" s="265"/>
      <c r="C8" s="26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s="19" customFormat="1" ht="15">
      <c r="B9" s="266"/>
      <c r="C9" s="26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2">
        <v>1</v>
      </c>
      <c r="C10" s="29" t="s">
        <v>287</v>
      </c>
      <c r="D10" s="2"/>
      <c r="E10" s="29"/>
      <c r="F10" s="29"/>
      <c r="G10" s="24"/>
      <c r="H10" s="24"/>
      <c r="I10" s="24"/>
      <c r="J10" s="24"/>
      <c r="K10" s="24"/>
      <c r="L10" s="24"/>
      <c r="M10" s="24"/>
    </row>
    <row r="11" spans="2:13">
      <c r="B11" s="23">
        <f>B10+1</f>
        <v>2</v>
      </c>
      <c r="C11" s="29" t="s">
        <v>288</v>
      </c>
      <c r="D11" s="2"/>
      <c r="E11" s="29"/>
      <c r="F11" s="29"/>
      <c r="G11" s="24"/>
      <c r="H11" s="24"/>
      <c r="I11" s="24"/>
      <c r="J11" s="24"/>
      <c r="K11" s="24"/>
      <c r="L11" s="24"/>
      <c r="M11" s="24"/>
    </row>
    <row r="12" spans="2:13">
      <c r="B12" s="23">
        <f t="shared" ref="B12:B20" si="0">B11+1</f>
        <v>3</v>
      </c>
      <c r="C12" s="31" t="s">
        <v>289</v>
      </c>
      <c r="D12" s="2"/>
      <c r="E12" s="29"/>
      <c r="F12" s="29"/>
      <c r="G12" s="24"/>
      <c r="H12" s="24"/>
      <c r="I12" s="24"/>
      <c r="J12" s="24"/>
      <c r="K12" s="24"/>
      <c r="L12" s="24"/>
      <c r="M12" s="24"/>
    </row>
    <row r="13" spans="2:13">
      <c r="B13" s="23">
        <f t="shared" si="0"/>
        <v>4</v>
      </c>
      <c r="C13" s="86" t="s">
        <v>290</v>
      </c>
      <c r="D13" s="155">
        <f>'F2'!E14/12</f>
        <v>0.53361000000000003</v>
      </c>
      <c r="E13" s="155">
        <f>'F2'!F14/12</f>
        <v>1.1814984294182314</v>
      </c>
      <c r="F13" s="155">
        <f>'F2'!G14/12</f>
        <v>1.1814984294182314</v>
      </c>
      <c r="G13" s="155">
        <f>'F2'!H14/12</f>
        <v>0.55357500000000004</v>
      </c>
      <c r="H13" s="155">
        <f>'F2'!I14/12</f>
        <v>0.70223237621201007</v>
      </c>
      <c r="I13" s="155">
        <f>'F2'!J14/12</f>
        <v>0.86934484615348673</v>
      </c>
      <c r="J13" s="155">
        <f>'F2'!K14/12</f>
        <v>0.93250994305099433</v>
      </c>
      <c r="K13" s="155">
        <f>'F2'!L14/12</f>
        <v>1.0015568217656294</v>
      </c>
      <c r="L13" s="155">
        <f>'F2'!M14/12</f>
        <v>1.0547643609892543</v>
      </c>
      <c r="M13" s="155">
        <f>'F2'!N14/12</f>
        <v>1.1110419521618777</v>
      </c>
    </row>
    <row r="14" spans="2:13" s="35" customFormat="1" ht="15">
      <c r="B14" s="23">
        <f t="shared" si="0"/>
        <v>5</v>
      </c>
      <c r="C14" s="39" t="s">
        <v>291</v>
      </c>
      <c r="D14" s="155">
        <f>'F1'!F11*15%</f>
        <v>0.96049799999999996</v>
      </c>
      <c r="E14" s="166">
        <f>'F1'!G11*15%</f>
        <v>2.1266971729528166</v>
      </c>
      <c r="F14" s="172">
        <f>E14</f>
        <v>2.1266971729528166</v>
      </c>
      <c r="G14" s="41"/>
      <c r="H14" s="166">
        <f>'F1'!J11*15%</f>
        <v>1.2640182771816182</v>
      </c>
      <c r="I14" s="166">
        <f>'F4'!F39*1%</f>
        <v>0.3128250521</v>
      </c>
      <c r="J14" s="166">
        <f>'F4'!F48*1%</f>
        <v>0.42322505210000005</v>
      </c>
      <c r="K14" s="166">
        <f>'F4'!F57*1%</f>
        <v>0.55582505209999999</v>
      </c>
      <c r="L14" s="166">
        <f>'F4'!F66*1%</f>
        <v>0.55582505209999999</v>
      </c>
      <c r="M14" s="166">
        <f>'F4'!F75*1%</f>
        <v>0.55582505209999999</v>
      </c>
    </row>
    <row r="15" spans="2:13">
      <c r="B15" s="23">
        <f t="shared" si="0"/>
        <v>6</v>
      </c>
      <c r="C15" s="86" t="s">
        <v>365</v>
      </c>
      <c r="D15" s="155">
        <f>('F1'!F22+'F1'!F16)*2/12</f>
        <v>1.5755533333333336</v>
      </c>
      <c r="E15" s="155">
        <f ca="1">('F1'!G22+'F1'!G16)*2/12</f>
        <v>2.8795758694704703</v>
      </c>
      <c r="F15" s="155">
        <f ca="1">('F1'!H22+'F1'!H16)*2/12</f>
        <v>2.8795758694704703</v>
      </c>
      <c r="G15" s="155">
        <f>('F1'!I22+'F1'!I16)*2/12</f>
        <v>1.598816666666667</v>
      </c>
      <c r="H15" s="155">
        <f ca="1">('F1'!J22+'F1'!J16)*2/12</f>
        <v>1.8812932475397661</v>
      </c>
      <c r="I15" s="155">
        <f ca="1">('F1'!K22+'F1'!K16)*45/365</f>
        <v>1.7243110181224635</v>
      </c>
      <c r="J15" s="155">
        <f ca="1">('F1'!L22+'F1'!L16)*45/365</f>
        <v>2.1035721060453763</v>
      </c>
      <c r="K15" s="155">
        <f ca="1">('F1'!M22+'F1'!M16)*45/365</f>
        <v>2.3971054694332601</v>
      </c>
      <c r="L15" s="155">
        <f ca="1">('F1'!N22+'F1'!N16)*45/365</f>
        <v>2.453213571839683</v>
      </c>
      <c r="M15" s="155">
        <f ca="1">('F1'!O22+'F1'!O16)*45/365</f>
        <v>2.5139601308634645</v>
      </c>
    </row>
    <row r="16" spans="2:13">
      <c r="B16" s="23"/>
      <c r="C16" s="86" t="s">
        <v>292</v>
      </c>
      <c r="D16" s="87"/>
      <c r="E16" s="31"/>
      <c r="F16" s="3"/>
      <c r="G16" s="31"/>
      <c r="H16" s="31"/>
      <c r="I16" s="31"/>
      <c r="J16" s="31"/>
      <c r="K16" s="31"/>
      <c r="L16" s="31"/>
      <c r="M16" s="31"/>
    </row>
    <row r="17" spans="2:13">
      <c r="B17" s="23">
        <f>B15+1</f>
        <v>7</v>
      </c>
      <c r="C17" s="29" t="s">
        <v>366</v>
      </c>
      <c r="D17" s="155">
        <f>'F1'!F21/12</f>
        <v>0</v>
      </c>
      <c r="E17" s="155">
        <f>'F1'!G21/12</f>
        <v>0</v>
      </c>
      <c r="F17" s="155">
        <f>'F1'!H21/12</f>
        <v>0</v>
      </c>
      <c r="G17" s="155">
        <f>'F1'!I21/12</f>
        <v>0</v>
      </c>
      <c r="H17" s="155">
        <f>'F1'!J21/12</f>
        <v>0</v>
      </c>
      <c r="I17" s="155">
        <f>'F1'!K21/12</f>
        <v>0</v>
      </c>
      <c r="J17" s="155">
        <f>'F1'!L21/12</f>
        <v>0</v>
      </c>
      <c r="K17" s="155">
        <f>'F1'!M21/12</f>
        <v>0</v>
      </c>
      <c r="L17" s="155">
        <f>'F1'!N21/12</f>
        <v>0</v>
      </c>
      <c r="M17" s="155">
        <f>'F1'!O21/12</f>
        <v>0</v>
      </c>
    </row>
    <row r="18" spans="2:13" ht="15">
      <c r="B18" s="23">
        <f t="shared" si="0"/>
        <v>8</v>
      </c>
      <c r="C18" s="29" t="s">
        <v>44</v>
      </c>
      <c r="D18" s="136">
        <f>SUM(D10:D15)-D17</f>
        <v>3.0696613333333334</v>
      </c>
      <c r="E18" s="136">
        <f t="shared" ref="E18:M18" ca="1" si="1">SUM(E10:E15)-E17</f>
        <v>6.1877714718415184</v>
      </c>
      <c r="F18" s="136">
        <f t="shared" ca="1" si="1"/>
        <v>6.1877714718415184</v>
      </c>
      <c r="G18" s="136">
        <f t="shared" si="1"/>
        <v>2.1523916666666669</v>
      </c>
      <c r="H18" s="136">
        <f t="shared" ca="1" si="1"/>
        <v>3.8475439009333945</v>
      </c>
      <c r="I18" s="136">
        <f t="shared" ca="1" si="1"/>
        <v>2.9064809163759504</v>
      </c>
      <c r="J18" s="136">
        <f t="shared" ca="1" si="1"/>
        <v>3.4593071011963707</v>
      </c>
      <c r="K18" s="136">
        <f t="shared" ca="1" si="1"/>
        <v>3.9544873432988896</v>
      </c>
      <c r="L18" s="136">
        <f t="shared" ca="1" si="1"/>
        <v>4.0638029849289374</v>
      </c>
      <c r="M18" s="136">
        <f t="shared" ca="1" si="1"/>
        <v>4.1808271351253428</v>
      </c>
    </row>
    <row r="19" spans="2:13">
      <c r="B19" s="23">
        <f t="shared" si="0"/>
        <v>9</v>
      </c>
      <c r="C19" s="29" t="s">
        <v>293</v>
      </c>
      <c r="D19" s="153">
        <v>8.5500000000000007E-2</v>
      </c>
      <c r="E19" s="153">
        <v>9.4399999999999998E-2</v>
      </c>
      <c r="F19" s="153">
        <v>9.4399999999999998E-2</v>
      </c>
      <c r="G19" s="153">
        <v>8.5500000000000007E-2</v>
      </c>
      <c r="H19" s="153">
        <v>0.1008</v>
      </c>
      <c r="I19" s="153">
        <v>0.10150000000000001</v>
      </c>
      <c r="J19" s="153">
        <v>0.10150000000000001</v>
      </c>
      <c r="K19" s="153">
        <v>0.10150000000000001</v>
      </c>
      <c r="L19" s="153">
        <v>0.10150000000000001</v>
      </c>
      <c r="M19" s="153">
        <v>0.10150000000000001</v>
      </c>
    </row>
    <row r="20" spans="2:13" ht="15">
      <c r="B20" s="23">
        <f t="shared" si="0"/>
        <v>10</v>
      </c>
      <c r="C20" s="86" t="s">
        <v>294</v>
      </c>
      <c r="D20" s="136">
        <v>0.28000000000000003</v>
      </c>
      <c r="E20" s="136">
        <f t="shared" ref="E20:M20" ca="1" si="2">E18*E19</f>
        <v>0.58412562694183934</v>
      </c>
      <c r="F20" s="136">
        <f t="shared" ca="1" si="2"/>
        <v>0.58412562694183934</v>
      </c>
      <c r="G20" s="136">
        <v>0.28999999999999998</v>
      </c>
      <c r="H20" s="136">
        <f t="shared" ca="1" si="2"/>
        <v>0.38783242521408617</v>
      </c>
      <c r="I20" s="136">
        <f t="shared" ca="1" si="2"/>
        <v>0.295007813012159</v>
      </c>
      <c r="J20" s="136">
        <f t="shared" ca="1" si="2"/>
        <v>0.35111967077143164</v>
      </c>
      <c r="K20" s="136">
        <f t="shared" ca="1" si="2"/>
        <v>0.40138046534483734</v>
      </c>
      <c r="L20" s="136">
        <f t="shared" ca="1" si="2"/>
        <v>0.41247600297028719</v>
      </c>
      <c r="M20" s="136">
        <f t="shared" ca="1" si="2"/>
        <v>0.42435395421522232</v>
      </c>
    </row>
    <row r="22" spans="2:13">
      <c r="C22" s="5" t="s">
        <v>247</v>
      </c>
    </row>
    <row r="23" spans="2:13">
      <c r="C23" s="5" t="s">
        <v>367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view="pageBreakPreview" zoomScale="90" zoomScaleNormal="80" zoomScaleSheetLayoutView="90" workbookViewId="0">
      <selection activeCell="C32" sqref="C32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33" t="s">
        <v>403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2:13" ht="15.75">
      <c r="B3" s="233" t="s">
        <v>382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</row>
    <row r="4" spans="2:13" ht="15.75">
      <c r="B4" s="281" t="s">
        <v>415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64" t="s">
        <v>186</v>
      </c>
      <c r="C7" s="261" t="s">
        <v>18</v>
      </c>
      <c r="D7" s="255" t="s">
        <v>383</v>
      </c>
      <c r="E7" s="256"/>
      <c r="F7" s="257"/>
      <c r="G7" s="255" t="s">
        <v>384</v>
      </c>
      <c r="H7" s="256"/>
      <c r="I7" s="254" t="s">
        <v>225</v>
      </c>
      <c r="J7" s="254"/>
      <c r="K7" s="254"/>
      <c r="L7" s="254"/>
      <c r="M7" s="254"/>
    </row>
    <row r="8" spans="2:13" s="19" customFormat="1" ht="45">
      <c r="B8" s="265"/>
      <c r="C8" s="26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s="19" customFormat="1" ht="15">
      <c r="B9" s="266"/>
      <c r="C9" s="26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2">
        <v>1</v>
      </c>
      <c r="C10" s="29" t="s">
        <v>215</v>
      </c>
      <c r="D10" s="172">
        <f>'F4'!F21*30%</f>
        <v>9.3689999999999998</v>
      </c>
      <c r="E10" s="166">
        <f>D10</f>
        <v>9.3689999999999998</v>
      </c>
      <c r="F10" s="166">
        <f>E10</f>
        <v>9.3689999999999998</v>
      </c>
      <c r="G10" s="174">
        <f>'F4'!F30*30%</f>
        <v>9.3697515629999995</v>
      </c>
      <c r="H10" s="174">
        <f>E14</f>
        <v>9.3689999999999998</v>
      </c>
      <c r="I10" s="174">
        <f>H14</f>
        <v>9.3814999999999991</v>
      </c>
      <c r="J10" s="174">
        <f t="shared" ref="J10:M10" si="0">I14</f>
        <v>12.693499999999998</v>
      </c>
      <c r="K10" s="174">
        <f t="shared" si="0"/>
        <v>16.671499999999998</v>
      </c>
      <c r="L10" s="174">
        <f t="shared" si="0"/>
        <v>16.671499999999998</v>
      </c>
      <c r="M10" s="174">
        <f t="shared" si="0"/>
        <v>16.671499999999998</v>
      </c>
    </row>
    <row r="11" spans="2:13">
      <c r="B11" s="23">
        <f>B10+1</f>
        <v>2</v>
      </c>
      <c r="C11" s="29" t="s">
        <v>216</v>
      </c>
      <c r="D11" s="169"/>
      <c r="E11" s="166">
        <f>F3.1!H14</f>
        <v>0</v>
      </c>
      <c r="F11" s="166">
        <f>E11</f>
        <v>0</v>
      </c>
      <c r="G11" s="173"/>
      <c r="H11" s="174">
        <f>F3.1!H20</f>
        <v>0.05</v>
      </c>
      <c r="I11" s="174">
        <f>F3.1!H28</f>
        <v>11.04</v>
      </c>
      <c r="J11" s="174">
        <f>F3.1!H34</f>
        <v>13.26</v>
      </c>
      <c r="K11" s="174">
        <f>F3.1!H40</f>
        <v>0</v>
      </c>
      <c r="L11" s="174">
        <f>F3.1!H46</f>
        <v>0</v>
      </c>
      <c r="M11" s="174">
        <f>F3.1!H52</f>
        <v>0</v>
      </c>
    </row>
    <row r="12" spans="2:13">
      <c r="B12" s="23">
        <f t="shared" ref="B12:B22" si="1">B11+1</f>
        <v>3</v>
      </c>
      <c r="C12" s="31" t="s">
        <v>19</v>
      </c>
      <c r="D12" s="172">
        <f>D11*25%</f>
        <v>0</v>
      </c>
      <c r="E12" s="172">
        <f t="shared" ref="E12:H12" si="2">E11*25%</f>
        <v>0</v>
      </c>
      <c r="F12" s="172">
        <f t="shared" si="2"/>
        <v>0</v>
      </c>
      <c r="G12" s="172">
        <f t="shared" si="2"/>
        <v>0</v>
      </c>
      <c r="H12" s="172">
        <f t="shared" si="2"/>
        <v>1.2500000000000001E-2</v>
      </c>
      <c r="I12" s="172">
        <f>I11*30%</f>
        <v>3.3119999999999998</v>
      </c>
      <c r="J12" s="172">
        <f t="shared" ref="J12:M12" si="3">J11*30%</f>
        <v>3.9779999999999998</v>
      </c>
      <c r="K12" s="172">
        <f t="shared" si="3"/>
        <v>0</v>
      </c>
      <c r="L12" s="172">
        <f t="shared" si="3"/>
        <v>0</v>
      </c>
      <c r="M12" s="172">
        <f t="shared" si="3"/>
        <v>0</v>
      </c>
    </row>
    <row r="13" spans="2:13" ht="28.5">
      <c r="B13" s="23">
        <f t="shared" si="1"/>
        <v>4</v>
      </c>
      <c r="C13" s="86" t="s">
        <v>20</v>
      </c>
      <c r="D13" s="175"/>
      <c r="E13" s="41"/>
      <c r="F13" s="169"/>
      <c r="G13" s="41"/>
      <c r="H13" s="41"/>
      <c r="I13" s="41"/>
      <c r="J13" s="41"/>
      <c r="K13" s="41"/>
      <c r="L13" s="41"/>
      <c r="M13" s="41"/>
    </row>
    <row r="14" spans="2:13" s="35" customFormat="1" ht="15">
      <c r="B14" s="23">
        <f t="shared" si="1"/>
        <v>5</v>
      </c>
      <c r="C14" s="39" t="s">
        <v>21</v>
      </c>
      <c r="D14" s="176">
        <f>D10+D12-D13</f>
        <v>9.3689999999999998</v>
      </c>
      <c r="E14" s="176">
        <f t="shared" ref="E14:M14" si="4">E10+E12-E13</f>
        <v>9.3689999999999998</v>
      </c>
      <c r="F14" s="176">
        <f>F10+F12-F13</f>
        <v>9.3689999999999998</v>
      </c>
      <c r="G14" s="176">
        <f t="shared" si="4"/>
        <v>9.3697515629999995</v>
      </c>
      <c r="H14" s="176">
        <f t="shared" si="4"/>
        <v>9.3814999999999991</v>
      </c>
      <c r="I14" s="176">
        <f t="shared" si="4"/>
        <v>12.693499999999998</v>
      </c>
      <c r="J14" s="176">
        <f t="shared" si="4"/>
        <v>16.671499999999998</v>
      </c>
      <c r="K14" s="176">
        <f t="shared" si="4"/>
        <v>16.671499999999998</v>
      </c>
      <c r="L14" s="176">
        <f t="shared" si="4"/>
        <v>16.671499999999998</v>
      </c>
      <c r="M14" s="176">
        <f t="shared" si="4"/>
        <v>16.671499999999998</v>
      </c>
    </row>
    <row r="15" spans="2:13" s="35" customFormat="1" ht="15">
      <c r="B15" s="23"/>
      <c r="C15" s="88" t="s">
        <v>295</v>
      </c>
      <c r="D15" s="87"/>
      <c r="E15" s="31"/>
      <c r="F15" s="3"/>
      <c r="G15" s="31"/>
      <c r="H15" s="31"/>
      <c r="I15" s="31"/>
      <c r="J15" s="31"/>
      <c r="K15" s="31"/>
      <c r="L15" s="31"/>
      <c r="M15" s="31"/>
    </row>
    <row r="16" spans="2:13" s="35" customFormat="1" ht="15">
      <c r="B16" s="23">
        <f>B14+1</f>
        <v>6</v>
      </c>
      <c r="C16" s="39" t="s">
        <v>296</v>
      </c>
      <c r="D16" s="152">
        <v>0.155</v>
      </c>
      <c r="E16" s="152">
        <v>0.155</v>
      </c>
      <c r="F16" s="152">
        <v>0.155</v>
      </c>
      <c r="G16" s="152">
        <v>0.155</v>
      </c>
      <c r="H16" s="152">
        <v>0.155</v>
      </c>
      <c r="I16" s="152">
        <v>0.155</v>
      </c>
      <c r="J16" s="152">
        <v>0.155</v>
      </c>
      <c r="K16" s="152">
        <v>0.155</v>
      </c>
      <c r="L16" s="152">
        <v>0.155</v>
      </c>
      <c r="M16" s="152">
        <v>0.155</v>
      </c>
    </row>
    <row r="17" spans="2:13" s="35" customFormat="1" ht="15">
      <c r="B17" s="23">
        <f>B16+1</f>
        <v>7</v>
      </c>
      <c r="C17" s="39" t="s">
        <v>297</v>
      </c>
      <c r="D17" s="153">
        <v>0.25168000000000001</v>
      </c>
      <c r="E17" s="153">
        <v>0.25168000000000001</v>
      </c>
      <c r="F17" s="153">
        <v>0.25168000000000001</v>
      </c>
      <c r="G17" s="153">
        <v>0.25168000000000001</v>
      </c>
      <c r="H17" s="153">
        <v>0.25168000000000001</v>
      </c>
      <c r="I17" s="153">
        <v>0.25168000000000001</v>
      </c>
      <c r="J17" s="153">
        <v>0.25168000000000001</v>
      </c>
      <c r="K17" s="153">
        <v>0.25168000000000001</v>
      </c>
      <c r="L17" s="153">
        <v>0.25168000000000001</v>
      </c>
      <c r="M17" s="153">
        <v>0.25168000000000001</v>
      </c>
    </row>
    <row r="18" spans="2:13" s="35" customFormat="1" ht="15">
      <c r="B18" s="23">
        <f>B17+1</f>
        <v>8</v>
      </c>
      <c r="C18" s="32" t="s">
        <v>295</v>
      </c>
      <c r="D18" s="154">
        <f>D16/(1-D17)</f>
        <v>0.20713063929869574</v>
      </c>
      <c r="E18" s="154">
        <f t="shared" ref="E18:M18" si="5">E16/(1-E17)</f>
        <v>0.20713063929869574</v>
      </c>
      <c r="F18" s="154">
        <f t="shared" si="5"/>
        <v>0.20713063929869574</v>
      </c>
      <c r="G18" s="154">
        <f t="shared" si="5"/>
        <v>0.20713063929869574</v>
      </c>
      <c r="H18" s="154">
        <f t="shared" si="5"/>
        <v>0.20713063929869574</v>
      </c>
      <c r="I18" s="154">
        <f t="shared" si="5"/>
        <v>0.20713063929869574</v>
      </c>
      <c r="J18" s="154">
        <f t="shared" si="5"/>
        <v>0.20713063929869574</v>
      </c>
      <c r="K18" s="154">
        <f t="shared" si="5"/>
        <v>0.20713063929869574</v>
      </c>
      <c r="L18" s="154">
        <f t="shared" si="5"/>
        <v>0.20713063929869574</v>
      </c>
      <c r="M18" s="154">
        <f t="shared" si="5"/>
        <v>0.20713063929869574</v>
      </c>
    </row>
    <row r="19" spans="2:13" ht="15">
      <c r="B19" s="23"/>
      <c r="C19" s="88" t="s">
        <v>171</v>
      </c>
      <c r="D19" s="135"/>
      <c r="E19" s="31"/>
      <c r="F19" s="3"/>
      <c r="G19" s="31"/>
      <c r="H19" s="31"/>
      <c r="I19" s="31"/>
      <c r="J19" s="31"/>
      <c r="K19" s="31"/>
      <c r="L19" s="31"/>
      <c r="M19" s="31"/>
    </row>
    <row r="20" spans="2:13" ht="17.25" customHeight="1">
      <c r="B20" s="23">
        <f>B18+1</f>
        <v>9</v>
      </c>
      <c r="C20" s="86" t="s">
        <v>217</v>
      </c>
      <c r="D20" s="136">
        <f>D10*D18</f>
        <v>1.9406069595894804</v>
      </c>
      <c r="E20" s="136">
        <f t="shared" ref="E20:M20" si="6">E10*E18</f>
        <v>1.9406069595894804</v>
      </c>
      <c r="F20" s="136">
        <f t="shared" si="6"/>
        <v>1.9406069595894804</v>
      </c>
      <c r="G20" s="136">
        <f t="shared" si="6"/>
        <v>1.9407626313141435</v>
      </c>
      <c r="H20" s="136">
        <f t="shared" si="6"/>
        <v>1.9406069595894804</v>
      </c>
      <c r="I20" s="136">
        <f t="shared" si="6"/>
        <v>1.9431960925807139</v>
      </c>
      <c r="J20" s="136">
        <f t="shared" si="6"/>
        <v>2.6292127699379941</v>
      </c>
      <c r="K20" s="136">
        <f t="shared" si="6"/>
        <v>3.4531784530682055</v>
      </c>
      <c r="L20" s="136">
        <f t="shared" si="6"/>
        <v>3.4531784530682055</v>
      </c>
      <c r="M20" s="136">
        <f t="shared" si="6"/>
        <v>3.4531784530682055</v>
      </c>
    </row>
    <row r="21" spans="2:13" ht="18.75" customHeight="1">
      <c r="B21" s="23">
        <f t="shared" si="1"/>
        <v>10</v>
      </c>
      <c r="C21" s="86" t="s">
        <v>218</v>
      </c>
      <c r="D21" s="136">
        <f>AVERAGE(D10,D14)*D18-D20</f>
        <v>0</v>
      </c>
      <c r="E21" s="136">
        <f t="shared" ref="E21:M21" si="7">AVERAGE(E10,E14)*E18-E20</f>
        <v>0</v>
      </c>
      <c r="F21" s="136">
        <f t="shared" si="7"/>
        <v>0</v>
      </c>
      <c r="G21" s="136">
        <f t="shared" si="7"/>
        <v>0</v>
      </c>
      <c r="H21" s="136">
        <f t="shared" si="7"/>
        <v>1.2945664956167668E-3</v>
      </c>
      <c r="I21" s="136">
        <f t="shared" si="7"/>
        <v>0.34300833867863978</v>
      </c>
      <c r="J21" s="136">
        <f t="shared" si="7"/>
        <v>0.41198284156510567</v>
      </c>
      <c r="K21" s="136">
        <f t="shared" si="7"/>
        <v>0</v>
      </c>
      <c r="L21" s="136">
        <f t="shared" si="7"/>
        <v>0</v>
      </c>
      <c r="M21" s="136">
        <f t="shared" si="7"/>
        <v>0</v>
      </c>
    </row>
    <row r="22" spans="2:13" ht="15">
      <c r="B22" s="23">
        <f t="shared" si="1"/>
        <v>11</v>
      </c>
      <c r="C22" s="40" t="s">
        <v>172</v>
      </c>
      <c r="D22" s="136">
        <v>1.76</v>
      </c>
      <c r="E22" s="136">
        <f t="shared" ref="E22:M22" si="8">E20+E21</f>
        <v>1.9406069595894804</v>
      </c>
      <c r="F22" s="136">
        <f t="shared" si="8"/>
        <v>1.9406069595894804</v>
      </c>
      <c r="G22" s="136">
        <v>1.76</v>
      </c>
      <c r="H22" s="136">
        <f t="shared" si="8"/>
        <v>1.9419015260850971</v>
      </c>
      <c r="I22" s="136">
        <f t="shared" si="8"/>
        <v>2.2862044312593537</v>
      </c>
      <c r="J22" s="136">
        <f t="shared" si="8"/>
        <v>3.0411956115030998</v>
      </c>
      <c r="K22" s="136">
        <f t="shared" si="8"/>
        <v>3.4531784530682055</v>
      </c>
      <c r="L22" s="136">
        <f t="shared" si="8"/>
        <v>3.4531784530682055</v>
      </c>
      <c r="M22" s="136">
        <f t="shared" si="8"/>
        <v>3.4531784530682055</v>
      </c>
    </row>
    <row r="23" spans="2:13">
      <c r="C23" s="5" t="s">
        <v>247</v>
      </c>
    </row>
    <row r="24" spans="2:13">
      <c r="C24" s="5" t="s">
        <v>369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view="pageBreakPreview" zoomScale="90" zoomScaleNormal="90" zoomScaleSheetLayoutView="90" workbookViewId="0">
      <selection activeCell="C26" sqref="C26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26"/>
    </row>
    <row r="2" spans="2:13" ht="15.75">
      <c r="B2" s="233" t="s">
        <v>403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2:13" ht="15.75">
      <c r="B3" s="233" t="s">
        <v>410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</row>
    <row r="4" spans="2:13" ht="15.75">
      <c r="B4" s="281" t="s">
        <v>416</v>
      </c>
      <c r="C4" s="281"/>
      <c r="D4" s="281"/>
      <c r="E4" s="281"/>
      <c r="F4" s="281"/>
      <c r="G4" s="281"/>
      <c r="H4" s="281"/>
      <c r="I4" s="281"/>
      <c r="J4" s="281"/>
      <c r="K4" s="281"/>
      <c r="L4" s="281"/>
      <c r="M4" s="281"/>
    </row>
    <row r="5" spans="2:13" ht="15">
      <c r="B5" s="36"/>
      <c r="C5" s="26"/>
      <c r="D5" s="27"/>
      <c r="E5" s="27"/>
      <c r="F5" s="27"/>
      <c r="G5" s="27"/>
      <c r="H5" s="27"/>
      <c r="I5" s="27"/>
      <c r="J5" s="27"/>
    </row>
    <row r="6" spans="2:13" ht="15">
      <c r="M6" s="28" t="s">
        <v>4</v>
      </c>
    </row>
    <row r="7" spans="2:13" s="19" customFormat="1" ht="15" customHeight="1">
      <c r="B7" s="264" t="s">
        <v>186</v>
      </c>
      <c r="C7" s="261" t="s">
        <v>18</v>
      </c>
      <c r="D7" s="255" t="s">
        <v>383</v>
      </c>
      <c r="E7" s="256"/>
      <c r="F7" s="257"/>
      <c r="G7" s="255" t="s">
        <v>384</v>
      </c>
      <c r="H7" s="256"/>
      <c r="I7" s="254" t="s">
        <v>225</v>
      </c>
      <c r="J7" s="254"/>
      <c r="K7" s="254"/>
      <c r="L7" s="254"/>
      <c r="M7" s="254"/>
    </row>
    <row r="8" spans="2:13" s="19" customFormat="1" ht="30">
      <c r="B8" s="265"/>
      <c r="C8" s="26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s="19" customFormat="1" ht="15">
      <c r="B9" s="266"/>
      <c r="C9" s="26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2">
        <v>1</v>
      </c>
      <c r="C10" s="29" t="s">
        <v>298</v>
      </c>
      <c r="D10" s="2"/>
      <c r="E10" s="166">
        <v>2.5179448053726287E-3</v>
      </c>
      <c r="F10" s="166">
        <v>2.5179448053726287E-3</v>
      </c>
      <c r="G10" s="174"/>
      <c r="H10" s="174">
        <v>1.9982689417627139E-3</v>
      </c>
      <c r="I10" s="174">
        <v>2.5179448053726287E-3</v>
      </c>
      <c r="J10" s="174">
        <v>2.618662597587534E-3</v>
      </c>
      <c r="K10" s="174">
        <v>2.7234091014910356E-3</v>
      </c>
      <c r="L10" s="174">
        <v>2.832345465550677E-3</v>
      </c>
      <c r="M10" s="174">
        <v>2.9456392841727039E-3</v>
      </c>
    </row>
    <row r="11" spans="2:13">
      <c r="B11" s="62">
        <f>B10+1</f>
        <v>2</v>
      </c>
      <c r="C11" s="29" t="s">
        <v>299</v>
      </c>
      <c r="D11" s="2"/>
      <c r="E11" s="166">
        <v>0</v>
      </c>
      <c r="F11" s="166">
        <v>0</v>
      </c>
      <c r="G11" s="174"/>
      <c r="H11" s="174">
        <v>0</v>
      </c>
      <c r="I11" s="174">
        <v>0</v>
      </c>
      <c r="J11" s="174">
        <v>0</v>
      </c>
      <c r="K11" s="174">
        <v>0</v>
      </c>
      <c r="L11" s="174">
        <v>0</v>
      </c>
      <c r="M11" s="174">
        <v>0</v>
      </c>
    </row>
    <row r="12" spans="2:13">
      <c r="B12" s="62">
        <f>B11+1</f>
        <v>3</v>
      </c>
      <c r="C12" s="29" t="s">
        <v>300</v>
      </c>
      <c r="D12" s="2"/>
      <c r="E12" s="166">
        <v>7.4526713439955053E-2</v>
      </c>
      <c r="F12" s="166">
        <v>7.4526713439955053E-2</v>
      </c>
      <c r="G12" s="174"/>
      <c r="H12" s="174">
        <v>1.7397921788664197E-2</v>
      </c>
      <c r="I12" s="174">
        <v>7.4526713439955053E-2</v>
      </c>
      <c r="J12" s="174">
        <v>7.7507781977553245E-2</v>
      </c>
      <c r="K12" s="174">
        <v>8.0608093256655383E-2</v>
      </c>
      <c r="L12" s="174">
        <v>8.3832416986921607E-2</v>
      </c>
      <c r="M12" s="174">
        <v>8.7185713666398462E-2</v>
      </c>
    </row>
    <row r="13" spans="2:13">
      <c r="B13" s="23">
        <f t="shared" ref="B13:B21" si="0">B12+1</f>
        <v>4</v>
      </c>
      <c r="C13" s="31" t="s">
        <v>301</v>
      </c>
      <c r="D13" s="2"/>
      <c r="E13" s="166">
        <v>0</v>
      </c>
      <c r="F13" s="166">
        <v>0</v>
      </c>
      <c r="G13" s="174"/>
      <c r="H13" s="174">
        <v>0</v>
      </c>
      <c r="I13" s="174">
        <v>0</v>
      </c>
      <c r="J13" s="174">
        <v>0</v>
      </c>
      <c r="K13" s="174">
        <v>0</v>
      </c>
      <c r="L13" s="174">
        <v>0</v>
      </c>
      <c r="M13" s="174">
        <v>0</v>
      </c>
    </row>
    <row r="14" spans="2:13" ht="15.75" customHeight="1">
      <c r="B14" s="23">
        <f t="shared" si="0"/>
        <v>5</v>
      </c>
      <c r="C14" s="86" t="s">
        <v>302</v>
      </c>
      <c r="D14" s="87"/>
      <c r="E14" s="166">
        <v>0</v>
      </c>
      <c r="F14" s="172">
        <v>0</v>
      </c>
      <c r="G14" s="166"/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</row>
    <row r="15" spans="2:13" s="35" customFormat="1" ht="15">
      <c r="B15" s="23">
        <f t="shared" si="0"/>
        <v>6</v>
      </c>
      <c r="C15" s="39" t="s">
        <v>303</v>
      </c>
      <c r="D15" s="87"/>
      <c r="E15" s="166">
        <v>1.0767833087569428E-4</v>
      </c>
      <c r="F15" s="172">
        <v>1.0767833087569428E-4</v>
      </c>
      <c r="G15" s="166"/>
      <c r="H15" s="166">
        <v>6.8519336923580777E-5</v>
      </c>
      <c r="I15" s="166">
        <v>1.0767833087569428E-4</v>
      </c>
      <c r="J15" s="166">
        <v>1.1198546411072205E-4</v>
      </c>
      <c r="K15" s="166">
        <v>1.1646488267515094E-4</v>
      </c>
      <c r="L15" s="166">
        <v>1.2112347798215697E-4</v>
      </c>
      <c r="M15" s="166">
        <v>1.2596841710144327E-4</v>
      </c>
    </row>
    <row r="16" spans="2:13" s="35" customFormat="1" ht="15">
      <c r="B16" s="23">
        <f t="shared" si="0"/>
        <v>7</v>
      </c>
      <c r="C16" s="86" t="s">
        <v>304</v>
      </c>
      <c r="D16" s="87"/>
      <c r="E16" s="166">
        <v>0</v>
      </c>
      <c r="F16" s="172">
        <v>0</v>
      </c>
      <c r="G16" s="166"/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</row>
    <row r="17" spans="2:13" s="35" customFormat="1" ht="12.75" customHeight="1">
      <c r="B17" s="23">
        <f t="shared" si="0"/>
        <v>8</v>
      </c>
      <c r="C17" s="39" t="s">
        <v>305</v>
      </c>
      <c r="D17" s="87"/>
      <c r="E17" s="166">
        <v>4.3568680659711449E-5</v>
      </c>
      <c r="F17" s="172">
        <v>4.3568680659711449E-5</v>
      </c>
      <c r="G17" s="166"/>
      <c r="H17" s="166">
        <v>2.8501755597586304E-4</v>
      </c>
      <c r="I17" s="166">
        <v>4.3568680659711449E-5</v>
      </c>
      <c r="J17" s="166">
        <v>4.5311427886099904E-5</v>
      </c>
      <c r="K17" s="166">
        <v>4.7123885001543901E-5</v>
      </c>
      <c r="L17" s="166">
        <v>4.9008840401605663E-5</v>
      </c>
      <c r="M17" s="166">
        <v>5.096919401766989E-5</v>
      </c>
    </row>
    <row r="18" spans="2:13" s="35" customFormat="1" ht="15">
      <c r="B18" s="23">
        <f t="shared" si="0"/>
        <v>9</v>
      </c>
      <c r="C18" s="39" t="s">
        <v>150</v>
      </c>
      <c r="D18" s="87"/>
      <c r="E18" s="166">
        <v>0</v>
      </c>
      <c r="F18" s="172">
        <v>0</v>
      </c>
      <c r="G18" s="166"/>
      <c r="H18" s="166">
        <v>0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</row>
    <row r="19" spans="2:13" s="35" customFormat="1" ht="15">
      <c r="B19" s="23">
        <f t="shared" si="0"/>
        <v>10</v>
      </c>
      <c r="C19" s="39" t="s">
        <v>306</v>
      </c>
      <c r="D19" s="87"/>
      <c r="E19" s="166">
        <v>0</v>
      </c>
      <c r="F19" s="172">
        <v>0</v>
      </c>
      <c r="G19" s="166"/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</row>
    <row r="20" spans="2:13">
      <c r="B20" s="23">
        <f t="shared" si="0"/>
        <v>11</v>
      </c>
      <c r="C20" s="86" t="s">
        <v>154</v>
      </c>
      <c r="D20" s="87"/>
      <c r="E20" s="166">
        <v>7.8454720583763244E-4</v>
      </c>
      <c r="F20" s="172">
        <v>7.8454720583763244E-4</v>
      </c>
      <c r="G20" s="166"/>
      <c r="H20" s="166">
        <v>7.6207731071741783E-4</v>
      </c>
      <c r="I20" s="166">
        <v>7.8454720583763244E-4</v>
      </c>
      <c r="J20" s="166">
        <v>8.1592909407113778E-4</v>
      </c>
      <c r="K20" s="166">
        <v>8.4856625783398336E-4</v>
      </c>
      <c r="L20" s="166">
        <v>8.8250890814734276E-4</v>
      </c>
      <c r="M20" s="166">
        <v>9.178092644732365E-4</v>
      </c>
    </row>
    <row r="21" spans="2:13">
      <c r="B21" s="23">
        <f t="shared" si="0"/>
        <v>12</v>
      </c>
      <c r="C21" s="86" t="s">
        <v>9</v>
      </c>
      <c r="D21" s="87">
        <v>0.04</v>
      </c>
      <c r="E21" s="166">
        <v>4.4130652349097625E-2</v>
      </c>
      <c r="F21" s="172">
        <v>4.4130652349097625E-2</v>
      </c>
      <c r="G21" s="166">
        <v>0.04</v>
      </c>
      <c r="H21" s="166">
        <v>1.4859738230747398E-2</v>
      </c>
      <c r="I21" s="166">
        <v>1.683984194788905E-2</v>
      </c>
      <c r="J21" s="166">
        <v>1.7513435625804617E-2</v>
      </c>
      <c r="K21" s="166">
        <v>1.8213973050836801E-2</v>
      </c>
      <c r="L21" s="166">
        <v>1.8942531972870272E-2</v>
      </c>
      <c r="M21" s="166">
        <v>1.9700233251785083E-2</v>
      </c>
    </row>
    <row r="22" spans="2:13" ht="15">
      <c r="B22" s="23"/>
      <c r="C22" s="33" t="s">
        <v>127</v>
      </c>
      <c r="D22" s="136">
        <f>SUM(D10:D21)</f>
        <v>0.04</v>
      </c>
      <c r="E22" s="136">
        <f t="shared" ref="E22:M22" si="1">SUM(E10:E21)</f>
        <v>0.12211110481179835</v>
      </c>
      <c r="F22" s="136">
        <f t="shared" si="1"/>
        <v>0.12211110481179835</v>
      </c>
      <c r="G22" s="136">
        <v>0.6</v>
      </c>
      <c r="H22" s="136">
        <f t="shared" si="1"/>
        <v>3.5371543164791172E-2</v>
      </c>
      <c r="I22" s="136">
        <f t="shared" si="1"/>
        <v>9.482029441058977E-2</v>
      </c>
      <c r="J22" s="136">
        <f t="shared" si="1"/>
        <v>9.8613106187013327E-2</v>
      </c>
      <c r="K22" s="136">
        <f t="shared" si="1"/>
        <v>0.1025576304344939</v>
      </c>
      <c r="L22" s="136">
        <f t="shared" si="1"/>
        <v>0.10665993565187366</v>
      </c>
      <c r="M22" s="136">
        <f t="shared" si="1"/>
        <v>0.11092633307794861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1"/>
  <sheetViews>
    <sheetView showGridLines="0" view="pageBreakPreview" zoomScale="70" zoomScaleNormal="80" zoomScaleSheetLayoutView="70" workbookViewId="0">
      <selection activeCell="H30" sqref="H30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4.28515625" style="5" customWidth="1"/>
    <col min="6" max="6" width="15.7109375" style="5" customWidth="1"/>
    <col min="7" max="7" width="18" style="5" bestFit="1" customWidth="1"/>
    <col min="8" max="12" width="15.7109375" style="5" customWidth="1"/>
    <col min="13" max="16384" width="9.28515625" style="5"/>
  </cols>
  <sheetData>
    <row r="2" spans="2:12" ht="15">
      <c r="G2" s="36" t="s">
        <v>403</v>
      </c>
    </row>
    <row r="3" spans="2:12" ht="15">
      <c r="G3" s="36" t="s">
        <v>382</v>
      </c>
    </row>
    <row r="4" spans="2:12" ht="15">
      <c r="G4" s="37" t="s">
        <v>307</v>
      </c>
    </row>
    <row r="5" spans="2:12" ht="15">
      <c r="B5" s="26"/>
      <c r="C5" s="90"/>
      <c r="D5" s="91"/>
      <c r="E5" s="91"/>
      <c r="F5" s="91"/>
    </row>
    <row r="6" spans="2:12" ht="15" customHeight="1">
      <c r="B6" s="253" t="s">
        <v>2</v>
      </c>
      <c r="C6" s="254" t="s">
        <v>18</v>
      </c>
      <c r="D6" s="263" t="s">
        <v>383</v>
      </c>
      <c r="E6" s="284" t="s">
        <v>384</v>
      </c>
      <c r="F6" s="285"/>
      <c r="G6" s="286"/>
      <c r="H6" s="254" t="s">
        <v>225</v>
      </c>
      <c r="I6" s="254"/>
      <c r="J6" s="254"/>
      <c r="K6" s="254"/>
      <c r="L6" s="254"/>
    </row>
    <row r="7" spans="2:12" ht="15">
      <c r="B7" s="253"/>
      <c r="C7" s="254"/>
      <c r="D7" s="263"/>
      <c r="E7" s="21" t="s">
        <v>235</v>
      </c>
      <c r="F7" s="21" t="s">
        <v>236</v>
      </c>
      <c r="G7" s="21" t="s">
        <v>244</v>
      </c>
      <c r="H7" s="21" t="s">
        <v>385</v>
      </c>
      <c r="I7" s="21" t="s">
        <v>386</v>
      </c>
      <c r="J7" s="21" t="s">
        <v>387</v>
      </c>
      <c r="K7" s="21" t="s">
        <v>388</v>
      </c>
      <c r="L7" s="21" t="s">
        <v>389</v>
      </c>
    </row>
    <row r="8" spans="2:12" ht="24.75" customHeight="1">
      <c r="B8" s="282"/>
      <c r="C8" s="283"/>
      <c r="D8" s="21" t="s">
        <v>3</v>
      </c>
      <c r="E8" s="21" t="s">
        <v>3</v>
      </c>
      <c r="F8" s="21" t="s">
        <v>5</v>
      </c>
      <c r="G8" s="21" t="s">
        <v>5</v>
      </c>
      <c r="H8" s="21" t="s">
        <v>8</v>
      </c>
      <c r="I8" s="21" t="s">
        <v>8</v>
      </c>
      <c r="J8" s="21" t="s">
        <v>8</v>
      </c>
      <c r="K8" s="21" t="s">
        <v>8</v>
      </c>
      <c r="L8" s="21" t="s">
        <v>8</v>
      </c>
    </row>
    <row r="9" spans="2:12" ht="15">
      <c r="B9" s="92">
        <v>1</v>
      </c>
      <c r="C9" s="93" t="s">
        <v>155</v>
      </c>
      <c r="D9" s="89"/>
      <c r="E9" s="89"/>
      <c r="F9" s="89"/>
      <c r="G9" s="89"/>
      <c r="H9" s="29"/>
      <c r="I9" s="29"/>
      <c r="J9" s="29"/>
      <c r="K9" s="29"/>
      <c r="L9" s="29"/>
    </row>
    <row r="10" spans="2:12" s="35" customFormat="1" ht="15">
      <c r="B10" s="94" t="s">
        <v>45</v>
      </c>
      <c r="C10" s="40" t="s">
        <v>46</v>
      </c>
      <c r="D10" s="95"/>
      <c r="E10" s="96"/>
      <c r="F10" s="96"/>
      <c r="G10" s="40"/>
      <c r="H10" s="40"/>
      <c r="I10" s="40"/>
      <c r="J10" s="40"/>
      <c r="K10" s="40"/>
      <c r="L10" s="40"/>
    </row>
    <row r="11" spans="2:12" s="35" customFormat="1" ht="15">
      <c r="B11" s="97"/>
      <c r="C11" s="31" t="s">
        <v>47</v>
      </c>
      <c r="D11" s="95"/>
      <c r="E11" s="96"/>
      <c r="F11" s="96"/>
      <c r="G11" s="40"/>
      <c r="H11" s="40"/>
      <c r="I11" s="40"/>
      <c r="J11" s="40"/>
      <c r="K11" s="40"/>
      <c r="L11" s="40"/>
    </row>
    <row r="12" spans="2:12" s="35" customFormat="1" ht="15">
      <c r="B12" s="97"/>
      <c r="C12" s="31" t="s">
        <v>48</v>
      </c>
      <c r="D12" s="95"/>
      <c r="E12" s="96"/>
      <c r="F12" s="96"/>
      <c r="G12" s="40"/>
      <c r="H12" s="40"/>
      <c r="I12" s="40"/>
      <c r="J12" s="40"/>
      <c r="K12" s="40"/>
      <c r="L12" s="40"/>
    </row>
    <row r="13" spans="2:12" s="35" customFormat="1" ht="15">
      <c r="B13" s="97"/>
      <c r="C13" s="31" t="s">
        <v>49</v>
      </c>
      <c r="D13" s="95"/>
      <c r="E13" s="96"/>
      <c r="F13" s="96"/>
      <c r="G13" s="40"/>
      <c r="H13" s="40"/>
      <c r="I13" s="40"/>
      <c r="J13" s="40"/>
      <c r="K13" s="40"/>
      <c r="L13" s="40"/>
    </row>
    <row r="14" spans="2:12" s="35" customFormat="1" ht="15">
      <c r="B14" s="97"/>
      <c r="C14" s="98"/>
      <c r="D14" s="95"/>
      <c r="E14" s="96"/>
      <c r="F14" s="96"/>
      <c r="G14" s="40"/>
      <c r="H14" s="40"/>
      <c r="I14" s="40"/>
      <c r="J14" s="40"/>
      <c r="K14" s="40"/>
      <c r="L14" s="40"/>
    </row>
    <row r="15" spans="2:12" s="35" customFormat="1" ht="15">
      <c r="B15" s="94" t="s">
        <v>50</v>
      </c>
      <c r="C15" s="99" t="s">
        <v>51</v>
      </c>
      <c r="D15" s="95"/>
      <c r="E15" s="96"/>
      <c r="F15" s="96"/>
      <c r="G15" s="40"/>
      <c r="H15" s="40"/>
      <c r="I15" s="40"/>
      <c r="J15" s="40"/>
      <c r="K15" s="40"/>
      <c r="L15" s="40"/>
    </row>
    <row r="16" spans="2:12" s="35" customFormat="1" ht="15">
      <c r="B16" s="97"/>
      <c r="C16" s="31" t="s">
        <v>47</v>
      </c>
      <c r="D16" s="95"/>
      <c r="E16" s="96"/>
      <c r="F16" s="96"/>
      <c r="G16" s="40"/>
      <c r="H16" s="40"/>
      <c r="I16" s="40"/>
      <c r="J16" s="40"/>
      <c r="K16" s="40"/>
      <c r="L16" s="40"/>
    </row>
    <row r="17" spans="2:12">
      <c r="B17" s="97"/>
      <c r="C17" s="31" t="s">
        <v>48</v>
      </c>
      <c r="D17" s="95"/>
      <c r="E17" s="96"/>
      <c r="F17" s="96"/>
      <c r="G17" s="29"/>
      <c r="H17" s="29"/>
      <c r="I17" s="29"/>
      <c r="J17" s="29"/>
      <c r="K17" s="29"/>
      <c r="L17" s="29"/>
    </row>
    <row r="18" spans="2:12">
      <c r="B18" s="100"/>
      <c r="C18" s="31" t="s">
        <v>52</v>
      </c>
      <c r="D18" s="95"/>
      <c r="E18" s="96"/>
      <c r="F18" s="96"/>
      <c r="G18" s="29"/>
      <c r="H18" s="29"/>
      <c r="I18" s="29"/>
      <c r="J18" s="29"/>
      <c r="K18" s="29"/>
      <c r="L18" s="29"/>
    </row>
    <row r="19" spans="2:12" ht="15">
      <c r="B19" s="100"/>
      <c r="C19" s="99"/>
      <c r="D19" s="95"/>
      <c r="E19" s="96"/>
      <c r="F19" s="96"/>
      <c r="G19" s="29"/>
      <c r="H19" s="29"/>
      <c r="I19" s="29"/>
      <c r="J19" s="29"/>
      <c r="K19" s="29"/>
      <c r="L19" s="29"/>
    </row>
    <row r="20" spans="2:12" ht="17.25" customHeight="1">
      <c r="B20" s="94">
        <v>2</v>
      </c>
      <c r="C20" s="93" t="s">
        <v>156</v>
      </c>
      <c r="D20" s="95"/>
      <c r="E20" s="96"/>
      <c r="F20" s="96"/>
      <c r="G20" s="29"/>
      <c r="H20" s="29"/>
      <c r="I20" s="29"/>
      <c r="J20" s="29"/>
      <c r="K20" s="29"/>
      <c r="L20" s="29"/>
    </row>
    <row r="21" spans="2:12" ht="17.25" customHeight="1">
      <c r="B21" s="94"/>
      <c r="C21" s="93" t="s">
        <v>53</v>
      </c>
      <c r="D21" s="95"/>
      <c r="E21" s="95"/>
      <c r="F21" s="95"/>
      <c r="G21" s="29"/>
      <c r="H21" s="29"/>
      <c r="I21" s="29"/>
      <c r="J21" s="29"/>
      <c r="K21" s="29"/>
      <c r="L21" s="29"/>
    </row>
    <row r="22" spans="2:12" ht="17.25" customHeight="1">
      <c r="B22" s="94"/>
      <c r="C22" s="93" t="s">
        <v>53</v>
      </c>
      <c r="D22" s="95"/>
      <c r="E22" s="95"/>
      <c r="F22" s="95"/>
      <c r="G22" s="29"/>
      <c r="H22" s="29"/>
      <c r="I22" s="29"/>
      <c r="J22" s="29"/>
      <c r="K22" s="29"/>
      <c r="L22" s="29"/>
    </row>
    <row r="23" spans="2:12" ht="15">
      <c r="B23" s="97"/>
      <c r="C23" s="99" t="s">
        <v>54</v>
      </c>
      <c r="D23" s="95"/>
      <c r="E23" s="95"/>
      <c r="F23" s="95"/>
      <c r="G23" s="29"/>
      <c r="H23" s="29"/>
      <c r="I23" s="29"/>
      <c r="J23" s="29"/>
      <c r="K23" s="29"/>
      <c r="L23" s="29"/>
    </row>
    <row r="25" spans="2:12" ht="15">
      <c r="B25" s="101" t="s">
        <v>43</v>
      </c>
      <c r="C25" s="102"/>
      <c r="D25" s="102"/>
      <c r="E25" s="102"/>
      <c r="F25" s="102"/>
      <c r="G25" s="102"/>
    </row>
    <row r="26" spans="2:12">
      <c r="B26" s="5" t="s">
        <v>202</v>
      </c>
      <c r="D26" s="103"/>
      <c r="G26" s="102"/>
    </row>
    <row r="27" spans="2:12" ht="18" customHeight="1">
      <c r="B27" s="102"/>
      <c r="G27" s="102"/>
    </row>
    <row r="28" spans="2:12">
      <c r="B28" s="102"/>
      <c r="C28" s="102"/>
      <c r="D28" s="102"/>
      <c r="E28" s="102"/>
      <c r="F28" s="102"/>
      <c r="G28" s="102"/>
    </row>
    <row r="29" spans="2:12">
      <c r="B29" s="102"/>
      <c r="C29" s="102"/>
      <c r="D29" s="102"/>
      <c r="E29" s="102"/>
      <c r="F29" s="102"/>
      <c r="G29" s="102"/>
    </row>
    <row r="30" spans="2:12">
      <c r="B30" s="102"/>
      <c r="C30" s="102"/>
      <c r="D30" s="102"/>
      <c r="E30" s="102"/>
      <c r="F30" s="104"/>
      <c r="G30" s="102"/>
    </row>
    <row r="31" spans="2:12">
      <c r="B31" s="102"/>
      <c r="C31" s="102"/>
      <c r="D31" s="102"/>
      <c r="E31" s="102"/>
      <c r="F31" s="102"/>
      <c r="G31" s="102"/>
    </row>
  </sheetData>
  <mergeCells count="5">
    <mergeCell ref="B6:B8"/>
    <mergeCell ref="C6:C8"/>
    <mergeCell ref="H6:L6"/>
    <mergeCell ref="E6:G6"/>
    <mergeCell ref="D6:D7"/>
  </mergeCells>
  <pageMargins left="0.75" right="0.75" top="1" bottom="1" header="0.5" footer="0.5"/>
  <pageSetup paperSize="9" scale="7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showGridLines="0" zoomScale="8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4" width="10.7109375" style="5" customWidth="1"/>
    <col min="15" max="15" width="10.7109375" style="192" customWidth="1"/>
    <col min="16" max="16384" width="9.28515625" style="5"/>
  </cols>
  <sheetData>
    <row r="1" spans="1:17" ht="15">
      <c r="B1" s="111"/>
    </row>
    <row r="2" spans="1:17" ht="14.25" customHeight="1">
      <c r="B2" s="250" t="s">
        <v>403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1:17" ht="14.25" customHeight="1">
      <c r="B3" s="250" t="s">
        <v>382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</row>
    <row r="4" spans="1:17" ht="15">
      <c r="B4" s="251" t="s">
        <v>313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</row>
    <row r="5" spans="1:17" ht="15">
      <c r="B5" s="26" t="s">
        <v>232</v>
      </c>
      <c r="C5" s="26" t="s">
        <v>372</v>
      </c>
      <c r="D5" s="90"/>
      <c r="E5" s="90"/>
      <c r="F5" s="90"/>
      <c r="G5" s="90"/>
      <c r="H5" s="90"/>
      <c r="I5" s="37"/>
    </row>
    <row r="6" spans="1:17" ht="15">
      <c r="B6" s="26" t="s">
        <v>12</v>
      </c>
      <c r="C6" s="27"/>
      <c r="D6" s="27"/>
      <c r="O6" s="193" t="s">
        <v>128</v>
      </c>
    </row>
    <row r="7" spans="1:17" s="35" customFormat="1" ht="15" customHeight="1">
      <c r="B7" s="33" t="s">
        <v>314</v>
      </c>
      <c r="C7" s="33" t="s">
        <v>129</v>
      </c>
      <c r="D7" s="33" t="s">
        <v>130</v>
      </c>
      <c r="E7" s="112" t="s">
        <v>131</v>
      </c>
      <c r="F7" s="112" t="s">
        <v>132</v>
      </c>
      <c r="G7" s="112" t="s">
        <v>133</v>
      </c>
      <c r="H7" s="112" t="s">
        <v>134</v>
      </c>
      <c r="I7" s="112" t="s">
        <v>135</v>
      </c>
      <c r="J7" s="112" t="s">
        <v>136</v>
      </c>
      <c r="K7" s="112" t="s">
        <v>137</v>
      </c>
      <c r="L7" s="112" t="s">
        <v>138</v>
      </c>
      <c r="M7" s="112" t="s">
        <v>139</v>
      </c>
      <c r="N7" s="112" t="s">
        <v>140</v>
      </c>
      <c r="O7" s="170" t="s">
        <v>127</v>
      </c>
    </row>
    <row r="8" spans="1:17" s="35" customFormat="1" ht="15">
      <c r="B8" s="88" t="s">
        <v>379</v>
      </c>
      <c r="C8" s="171">
        <v>0.23549590000000001</v>
      </c>
      <c r="D8" s="171">
        <v>-1.6508700000000001E-2</v>
      </c>
      <c r="E8" s="171">
        <v>-1.60854E-2</v>
      </c>
      <c r="F8" s="171">
        <v>2.8220000000000003E-4</v>
      </c>
      <c r="G8" s="171">
        <v>0.58528279999999999</v>
      </c>
      <c r="H8" s="171">
        <v>0.30844460000000001</v>
      </c>
      <c r="I8" s="171">
        <v>0.45095560000000001</v>
      </c>
      <c r="J8" s="171">
        <v>8.62121E-2</v>
      </c>
      <c r="K8" s="171">
        <v>5.4464600000000002E-2</v>
      </c>
      <c r="L8" s="171">
        <v>0.57582910000000009</v>
      </c>
      <c r="M8" s="171">
        <v>0.55692169999999996</v>
      </c>
      <c r="N8" s="171">
        <v>0.59628859999999995</v>
      </c>
      <c r="O8" s="171">
        <f>SUM(C8:N8)</f>
        <v>3.4175831000000003</v>
      </c>
    </row>
    <row r="9" spans="1:17" s="35" customFormat="1" ht="15">
      <c r="B9" s="88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</row>
    <row r="10" spans="1:17" s="35" customFormat="1" ht="15">
      <c r="B10" s="88" t="s">
        <v>380</v>
      </c>
      <c r="C10" s="171">
        <v>9.8304099999999991E-2</v>
      </c>
      <c r="D10" s="171">
        <v>-6.8912999999999995E-3</v>
      </c>
      <c r="E10" s="171">
        <v>-6.7146000000000003E-3</v>
      </c>
      <c r="F10" s="171">
        <v>1.178E-4</v>
      </c>
      <c r="G10" s="171">
        <v>0.24431719999999998</v>
      </c>
      <c r="H10" s="171">
        <v>0.12875539999999999</v>
      </c>
      <c r="I10" s="171">
        <v>0.18824439999999998</v>
      </c>
      <c r="J10" s="171">
        <v>3.5987899999999996E-2</v>
      </c>
      <c r="K10" s="171">
        <v>2.2735399999999999E-2</v>
      </c>
      <c r="L10" s="171">
        <v>0.2403709</v>
      </c>
      <c r="M10" s="171">
        <v>0.23247829999999997</v>
      </c>
      <c r="N10" s="171">
        <v>0.24891139999999998</v>
      </c>
      <c r="O10" s="171">
        <f>SUM(C10:N10)</f>
        <v>1.4266168999999997</v>
      </c>
    </row>
    <row r="11" spans="1:17" s="35" customFormat="1" ht="15"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171"/>
    </row>
    <row r="12" spans="1:17" ht="15">
      <c r="B12" s="40" t="s">
        <v>127</v>
      </c>
      <c r="C12" s="134">
        <f>C8+C10</f>
        <v>0.33379999999999999</v>
      </c>
      <c r="D12" s="134">
        <f t="shared" ref="D12:N12" si="0">D8+D10</f>
        <v>-2.3400000000000001E-2</v>
      </c>
      <c r="E12" s="134">
        <f t="shared" si="0"/>
        <v>-2.2800000000000001E-2</v>
      </c>
      <c r="F12" s="134">
        <f t="shared" si="0"/>
        <v>4.0000000000000002E-4</v>
      </c>
      <c r="G12" s="134">
        <f t="shared" si="0"/>
        <v>0.8296</v>
      </c>
      <c r="H12" s="134">
        <f t="shared" si="0"/>
        <v>0.43720000000000003</v>
      </c>
      <c r="I12" s="134">
        <f t="shared" si="0"/>
        <v>0.63919999999999999</v>
      </c>
      <c r="J12" s="134">
        <f t="shared" si="0"/>
        <v>0.1222</v>
      </c>
      <c r="K12" s="134">
        <f t="shared" si="0"/>
        <v>7.7200000000000005E-2</v>
      </c>
      <c r="L12" s="134">
        <f t="shared" si="0"/>
        <v>0.81620000000000004</v>
      </c>
      <c r="M12" s="134">
        <f t="shared" si="0"/>
        <v>0.78939999999999988</v>
      </c>
      <c r="N12" s="134">
        <f t="shared" si="0"/>
        <v>0.84519999999999995</v>
      </c>
      <c r="O12" s="134">
        <f>O8+O10</f>
        <v>4.8441999999999998</v>
      </c>
    </row>
    <row r="13" spans="1:17" ht="16.5">
      <c r="B13" s="26"/>
      <c r="C13" s="90"/>
      <c r="D13" s="90"/>
      <c r="E13" s="90"/>
      <c r="F13" s="90"/>
      <c r="G13" s="90"/>
      <c r="H13" s="90"/>
      <c r="I13" s="105"/>
    </row>
    <row r="14" spans="1:17" ht="16.5">
      <c r="B14" s="26" t="s">
        <v>231</v>
      </c>
      <c r="C14" s="26" t="s">
        <v>373</v>
      </c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194"/>
      <c r="P14" s="105"/>
    </row>
    <row r="15" spans="1:17" ht="16.5">
      <c r="A15" s="5" t="s">
        <v>312</v>
      </c>
      <c r="B15" s="26" t="s">
        <v>5</v>
      </c>
      <c r="C15" s="27"/>
      <c r="D15" s="27"/>
      <c r="O15" s="193" t="s">
        <v>128</v>
      </c>
      <c r="P15" s="105"/>
    </row>
    <row r="16" spans="1:17" ht="18.75" customHeight="1">
      <c r="B16" s="258" t="s">
        <v>314</v>
      </c>
      <c r="C16" s="278" t="s">
        <v>141</v>
      </c>
      <c r="D16" s="279"/>
      <c r="E16" s="279"/>
      <c r="F16" s="279"/>
      <c r="G16" s="279"/>
      <c r="H16" s="280"/>
      <c r="I16" s="278" t="s">
        <v>5</v>
      </c>
      <c r="J16" s="279"/>
      <c r="K16" s="279"/>
      <c r="L16" s="279"/>
      <c r="M16" s="279"/>
      <c r="N16" s="280"/>
      <c r="O16" s="170" t="s">
        <v>142</v>
      </c>
      <c r="P16" s="105"/>
      <c r="Q16" s="105"/>
    </row>
    <row r="17" spans="2:16" ht="15">
      <c r="B17" s="260"/>
      <c r="C17" s="33" t="s">
        <v>129</v>
      </c>
      <c r="D17" s="33" t="s">
        <v>130</v>
      </c>
      <c r="E17" s="112" t="s">
        <v>131</v>
      </c>
      <c r="F17" s="112" t="s">
        <v>132</v>
      </c>
      <c r="G17" s="112" t="s">
        <v>133</v>
      </c>
      <c r="H17" s="112" t="s">
        <v>134</v>
      </c>
      <c r="I17" s="112" t="s">
        <v>135</v>
      </c>
      <c r="J17" s="112" t="s">
        <v>136</v>
      </c>
      <c r="K17" s="112" t="s">
        <v>137</v>
      </c>
      <c r="L17" s="112" t="s">
        <v>138</v>
      </c>
      <c r="M17" s="112" t="s">
        <v>139</v>
      </c>
      <c r="N17" s="112" t="s">
        <v>140</v>
      </c>
      <c r="O17" s="130"/>
    </row>
    <row r="18" spans="2:16" s="35" customFormat="1" ht="15">
      <c r="B18" s="88" t="s">
        <v>379</v>
      </c>
      <c r="C18" s="171">
        <v>0.50965320000000003</v>
      </c>
      <c r="D18" s="171">
        <v>-1.7073100000000001E-2</v>
      </c>
      <c r="E18" s="171">
        <v>-1.7778600000000002E-2</v>
      </c>
      <c r="F18" s="191">
        <v>-1.6931999999999999E-2</v>
      </c>
      <c r="G18" s="171">
        <v>0.18216009999999999</v>
      </c>
      <c r="H18" s="171">
        <v>0.2369069</v>
      </c>
      <c r="I18" s="171">
        <f>0.61*0.7055</f>
        <v>0.43035499999999999</v>
      </c>
      <c r="J18" s="171">
        <f>0.2052*0.7055</f>
        <v>0.1447686</v>
      </c>
      <c r="K18" s="171">
        <f>-0.02*0.7055</f>
        <v>-1.4110000000000001E-2</v>
      </c>
      <c r="L18" s="171">
        <f>0.3588*0.7055</f>
        <v>0.25313340000000001</v>
      </c>
      <c r="M18" s="171">
        <f>0.1942*0.7055</f>
        <v>0.13700810000000002</v>
      </c>
      <c r="N18" s="171">
        <f>0.0934*0.7055</f>
        <v>6.5893699999999999E-2</v>
      </c>
      <c r="O18" s="191">
        <f>SUM(C18:N18)</f>
        <v>1.8939853</v>
      </c>
    </row>
    <row r="19" spans="2:16" s="35" customFormat="1" ht="15">
      <c r="B19" s="88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</row>
    <row r="20" spans="2:16" s="35" customFormat="1" ht="15">
      <c r="B20" s="88" t="s">
        <v>380</v>
      </c>
      <c r="C20" s="171">
        <v>0.21274680000000001</v>
      </c>
      <c r="D20" s="171">
        <v>-7.1268999999999994E-3</v>
      </c>
      <c r="E20" s="171">
        <v>-7.4213999999999999E-3</v>
      </c>
      <c r="F20" s="171">
        <v>-7.0679999999999996E-3</v>
      </c>
      <c r="G20" s="171">
        <v>7.6039899999999994E-2</v>
      </c>
      <c r="H20" s="171">
        <v>9.8893099999999998E-2</v>
      </c>
      <c r="I20" s="171">
        <f>0.61*0.2945</f>
        <v>0.179645</v>
      </c>
      <c r="J20" s="171">
        <f>0.2052*0.2945</f>
        <v>6.0431399999999996E-2</v>
      </c>
      <c r="K20" s="171">
        <f>-0.02*0.2945</f>
        <v>-5.8899999999999994E-3</v>
      </c>
      <c r="L20" s="171">
        <f>0.3588*0.2945</f>
        <v>0.1056666</v>
      </c>
      <c r="M20" s="171">
        <f>0.1942*0.2945</f>
        <v>5.7191899999999997E-2</v>
      </c>
      <c r="N20" s="171">
        <f>0.0934*0.2945</f>
        <v>2.7506299999999997E-2</v>
      </c>
      <c r="O20" s="171">
        <f>SUM(C20:N20)</f>
        <v>0.7906147</v>
      </c>
    </row>
    <row r="21" spans="2:16" s="35" customFormat="1" ht="15"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171"/>
    </row>
    <row r="22" spans="2:16" ht="15">
      <c r="B22" s="40" t="s">
        <v>127</v>
      </c>
      <c r="C22" s="134">
        <f>C18+C20</f>
        <v>0.72240000000000004</v>
      </c>
      <c r="D22" s="134">
        <f t="shared" ref="D22:N22" si="1">D18+D20</f>
        <v>-2.4199999999999999E-2</v>
      </c>
      <c r="E22" s="134">
        <f t="shared" si="1"/>
        <v>-2.52E-2</v>
      </c>
      <c r="F22" s="134">
        <f t="shared" si="1"/>
        <v>-2.4E-2</v>
      </c>
      <c r="G22" s="134">
        <f t="shared" si="1"/>
        <v>0.25819999999999999</v>
      </c>
      <c r="H22" s="134">
        <f t="shared" si="1"/>
        <v>0.33579999999999999</v>
      </c>
      <c r="I22" s="134">
        <f t="shared" si="1"/>
        <v>0.61</v>
      </c>
      <c r="J22" s="134">
        <f t="shared" si="1"/>
        <v>0.20519999999999999</v>
      </c>
      <c r="K22" s="134">
        <f t="shared" si="1"/>
        <v>-0.02</v>
      </c>
      <c r="L22" s="134">
        <f t="shared" si="1"/>
        <v>0.35880000000000001</v>
      </c>
      <c r="M22" s="134">
        <f t="shared" si="1"/>
        <v>0.19420000000000001</v>
      </c>
      <c r="N22" s="134">
        <f t="shared" si="1"/>
        <v>9.3399999999999997E-2</v>
      </c>
      <c r="O22" s="134">
        <f>O18+O20</f>
        <v>2.6846000000000001</v>
      </c>
    </row>
    <row r="24" spans="2:16" ht="16.5">
      <c r="B24" s="26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194"/>
      <c r="P24" s="105"/>
    </row>
    <row r="25" spans="2:16" ht="15">
      <c r="B25" s="26" t="s">
        <v>318</v>
      </c>
      <c r="C25" s="26" t="s">
        <v>374</v>
      </c>
      <c r="D25" s="90"/>
      <c r="E25" s="90"/>
      <c r="F25" s="90"/>
      <c r="G25" s="90"/>
      <c r="H25" s="90"/>
      <c r="I25" s="37"/>
    </row>
    <row r="26" spans="2:16" ht="15">
      <c r="B26" s="26" t="s">
        <v>8</v>
      </c>
      <c r="C26" s="27"/>
      <c r="D26" s="27"/>
      <c r="O26" s="193" t="s">
        <v>128</v>
      </c>
    </row>
    <row r="27" spans="2:16" ht="15">
      <c r="B27" s="33" t="s">
        <v>314</v>
      </c>
      <c r="C27" s="33" t="s">
        <v>129</v>
      </c>
      <c r="D27" s="33" t="s">
        <v>130</v>
      </c>
      <c r="E27" s="112" t="s">
        <v>131</v>
      </c>
      <c r="F27" s="112" t="s">
        <v>132</v>
      </c>
      <c r="G27" s="112" t="s">
        <v>133</v>
      </c>
      <c r="H27" s="112" t="s">
        <v>134</v>
      </c>
      <c r="I27" s="112" t="s">
        <v>135</v>
      </c>
      <c r="J27" s="112" t="s">
        <v>136</v>
      </c>
      <c r="K27" s="112" t="s">
        <v>137</v>
      </c>
      <c r="L27" s="112" t="s">
        <v>138</v>
      </c>
      <c r="M27" s="112" t="s">
        <v>139</v>
      </c>
      <c r="N27" s="112" t="s">
        <v>140</v>
      </c>
      <c r="O27" s="170" t="s">
        <v>127</v>
      </c>
    </row>
    <row r="28" spans="2:16" ht="15">
      <c r="B28" s="88" t="s">
        <v>379</v>
      </c>
      <c r="C28" s="171">
        <v>0.2758505</v>
      </c>
      <c r="D28" s="171">
        <v>-1.4110000000000001E-3</v>
      </c>
      <c r="E28" s="171">
        <v>-7.0550000000000007E-4</v>
      </c>
      <c r="F28" s="171">
        <v>2.0459500000000002E-2</v>
      </c>
      <c r="G28" s="171">
        <v>0.1587375</v>
      </c>
      <c r="H28" s="171">
        <v>0.20741699999999999</v>
      </c>
      <c r="I28" s="171">
        <v>0.28290550000000003</v>
      </c>
      <c r="J28" s="171">
        <v>6.8433500000000008E-2</v>
      </c>
      <c r="K28" s="171">
        <v>-1.4110000000000001E-3</v>
      </c>
      <c r="L28" s="171">
        <v>6.7727999999999997E-2</v>
      </c>
      <c r="M28" s="171">
        <v>0.179197</v>
      </c>
      <c r="N28" s="171">
        <v>0.45152000000000003</v>
      </c>
      <c r="O28" s="171">
        <f>SUM(C28:N28)</f>
        <v>1.7087210000000002</v>
      </c>
    </row>
    <row r="29" spans="2:16" ht="15">
      <c r="B29" s="88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</row>
    <row r="30" spans="2:16" ht="15">
      <c r="B30" s="88" t="s">
        <v>380</v>
      </c>
      <c r="C30" s="171">
        <v>0.1151495</v>
      </c>
      <c r="D30" s="171">
        <v>-5.8900000000000001E-4</v>
      </c>
      <c r="E30" s="171">
        <v>-2.945E-4</v>
      </c>
      <c r="F30" s="171">
        <v>8.5404999999999995E-3</v>
      </c>
      <c r="G30" s="171">
        <v>6.6262500000000002E-2</v>
      </c>
      <c r="H30" s="171">
        <v>8.6582999999999993E-2</v>
      </c>
      <c r="I30" s="171">
        <v>0.11809450000000001</v>
      </c>
      <c r="J30" s="171">
        <v>2.8566499999999998E-2</v>
      </c>
      <c r="K30" s="171">
        <v>-5.8900000000000001E-4</v>
      </c>
      <c r="L30" s="171">
        <v>2.8271999999999999E-2</v>
      </c>
      <c r="M30" s="171">
        <v>7.4802999999999994E-2</v>
      </c>
      <c r="N30" s="171">
        <v>0.18847999999999998</v>
      </c>
      <c r="O30" s="171">
        <f>SUM(C30:N30)</f>
        <v>0.713279</v>
      </c>
    </row>
    <row r="31" spans="2:16" ht="15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171"/>
    </row>
    <row r="32" spans="2:16" ht="15">
      <c r="B32" s="40" t="s">
        <v>127</v>
      </c>
      <c r="C32" s="134">
        <f>C28+C30</f>
        <v>0.39100000000000001</v>
      </c>
      <c r="D32" s="134">
        <f t="shared" ref="D32:N32" si="2">D28+D30</f>
        <v>-2E-3</v>
      </c>
      <c r="E32" s="134">
        <f t="shared" si="2"/>
        <v>-1E-3</v>
      </c>
      <c r="F32" s="134">
        <f t="shared" si="2"/>
        <v>2.9000000000000001E-2</v>
      </c>
      <c r="G32" s="134">
        <f t="shared" si="2"/>
        <v>0.22500000000000001</v>
      </c>
      <c r="H32" s="134">
        <f t="shared" si="2"/>
        <v>0.29399999999999998</v>
      </c>
      <c r="I32" s="134">
        <f t="shared" si="2"/>
        <v>0.40100000000000002</v>
      </c>
      <c r="J32" s="134">
        <f t="shared" si="2"/>
        <v>9.7000000000000003E-2</v>
      </c>
      <c r="K32" s="134">
        <f t="shared" si="2"/>
        <v>-2E-3</v>
      </c>
      <c r="L32" s="134">
        <f t="shared" si="2"/>
        <v>9.6000000000000002E-2</v>
      </c>
      <c r="M32" s="134">
        <f t="shared" si="2"/>
        <v>0.254</v>
      </c>
      <c r="N32" s="134">
        <f t="shared" si="2"/>
        <v>0.64</v>
      </c>
      <c r="O32" s="134">
        <f>O28+O30</f>
        <v>2.4220000000000002</v>
      </c>
    </row>
    <row r="35" spans="2:15" ht="15">
      <c r="B35" s="26" t="s">
        <v>319</v>
      </c>
      <c r="C35" s="26" t="s">
        <v>375</v>
      </c>
      <c r="D35" s="90"/>
      <c r="E35" s="90"/>
      <c r="F35" s="90"/>
      <c r="G35" s="90"/>
      <c r="H35" s="90"/>
      <c r="I35" s="37"/>
    </row>
    <row r="36" spans="2:15" ht="15">
      <c r="B36" s="26" t="s">
        <v>8</v>
      </c>
      <c r="C36" s="27"/>
      <c r="D36" s="27"/>
      <c r="O36" s="193" t="s">
        <v>128</v>
      </c>
    </row>
    <row r="37" spans="2:15" ht="15">
      <c r="B37" s="33" t="s">
        <v>314</v>
      </c>
      <c r="C37" s="33" t="s">
        <v>129</v>
      </c>
      <c r="D37" s="33" t="s">
        <v>130</v>
      </c>
      <c r="E37" s="112" t="s">
        <v>131</v>
      </c>
      <c r="F37" s="112" t="s">
        <v>132</v>
      </c>
      <c r="G37" s="112" t="s">
        <v>133</v>
      </c>
      <c r="H37" s="112" t="s">
        <v>134</v>
      </c>
      <c r="I37" s="112" t="s">
        <v>135</v>
      </c>
      <c r="J37" s="112" t="s">
        <v>136</v>
      </c>
      <c r="K37" s="112" t="s">
        <v>137</v>
      </c>
      <c r="L37" s="112" t="s">
        <v>138</v>
      </c>
      <c r="M37" s="112" t="s">
        <v>139</v>
      </c>
      <c r="N37" s="112" t="s">
        <v>140</v>
      </c>
      <c r="O37" s="170" t="s">
        <v>127</v>
      </c>
    </row>
    <row r="38" spans="2:15" ht="15">
      <c r="B38" s="88" t="s">
        <v>379</v>
      </c>
      <c r="C38" s="171">
        <v>0.28996050000000001</v>
      </c>
      <c r="D38" s="171">
        <v>-1.4110000000000001E-3</v>
      </c>
      <c r="E38" s="171">
        <v>-7.0550000000000007E-4</v>
      </c>
      <c r="F38" s="171">
        <v>3.4569500000000003E-2</v>
      </c>
      <c r="G38" s="171">
        <v>0.20805195000000001</v>
      </c>
      <c r="H38" s="171">
        <v>0.214472</v>
      </c>
      <c r="I38" s="171">
        <v>0.28996050000000001</v>
      </c>
      <c r="J38" s="171">
        <v>0.1037085</v>
      </c>
      <c r="K38" s="171">
        <v>-1.4110000000000001E-3</v>
      </c>
      <c r="L38" s="171">
        <v>0.13792525</v>
      </c>
      <c r="M38" s="171">
        <v>0.20741699999999999</v>
      </c>
      <c r="N38" s="171">
        <v>0.48608949999999995</v>
      </c>
      <c r="O38" s="171">
        <f>SUM(C38:N38)</f>
        <v>1.9686271999999998</v>
      </c>
    </row>
    <row r="39" spans="2:15" ht="15">
      <c r="B39" s="88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</row>
    <row r="40" spans="2:15" ht="15">
      <c r="B40" s="88" t="s">
        <v>380</v>
      </c>
      <c r="C40" s="171">
        <v>0.12103949999999998</v>
      </c>
      <c r="D40" s="171">
        <v>-5.8900000000000001E-4</v>
      </c>
      <c r="E40" s="171">
        <v>-2.945E-4</v>
      </c>
      <c r="F40" s="171">
        <v>1.4430500000000001E-2</v>
      </c>
      <c r="G40" s="171">
        <v>8.6848049999999996E-2</v>
      </c>
      <c r="H40" s="171">
        <v>8.9527999999999996E-2</v>
      </c>
      <c r="I40" s="171">
        <v>0.12103949999999998</v>
      </c>
      <c r="J40" s="171">
        <v>4.3291499999999997E-2</v>
      </c>
      <c r="K40" s="171">
        <v>-5.8900000000000001E-4</v>
      </c>
      <c r="L40" s="171">
        <v>5.7574750000000001E-2</v>
      </c>
      <c r="M40" s="171">
        <v>8.6582999999999993E-2</v>
      </c>
      <c r="N40" s="171">
        <v>0.20291049999999997</v>
      </c>
      <c r="O40" s="171">
        <f>SUM(C40:N40)</f>
        <v>0.82177279999999986</v>
      </c>
    </row>
    <row r="41" spans="2:15" ht="15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171"/>
    </row>
    <row r="42" spans="2:15" ht="15">
      <c r="B42" s="40" t="s">
        <v>127</v>
      </c>
      <c r="C42" s="134">
        <f>C38+C40</f>
        <v>0.41099999999999998</v>
      </c>
      <c r="D42" s="134">
        <f t="shared" ref="D42:O42" si="3">D38+D40</f>
        <v>-2E-3</v>
      </c>
      <c r="E42" s="134">
        <f t="shared" si="3"/>
        <v>-1E-3</v>
      </c>
      <c r="F42" s="134">
        <f t="shared" si="3"/>
        <v>4.9000000000000002E-2</v>
      </c>
      <c r="G42" s="134">
        <f t="shared" si="3"/>
        <v>0.2949</v>
      </c>
      <c r="H42" s="134">
        <f t="shared" si="3"/>
        <v>0.30399999999999999</v>
      </c>
      <c r="I42" s="134">
        <f t="shared" si="3"/>
        <v>0.41099999999999998</v>
      </c>
      <c r="J42" s="134">
        <f t="shared" si="3"/>
        <v>0.14699999999999999</v>
      </c>
      <c r="K42" s="134">
        <f t="shared" si="3"/>
        <v>-2E-3</v>
      </c>
      <c r="L42" s="134">
        <f t="shared" si="3"/>
        <v>0.19550000000000001</v>
      </c>
      <c r="M42" s="134">
        <f t="shared" si="3"/>
        <v>0.29399999999999998</v>
      </c>
      <c r="N42" s="134">
        <f t="shared" si="3"/>
        <v>0.68899999999999995</v>
      </c>
      <c r="O42" s="134">
        <f t="shared" si="3"/>
        <v>2.7903999999999995</v>
      </c>
    </row>
    <row r="45" spans="2:15" ht="15">
      <c r="B45" s="26" t="s">
        <v>320</v>
      </c>
      <c r="C45" s="26" t="s">
        <v>378</v>
      </c>
      <c r="D45" s="90"/>
      <c r="E45" s="90"/>
      <c r="F45" s="90"/>
      <c r="G45" s="90"/>
      <c r="H45" s="90"/>
      <c r="I45" s="37"/>
    </row>
    <row r="46" spans="2:15" ht="15">
      <c r="B46" s="26" t="s">
        <v>8</v>
      </c>
      <c r="C46" s="27"/>
      <c r="D46" s="27"/>
      <c r="O46" s="193" t="s">
        <v>128</v>
      </c>
    </row>
    <row r="47" spans="2:15" ht="15">
      <c r="B47" s="33" t="s">
        <v>314</v>
      </c>
      <c r="C47" s="33" t="s">
        <v>129</v>
      </c>
      <c r="D47" s="33" t="s">
        <v>130</v>
      </c>
      <c r="E47" s="112" t="s">
        <v>131</v>
      </c>
      <c r="F47" s="112" t="s">
        <v>132</v>
      </c>
      <c r="G47" s="112" t="s">
        <v>133</v>
      </c>
      <c r="H47" s="112" t="s">
        <v>134</v>
      </c>
      <c r="I47" s="112" t="s">
        <v>135</v>
      </c>
      <c r="J47" s="112" t="s">
        <v>136</v>
      </c>
      <c r="K47" s="112" t="s">
        <v>137</v>
      </c>
      <c r="L47" s="112" t="s">
        <v>138</v>
      </c>
      <c r="M47" s="112" t="s">
        <v>139</v>
      </c>
      <c r="N47" s="112" t="s">
        <v>140</v>
      </c>
      <c r="O47" s="170" t="s">
        <v>127</v>
      </c>
    </row>
    <row r="48" spans="2:15" ht="15">
      <c r="B48" s="88" t="s">
        <v>379</v>
      </c>
      <c r="C48" s="171">
        <v>0.26914825000000003</v>
      </c>
      <c r="D48" s="171">
        <v>-1.4110000000000001E-3</v>
      </c>
      <c r="E48" s="171">
        <v>-7.0550000000000007E-4</v>
      </c>
      <c r="F48" s="171">
        <v>1.34045E-2</v>
      </c>
      <c r="G48" s="171">
        <v>0.13757250000000001</v>
      </c>
      <c r="H48" s="171">
        <v>0.17249475</v>
      </c>
      <c r="I48" s="171">
        <v>0.27620325000000001</v>
      </c>
      <c r="J48" s="171">
        <v>6.8433500000000008E-2</v>
      </c>
      <c r="K48" s="171">
        <v>-1.4110000000000001E-3</v>
      </c>
      <c r="L48" s="171">
        <v>0.10286190000000001</v>
      </c>
      <c r="M48" s="171">
        <v>0.17214199999999999</v>
      </c>
      <c r="N48" s="171">
        <v>0.41624499999999998</v>
      </c>
      <c r="O48" s="171">
        <f>SUM(C48:N48)</f>
        <v>1.62497815</v>
      </c>
    </row>
    <row r="49" spans="2:15" ht="15">
      <c r="B49" s="88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</row>
    <row r="50" spans="2:15" ht="15">
      <c r="B50" s="88" t="s">
        <v>380</v>
      </c>
      <c r="C50" s="171">
        <v>0.11235175</v>
      </c>
      <c r="D50" s="171">
        <v>-5.8900000000000001E-4</v>
      </c>
      <c r="E50" s="171">
        <v>-2.945E-4</v>
      </c>
      <c r="F50" s="171">
        <v>5.5954999999999998E-3</v>
      </c>
      <c r="G50" s="171">
        <v>5.7427499999999999E-2</v>
      </c>
      <c r="H50" s="171">
        <v>7.2005249999999993E-2</v>
      </c>
      <c r="I50" s="171">
        <v>0.11529675</v>
      </c>
      <c r="J50" s="171">
        <v>2.8566499999999998E-2</v>
      </c>
      <c r="K50" s="171">
        <v>-5.8900000000000001E-4</v>
      </c>
      <c r="L50" s="171">
        <v>4.29381E-2</v>
      </c>
      <c r="M50" s="171">
        <v>7.1857999999999991E-2</v>
      </c>
      <c r="N50" s="171">
        <v>0.17375499999999999</v>
      </c>
      <c r="O50" s="171">
        <f>SUM(C50:N50)</f>
        <v>0.67832184999999989</v>
      </c>
    </row>
    <row r="51" spans="2:15" ht="15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171"/>
    </row>
    <row r="52" spans="2:15" ht="15">
      <c r="B52" s="40" t="s">
        <v>127</v>
      </c>
      <c r="C52" s="134">
        <f>C48+C50</f>
        <v>0.38150000000000006</v>
      </c>
      <c r="D52" s="134">
        <f t="shared" ref="D52:N52" si="4">D48+D50</f>
        <v>-2E-3</v>
      </c>
      <c r="E52" s="134">
        <f t="shared" si="4"/>
        <v>-1E-3</v>
      </c>
      <c r="F52" s="134">
        <f t="shared" si="4"/>
        <v>1.9E-2</v>
      </c>
      <c r="G52" s="134">
        <f t="shared" si="4"/>
        <v>0.19500000000000001</v>
      </c>
      <c r="H52" s="134">
        <f t="shared" si="4"/>
        <v>0.2445</v>
      </c>
      <c r="I52" s="134">
        <f t="shared" si="4"/>
        <v>0.39150000000000001</v>
      </c>
      <c r="J52" s="134">
        <f t="shared" si="4"/>
        <v>9.7000000000000003E-2</v>
      </c>
      <c r="K52" s="134">
        <f t="shared" si="4"/>
        <v>-2E-3</v>
      </c>
      <c r="L52" s="134">
        <f t="shared" si="4"/>
        <v>0.14580000000000001</v>
      </c>
      <c r="M52" s="134">
        <f t="shared" si="4"/>
        <v>0.24399999999999999</v>
      </c>
      <c r="N52" s="134">
        <f t="shared" si="4"/>
        <v>0.59</v>
      </c>
      <c r="O52" s="134">
        <f>O48+O50</f>
        <v>2.3033000000000001</v>
      </c>
    </row>
    <row r="55" spans="2:15" ht="15">
      <c r="B55" s="26" t="s">
        <v>321</v>
      </c>
      <c r="C55" s="26" t="s">
        <v>376</v>
      </c>
      <c r="D55" s="90"/>
      <c r="E55" s="90"/>
      <c r="F55" s="90"/>
      <c r="G55" s="90"/>
      <c r="H55" s="90"/>
      <c r="I55" s="37"/>
    </row>
    <row r="56" spans="2:15" ht="15">
      <c r="B56" s="26" t="s">
        <v>8</v>
      </c>
      <c r="C56" s="27"/>
      <c r="D56" s="27"/>
      <c r="O56" s="193" t="s">
        <v>128</v>
      </c>
    </row>
    <row r="57" spans="2:15" ht="15">
      <c r="B57" s="33" t="s">
        <v>314</v>
      </c>
      <c r="C57" s="33" t="s">
        <v>129</v>
      </c>
      <c r="D57" s="33" t="s">
        <v>130</v>
      </c>
      <c r="E57" s="112" t="s">
        <v>131</v>
      </c>
      <c r="F57" s="112" t="s">
        <v>132</v>
      </c>
      <c r="G57" s="112" t="s">
        <v>133</v>
      </c>
      <c r="H57" s="112" t="s">
        <v>134</v>
      </c>
      <c r="I57" s="112" t="s">
        <v>135</v>
      </c>
      <c r="J57" s="112" t="s">
        <v>136</v>
      </c>
      <c r="K57" s="112" t="s">
        <v>137</v>
      </c>
      <c r="L57" s="112" t="s">
        <v>138</v>
      </c>
      <c r="M57" s="112" t="s">
        <v>139</v>
      </c>
      <c r="N57" s="112" t="s">
        <v>140</v>
      </c>
      <c r="O57" s="170" t="s">
        <v>127</v>
      </c>
    </row>
    <row r="58" spans="2:15" ht="15">
      <c r="B58" s="88" t="s">
        <v>379</v>
      </c>
      <c r="C58" s="171">
        <v>0.28290550000000003</v>
      </c>
      <c r="D58" s="171">
        <v>-1.4110000000000001E-3</v>
      </c>
      <c r="E58" s="171">
        <v>-7.0550000000000007E-4</v>
      </c>
      <c r="F58" s="171">
        <v>1.6931999999999999E-2</v>
      </c>
      <c r="G58" s="171">
        <v>0.16579249999999998</v>
      </c>
      <c r="H58" s="171">
        <v>0.20741699999999999</v>
      </c>
      <c r="I58" s="171">
        <v>0.28290550000000003</v>
      </c>
      <c r="J58" s="171">
        <v>6.8433500000000008E-2</v>
      </c>
      <c r="K58" s="171">
        <v>-1.4110000000000001E-3</v>
      </c>
      <c r="L58" s="171">
        <v>6.7727999999999997E-2</v>
      </c>
      <c r="M58" s="171">
        <v>0.179197</v>
      </c>
      <c r="N58" s="171">
        <v>0.45152000000000003</v>
      </c>
      <c r="O58" s="171">
        <f>SUM(C58:N58)</f>
        <v>1.7193035000000001</v>
      </c>
    </row>
    <row r="59" spans="2:15" ht="15">
      <c r="B59" s="88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</row>
    <row r="60" spans="2:15" ht="15">
      <c r="B60" s="88" t="s">
        <v>380</v>
      </c>
      <c r="C60" s="171">
        <v>0.11809450000000001</v>
      </c>
      <c r="D60" s="171">
        <v>-5.8900000000000001E-4</v>
      </c>
      <c r="E60" s="171">
        <v>-2.945E-4</v>
      </c>
      <c r="F60" s="171">
        <v>7.0679999999999996E-3</v>
      </c>
      <c r="G60" s="171">
        <v>6.9207499999999991E-2</v>
      </c>
      <c r="H60" s="171">
        <v>8.6582999999999993E-2</v>
      </c>
      <c r="I60" s="171">
        <v>0.11809450000000001</v>
      </c>
      <c r="J60" s="171">
        <v>2.8566499999999998E-2</v>
      </c>
      <c r="K60" s="171">
        <v>-5.8900000000000001E-4</v>
      </c>
      <c r="L60" s="171">
        <v>2.8271999999999999E-2</v>
      </c>
      <c r="M60" s="171">
        <v>7.4802999999999994E-2</v>
      </c>
      <c r="N60" s="171">
        <v>0.18847999999999998</v>
      </c>
      <c r="O60" s="171">
        <f>SUM(C60:N60)</f>
        <v>0.71769649999999996</v>
      </c>
    </row>
    <row r="61" spans="2:15" ht="15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171"/>
    </row>
    <row r="62" spans="2:15" ht="15">
      <c r="B62" s="40" t="s">
        <v>127</v>
      </c>
      <c r="C62" s="134">
        <f>C58+C60</f>
        <v>0.40100000000000002</v>
      </c>
      <c r="D62" s="134">
        <f t="shared" ref="D62:O62" si="5">D58+D60</f>
        <v>-2E-3</v>
      </c>
      <c r="E62" s="134">
        <f t="shared" si="5"/>
        <v>-1E-3</v>
      </c>
      <c r="F62" s="134">
        <f t="shared" si="5"/>
        <v>2.4E-2</v>
      </c>
      <c r="G62" s="134">
        <f t="shared" si="5"/>
        <v>0.23499999999999999</v>
      </c>
      <c r="H62" s="134">
        <f t="shared" si="5"/>
        <v>0.29399999999999998</v>
      </c>
      <c r="I62" s="134">
        <f t="shared" si="5"/>
        <v>0.40100000000000002</v>
      </c>
      <c r="J62" s="134">
        <f t="shared" si="5"/>
        <v>9.7000000000000003E-2</v>
      </c>
      <c r="K62" s="134">
        <f t="shared" si="5"/>
        <v>-2E-3</v>
      </c>
      <c r="L62" s="134">
        <f t="shared" si="5"/>
        <v>9.6000000000000002E-2</v>
      </c>
      <c r="M62" s="134">
        <f t="shared" si="5"/>
        <v>0.254</v>
      </c>
      <c r="N62" s="134">
        <f t="shared" si="5"/>
        <v>0.64</v>
      </c>
      <c r="O62" s="134">
        <f t="shared" si="5"/>
        <v>2.4370000000000003</v>
      </c>
    </row>
    <row r="65" spans="2:15" ht="15">
      <c r="B65" s="26" t="s">
        <v>322</v>
      </c>
      <c r="C65" s="26" t="s">
        <v>377</v>
      </c>
      <c r="D65" s="90"/>
      <c r="E65" s="90"/>
      <c r="F65" s="90"/>
      <c r="G65" s="90"/>
      <c r="H65" s="90"/>
      <c r="I65" s="37"/>
    </row>
    <row r="66" spans="2:15" ht="15">
      <c r="B66" s="26" t="s">
        <v>8</v>
      </c>
      <c r="C66" s="27"/>
      <c r="D66" s="27"/>
      <c r="O66" s="193" t="s">
        <v>128</v>
      </c>
    </row>
    <row r="67" spans="2:15" ht="15">
      <c r="B67" s="33" t="s">
        <v>314</v>
      </c>
      <c r="C67" s="33" t="s">
        <v>129</v>
      </c>
      <c r="D67" s="33" t="s">
        <v>130</v>
      </c>
      <c r="E67" s="112" t="s">
        <v>131</v>
      </c>
      <c r="F67" s="112" t="s">
        <v>132</v>
      </c>
      <c r="G67" s="112" t="s">
        <v>133</v>
      </c>
      <c r="H67" s="112" t="s">
        <v>134</v>
      </c>
      <c r="I67" s="112" t="s">
        <v>135</v>
      </c>
      <c r="J67" s="112" t="s">
        <v>136</v>
      </c>
      <c r="K67" s="112" t="s">
        <v>137</v>
      </c>
      <c r="L67" s="112" t="s">
        <v>138</v>
      </c>
      <c r="M67" s="112" t="s">
        <v>139</v>
      </c>
      <c r="N67" s="112" t="s">
        <v>140</v>
      </c>
      <c r="O67" s="170" t="s">
        <v>127</v>
      </c>
    </row>
    <row r="68" spans="2:15" ht="15">
      <c r="B68" s="88" t="s">
        <v>379</v>
      </c>
      <c r="C68" s="171">
        <v>0.28988995000000001</v>
      </c>
      <c r="D68" s="171">
        <v>-1.4110000000000001E-3</v>
      </c>
      <c r="E68" s="171">
        <v>-7.0550000000000007E-4</v>
      </c>
      <c r="F68" s="171">
        <v>2.0459500000000002E-2</v>
      </c>
      <c r="G68" s="171">
        <v>0.15866695</v>
      </c>
      <c r="H68" s="171">
        <v>0.20741699999999999</v>
      </c>
      <c r="I68" s="171">
        <v>0.28290550000000003</v>
      </c>
      <c r="J68" s="171">
        <v>6.8433500000000008E-2</v>
      </c>
      <c r="K68" s="171">
        <v>-1.4110000000000001E-3</v>
      </c>
      <c r="L68" s="171">
        <v>6.7727999999999997E-2</v>
      </c>
      <c r="M68" s="171">
        <v>0.179197</v>
      </c>
      <c r="N68" s="171">
        <v>0.45152000000000003</v>
      </c>
      <c r="O68" s="171">
        <f>SUM(C68:N68)</f>
        <v>1.7226899000000002</v>
      </c>
    </row>
    <row r="69" spans="2:15" ht="15">
      <c r="B69" s="88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</row>
    <row r="70" spans="2:15" ht="15">
      <c r="B70" s="88" t="s">
        <v>380</v>
      </c>
      <c r="C70" s="171">
        <v>0.12101004999999999</v>
      </c>
      <c r="D70" s="171">
        <v>-5.8900000000000001E-4</v>
      </c>
      <c r="E70" s="171">
        <v>-2.945E-4</v>
      </c>
      <c r="F70" s="171">
        <v>8.5404999999999995E-3</v>
      </c>
      <c r="G70" s="171">
        <v>6.6233049999999988E-2</v>
      </c>
      <c r="H70" s="171">
        <v>8.6582999999999993E-2</v>
      </c>
      <c r="I70" s="171">
        <v>0.11809450000000001</v>
      </c>
      <c r="J70" s="171">
        <v>2.8566499999999998E-2</v>
      </c>
      <c r="K70" s="171">
        <v>-5.8900000000000001E-4</v>
      </c>
      <c r="L70" s="171">
        <v>2.8271999999999999E-2</v>
      </c>
      <c r="M70" s="171">
        <v>7.4802999999999994E-2</v>
      </c>
      <c r="N70" s="171">
        <v>0.18847999999999998</v>
      </c>
      <c r="O70" s="171">
        <f>SUM(C70:N70)</f>
        <v>0.71911009999999997</v>
      </c>
    </row>
    <row r="71" spans="2:15" ht="15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171"/>
    </row>
    <row r="72" spans="2:15" ht="15">
      <c r="B72" s="40" t="s">
        <v>127</v>
      </c>
      <c r="C72" s="134">
        <f>C68+C70</f>
        <v>0.41089999999999999</v>
      </c>
      <c r="D72" s="134">
        <f t="shared" ref="D72:N72" si="6">D68+D70</f>
        <v>-2E-3</v>
      </c>
      <c r="E72" s="134">
        <f t="shared" si="6"/>
        <v>-1E-3</v>
      </c>
      <c r="F72" s="134">
        <f t="shared" si="6"/>
        <v>2.9000000000000001E-2</v>
      </c>
      <c r="G72" s="134">
        <f t="shared" si="6"/>
        <v>0.22489999999999999</v>
      </c>
      <c r="H72" s="134">
        <f t="shared" si="6"/>
        <v>0.29399999999999998</v>
      </c>
      <c r="I72" s="134">
        <f t="shared" si="6"/>
        <v>0.40100000000000002</v>
      </c>
      <c r="J72" s="134">
        <f t="shared" si="6"/>
        <v>9.7000000000000003E-2</v>
      </c>
      <c r="K72" s="134">
        <f t="shared" si="6"/>
        <v>-2E-3</v>
      </c>
      <c r="L72" s="134">
        <f t="shared" si="6"/>
        <v>9.6000000000000002E-2</v>
      </c>
      <c r="M72" s="134">
        <f t="shared" si="6"/>
        <v>0.254</v>
      </c>
      <c r="N72" s="134">
        <f t="shared" si="6"/>
        <v>0.64</v>
      </c>
      <c r="O72" s="134">
        <f>O68+O70</f>
        <v>2.4418000000000002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0.53" right="0.47" top="1" bottom="0.37" header="0.5" footer="0.5"/>
  <pageSetup paperSize="9" scale="5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view="pageBreakPreview" zoomScale="7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1"/>
    </row>
    <row r="2" spans="2:14" s="5" customFormat="1" ht="15" customHeight="1">
      <c r="B2" s="250" t="s">
        <v>403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2:14" s="5" customFormat="1" ht="15" customHeight="1">
      <c r="B3" s="250" t="s">
        <v>382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14.25" customHeight="1">
      <c r="B4" s="251" t="s">
        <v>323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</row>
    <row r="5" spans="2:14" ht="15">
      <c r="B5" s="26" t="s">
        <v>324</v>
      </c>
    </row>
    <row r="6" spans="2:14" ht="15">
      <c r="B6" s="26" t="s">
        <v>12</v>
      </c>
      <c r="N6" s="38" t="s">
        <v>4</v>
      </c>
    </row>
    <row r="7" spans="2:14" s="57" customFormat="1" ht="45.75" customHeight="1">
      <c r="B7" s="261" t="s">
        <v>314</v>
      </c>
      <c r="C7" s="254" t="s">
        <v>143</v>
      </c>
      <c r="D7" s="254"/>
      <c r="E7" s="254"/>
      <c r="F7" s="254"/>
      <c r="G7" s="253" t="s">
        <v>144</v>
      </c>
      <c r="H7" s="253"/>
      <c r="I7" s="253"/>
      <c r="J7" s="253" t="s">
        <v>145</v>
      </c>
      <c r="K7" s="253"/>
      <c r="L7" s="253"/>
      <c r="M7" s="253"/>
      <c r="N7" s="253"/>
    </row>
    <row r="8" spans="2:14" ht="45">
      <c r="B8" s="262"/>
      <c r="C8" s="33" t="s">
        <v>161</v>
      </c>
      <c r="D8" s="33" t="s">
        <v>159</v>
      </c>
      <c r="E8" s="33" t="s">
        <v>221</v>
      </c>
      <c r="F8" s="33" t="s">
        <v>160</v>
      </c>
      <c r="G8" s="33" t="s">
        <v>146</v>
      </c>
      <c r="H8" s="33" t="s">
        <v>222</v>
      </c>
      <c r="I8" s="33" t="s">
        <v>147</v>
      </c>
      <c r="J8" s="33" t="s">
        <v>148</v>
      </c>
      <c r="K8" s="33" t="s">
        <v>149</v>
      </c>
      <c r="L8" s="33" t="s">
        <v>223</v>
      </c>
      <c r="M8" s="33" t="s">
        <v>224</v>
      </c>
      <c r="N8" s="25" t="s">
        <v>127</v>
      </c>
    </row>
    <row r="9" spans="2:14" ht="15">
      <c r="B9" s="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5"/>
    </row>
    <row r="10" spans="2:14" ht="15">
      <c r="B10" s="88" t="s">
        <v>315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8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88" t="s">
        <v>316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39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88" t="s">
        <v>317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8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88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88" t="s">
        <v>127</v>
      </c>
      <c r="C18" s="133">
        <f>C10+C12+C14</f>
        <v>0</v>
      </c>
      <c r="D18" s="133">
        <f>D10+D12+D14</f>
        <v>0</v>
      </c>
      <c r="E18" s="133">
        <f>E10+E12+E14</f>
        <v>0</v>
      </c>
      <c r="F18" s="133">
        <f>F10+F12+F14</f>
        <v>0</v>
      </c>
      <c r="G18" s="133">
        <f>G10+G12+G14</f>
        <v>0</v>
      </c>
      <c r="H18" s="3"/>
      <c r="I18" s="3"/>
      <c r="J18" s="133">
        <f>J10+J12+J14</f>
        <v>0</v>
      </c>
      <c r="K18" s="133">
        <f>K10+K12+K14</f>
        <v>0</v>
      </c>
      <c r="L18" s="133">
        <f>L10+L12+L14</f>
        <v>0</v>
      </c>
      <c r="M18" s="133">
        <f>M10+M12+M14</f>
        <v>0</v>
      </c>
      <c r="N18" s="133">
        <f>N10+N12+N14</f>
        <v>0</v>
      </c>
    </row>
    <row r="19" spans="2:14" ht="15">
      <c r="B19" s="38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view="pageBreakPreview" zoomScale="60" zoomScaleNormal="80" workbookViewId="0">
      <selection activeCell="G34" sqref="G34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11"/>
    </row>
    <row r="2" spans="2:17" s="5" customFormat="1" ht="15" customHeight="1"/>
    <row r="3" spans="2:17" s="5" customFormat="1" ht="15" customHeight="1">
      <c r="B3" s="250" t="s">
        <v>403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</row>
    <row r="4" spans="2:17" s="5" customFormat="1" ht="15" customHeight="1">
      <c r="B4" s="250" t="s">
        <v>382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</row>
    <row r="5" spans="2:17" ht="15">
      <c r="B5" s="26" t="s">
        <v>324</v>
      </c>
      <c r="G5" s="35" t="s">
        <v>327</v>
      </c>
      <c r="H5" s="35"/>
      <c r="I5" s="35"/>
      <c r="J5" s="35"/>
    </row>
    <row r="6" spans="2:17" ht="15">
      <c r="B6" s="38" t="s">
        <v>12</v>
      </c>
    </row>
    <row r="7" spans="2:17" ht="30">
      <c r="B7" s="113" t="s">
        <v>186</v>
      </c>
      <c r="C7" s="113" t="s">
        <v>18</v>
      </c>
      <c r="D7" s="113" t="s">
        <v>39</v>
      </c>
      <c r="E7" s="33" t="s">
        <v>129</v>
      </c>
      <c r="F7" s="33" t="s">
        <v>130</v>
      </c>
      <c r="G7" s="112" t="s">
        <v>131</v>
      </c>
      <c r="H7" s="112" t="s">
        <v>132</v>
      </c>
      <c r="I7" s="112" t="s">
        <v>133</v>
      </c>
      <c r="J7" s="112" t="s">
        <v>134</v>
      </c>
      <c r="K7" s="112" t="s">
        <v>135</v>
      </c>
      <c r="L7" s="112" t="s">
        <v>136</v>
      </c>
      <c r="M7" s="112" t="s">
        <v>137</v>
      </c>
      <c r="N7" s="112" t="s">
        <v>138</v>
      </c>
      <c r="O7" s="112" t="s">
        <v>139</v>
      </c>
      <c r="P7" s="112" t="s">
        <v>140</v>
      </c>
      <c r="Q7" s="114" t="s">
        <v>127</v>
      </c>
    </row>
    <row r="8" spans="2:17">
      <c r="B8" s="115">
        <v>1</v>
      </c>
      <c r="C8" s="116" t="s">
        <v>164</v>
      </c>
      <c r="D8" s="115" t="s">
        <v>40</v>
      </c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>
        <v>90</v>
      </c>
    </row>
    <row r="9" spans="2:17">
      <c r="B9" s="115">
        <f>B8+1</f>
        <v>2</v>
      </c>
      <c r="C9" s="116" t="s">
        <v>187</v>
      </c>
      <c r="D9" s="115" t="s">
        <v>40</v>
      </c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8"/>
    </row>
    <row r="10" spans="2:17">
      <c r="B10" s="115">
        <f t="shared" ref="B10:B26" si="0">B9+1</f>
        <v>3</v>
      </c>
      <c r="C10" s="116" t="s">
        <v>188</v>
      </c>
      <c r="D10" s="115" t="s">
        <v>40</v>
      </c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>
        <v>95.76</v>
      </c>
    </row>
    <row r="11" spans="2:17">
      <c r="B11" s="115">
        <f t="shared" si="0"/>
        <v>4</v>
      </c>
      <c r="C11" s="116" t="s">
        <v>41</v>
      </c>
      <c r="D11" s="115" t="s">
        <v>40</v>
      </c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</row>
    <row r="12" spans="2:17">
      <c r="B12" s="115">
        <f t="shared" si="0"/>
        <v>5</v>
      </c>
      <c r="C12" s="116" t="s">
        <v>189</v>
      </c>
      <c r="D12" s="115" t="s">
        <v>40</v>
      </c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</row>
    <row r="13" spans="2:17">
      <c r="B13" s="115">
        <f t="shared" si="0"/>
        <v>6</v>
      </c>
      <c r="C13" s="116" t="s">
        <v>190</v>
      </c>
      <c r="D13" s="115" t="s">
        <v>40</v>
      </c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</row>
    <row r="14" spans="2:17" ht="16.5">
      <c r="B14" s="115">
        <f t="shared" si="0"/>
        <v>7</v>
      </c>
      <c r="C14" s="110" t="s">
        <v>191</v>
      </c>
      <c r="D14" s="119" t="s">
        <v>42</v>
      </c>
      <c r="E14" s="182">
        <v>0.40565099999999998</v>
      </c>
      <c r="F14" s="182">
        <v>0</v>
      </c>
      <c r="G14" s="182">
        <v>0</v>
      </c>
      <c r="H14" s="182">
        <v>2.2282E-2</v>
      </c>
      <c r="I14" s="182">
        <v>1.0922000000000001</v>
      </c>
      <c r="J14" s="182">
        <v>0.58083399999999996</v>
      </c>
      <c r="K14" s="182">
        <v>0.79341099999999998</v>
      </c>
      <c r="L14" s="182">
        <v>0.15288299999999999</v>
      </c>
      <c r="M14" s="182">
        <v>0.115047</v>
      </c>
      <c r="N14" s="182">
        <v>0.90733399999999997</v>
      </c>
      <c r="O14" s="182">
        <v>0.87594300000000003</v>
      </c>
      <c r="P14" s="182">
        <v>0.929419</v>
      </c>
      <c r="Q14" s="182">
        <f>SUM(E14:P14)</f>
        <v>5.8750040000000006</v>
      </c>
    </row>
    <row r="15" spans="2:17" ht="16.5">
      <c r="B15" s="115">
        <f t="shared" si="0"/>
        <v>8</v>
      </c>
      <c r="C15" s="110" t="s">
        <v>192</v>
      </c>
      <c r="D15" s="119" t="s">
        <v>42</v>
      </c>
      <c r="E15" s="182">
        <v>7.1850999999999998E-2</v>
      </c>
      <c r="F15" s="182">
        <v>2.3399999999999636E-2</v>
      </c>
      <c r="G15" s="182">
        <v>2.2800000000000001E-2</v>
      </c>
      <c r="H15" s="182">
        <v>2.1881999999999999E-2</v>
      </c>
      <c r="I15" s="182">
        <v>0.2626</v>
      </c>
      <c r="J15" s="182">
        <v>0.14363400000000001</v>
      </c>
      <c r="K15" s="182">
        <v>0.15421099999999929</v>
      </c>
      <c r="L15" s="182">
        <v>3.0682999999999957E-2</v>
      </c>
      <c r="M15" s="182">
        <v>3.7847000000001088E-2</v>
      </c>
      <c r="N15" s="182">
        <v>9.1134000000000007E-2</v>
      </c>
      <c r="O15" s="182">
        <v>8.6542999999999884E-2</v>
      </c>
      <c r="P15" s="182">
        <v>8.4219000000000002E-2</v>
      </c>
      <c r="Q15" s="182">
        <f>SUM(E15:P15)</f>
        <v>1.0308039999999998</v>
      </c>
    </row>
    <row r="16" spans="2:17" ht="15">
      <c r="B16" s="115">
        <f t="shared" si="0"/>
        <v>9</v>
      </c>
      <c r="C16" s="110" t="s">
        <v>207</v>
      </c>
      <c r="D16" s="119" t="s">
        <v>42</v>
      </c>
      <c r="E16" s="132">
        <f>E14-E15</f>
        <v>0.33379999999999999</v>
      </c>
      <c r="F16" s="132">
        <f t="shared" ref="F16:Q16" si="1">F14-F15</f>
        <v>-2.3399999999999636E-2</v>
      </c>
      <c r="G16" s="132">
        <f t="shared" si="1"/>
        <v>-2.2800000000000001E-2</v>
      </c>
      <c r="H16" s="132">
        <f t="shared" si="1"/>
        <v>4.0000000000000105E-4</v>
      </c>
      <c r="I16" s="132">
        <f t="shared" si="1"/>
        <v>0.82960000000000012</v>
      </c>
      <c r="J16" s="132">
        <f t="shared" si="1"/>
        <v>0.43719999999999992</v>
      </c>
      <c r="K16" s="132">
        <f t="shared" si="1"/>
        <v>0.63920000000000066</v>
      </c>
      <c r="L16" s="132">
        <f t="shared" si="1"/>
        <v>0.12220000000000003</v>
      </c>
      <c r="M16" s="132">
        <f t="shared" si="1"/>
        <v>7.7199999999998908E-2</v>
      </c>
      <c r="N16" s="132">
        <f t="shared" si="1"/>
        <v>0.81619999999999993</v>
      </c>
      <c r="O16" s="132">
        <f t="shared" si="1"/>
        <v>0.7894000000000001</v>
      </c>
      <c r="P16" s="132">
        <f t="shared" si="1"/>
        <v>0.84519999999999995</v>
      </c>
      <c r="Q16" s="132">
        <f t="shared" si="1"/>
        <v>4.8442000000000007</v>
      </c>
    </row>
    <row r="17" spans="2:17">
      <c r="B17" s="115">
        <f t="shared" si="0"/>
        <v>10</v>
      </c>
      <c r="C17" s="110" t="s">
        <v>208</v>
      </c>
      <c r="D17" s="119" t="s">
        <v>42</v>
      </c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1"/>
    </row>
    <row r="18" spans="2:17">
      <c r="B18" s="115">
        <f t="shared" si="0"/>
        <v>11</v>
      </c>
      <c r="C18" s="110" t="s">
        <v>193</v>
      </c>
      <c r="D18" s="119" t="s">
        <v>197</v>
      </c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</row>
    <row r="19" spans="2:17" ht="16.5">
      <c r="B19" s="115">
        <f t="shared" si="0"/>
        <v>12</v>
      </c>
      <c r="C19" s="110" t="s">
        <v>209</v>
      </c>
      <c r="D19" s="119" t="s">
        <v>198</v>
      </c>
      <c r="E19" s="183">
        <v>0.76666670000000003</v>
      </c>
      <c r="F19" s="183">
        <v>0.76666670000000003</v>
      </c>
      <c r="G19" s="183">
        <v>0.76666670000000003</v>
      </c>
      <c r="H19" s="183">
        <v>0.76666670000000003</v>
      </c>
      <c r="I19" s="183">
        <v>0.76666670000000003</v>
      </c>
      <c r="J19" s="183">
        <v>0.76666670000000003</v>
      </c>
      <c r="K19" s="183">
        <v>0.76666670000000003</v>
      </c>
      <c r="L19" s="183">
        <v>0.76666670000000003</v>
      </c>
      <c r="M19" s="183">
        <v>0.76666670000000003</v>
      </c>
      <c r="N19" s="183">
        <v>0.76666670000000003</v>
      </c>
      <c r="O19" s="183">
        <v>0.76666670000000003</v>
      </c>
      <c r="P19" s="183">
        <v>0.76666670000000003</v>
      </c>
      <c r="Q19" s="183">
        <f>SUM(E19:P19)</f>
        <v>9.2000004000000004</v>
      </c>
    </row>
    <row r="20" spans="2:17" ht="16.5">
      <c r="B20" s="115">
        <f t="shared" si="0"/>
        <v>13</v>
      </c>
      <c r="C20" s="110" t="s">
        <v>325</v>
      </c>
      <c r="D20" s="119" t="s">
        <v>197</v>
      </c>
      <c r="E20" s="184">
        <v>0</v>
      </c>
      <c r="F20" s="184">
        <v>0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0</v>
      </c>
      <c r="O20" s="184">
        <v>0</v>
      </c>
      <c r="P20" s="184">
        <v>0</v>
      </c>
      <c r="Q20" s="184">
        <v>0</v>
      </c>
    </row>
    <row r="21" spans="2:17" ht="16.5">
      <c r="B21" s="115">
        <f t="shared" si="0"/>
        <v>14</v>
      </c>
      <c r="C21" s="110" t="s">
        <v>194</v>
      </c>
      <c r="D21" s="119" t="s">
        <v>198</v>
      </c>
      <c r="E21" s="183">
        <v>0.76666670000000003</v>
      </c>
      <c r="F21" s="183">
        <v>0.76666670000000003</v>
      </c>
      <c r="G21" s="183">
        <v>0.76666670000000003</v>
      </c>
      <c r="H21" s="183">
        <v>0.76666670000000003</v>
      </c>
      <c r="I21" s="183">
        <v>0.76666670000000003</v>
      </c>
      <c r="J21" s="183">
        <v>0.76666670000000003</v>
      </c>
      <c r="K21" s="183">
        <v>0.76666670000000003</v>
      </c>
      <c r="L21" s="183">
        <v>0.76666670000000003</v>
      </c>
      <c r="M21" s="183">
        <v>0.76666670000000003</v>
      </c>
      <c r="N21" s="183">
        <v>0.76666670000000003</v>
      </c>
      <c r="O21" s="183">
        <v>0.76666670000000003</v>
      </c>
      <c r="P21" s="183">
        <v>0.76666670000000003</v>
      </c>
      <c r="Q21" s="183">
        <f>SUM(E21:P21)</f>
        <v>9.2000004000000004</v>
      </c>
    </row>
    <row r="22" spans="2:17">
      <c r="B22" s="115">
        <f t="shared" si="0"/>
        <v>15</v>
      </c>
      <c r="C22" s="110" t="s">
        <v>326</v>
      </c>
      <c r="D22" s="119" t="s">
        <v>198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18"/>
    </row>
    <row r="23" spans="2:17">
      <c r="B23" s="115">
        <f t="shared" si="0"/>
        <v>16</v>
      </c>
      <c r="C23" s="110" t="s">
        <v>210</v>
      </c>
      <c r="D23" s="119" t="s">
        <v>198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18"/>
    </row>
    <row r="24" spans="2:17">
      <c r="B24" s="115">
        <f t="shared" si="0"/>
        <v>17</v>
      </c>
      <c r="C24" s="110" t="s">
        <v>195</v>
      </c>
      <c r="D24" s="119" t="s">
        <v>198</v>
      </c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18"/>
    </row>
    <row r="25" spans="2:17" ht="16.5">
      <c r="B25" s="115">
        <f t="shared" si="0"/>
        <v>18</v>
      </c>
      <c r="C25" s="124" t="s">
        <v>151</v>
      </c>
      <c r="D25" s="119" t="s">
        <v>198</v>
      </c>
      <c r="E25" s="185">
        <f>E21+E22+E23+E24</f>
        <v>0.76666670000000003</v>
      </c>
      <c r="F25" s="185">
        <f t="shared" ref="F25:Q25" si="2">F21+F22+F23+F24</f>
        <v>0.76666670000000003</v>
      </c>
      <c r="G25" s="185">
        <f t="shared" si="2"/>
        <v>0.76666670000000003</v>
      </c>
      <c r="H25" s="185">
        <f t="shared" si="2"/>
        <v>0.76666670000000003</v>
      </c>
      <c r="I25" s="185">
        <f t="shared" si="2"/>
        <v>0.76666670000000003</v>
      </c>
      <c r="J25" s="185">
        <f t="shared" si="2"/>
        <v>0.76666670000000003</v>
      </c>
      <c r="K25" s="185">
        <f t="shared" si="2"/>
        <v>0.76666670000000003</v>
      </c>
      <c r="L25" s="185">
        <f t="shared" si="2"/>
        <v>0.76666670000000003</v>
      </c>
      <c r="M25" s="185">
        <f t="shared" si="2"/>
        <v>0.76666670000000003</v>
      </c>
      <c r="N25" s="185">
        <f t="shared" si="2"/>
        <v>0.76666670000000003</v>
      </c>
      <c r="O25" s="185">
        <f t="shared" si="2"/>
        <v>0.76666670000000003</v>
      </c>
      <c r="P25" s="185">
        <f t="shared" si="2"/>
        <v>0.76666670000000003</v>
      </c>
      <c r="Q25" s="185">
        <f t="shared" si="2"/>
        <v>9.2000004000000004</v>
      </c>
    </row>
    <row r="26" spans="2:17" ht="15">
      <c r="B26" s="115">
        <f t="shared" si="0"/>
        <v>19</v>
      </c>
      <c r="C26" s="126" t="s">
        <v>196</v>
      </c>
      <c r="D26" s="119" t="s">
        <v>198</v>
      </c>
      <c r="E26" s="123"/>
      <c r="F26" s="117"/>
      <c r="G26" s="117"/>
      <c r="H26" s="117"/>
      <c r="I26" s="117"/>
      <c r="J26" s="117"/>
      <c r="K26" s="117"/>
      <c r="L26" s="117"/>
      <c r="M26" s="118"/>
      <c r="N26" s="118"/>
      <c r="O26" s="118"/>
      <c r="P26" s="118"/>
      <c r="Q26" s="125"/>
    </row>
    <row r="27" spans="2:17" ht="33">
      <c r="B27" s="186"/>
      <c r="C27" s="187" t="s">
        <v>370</v>
      </c>
      <c r="D27" s="188" t="s">
        <v>198</v>
      </c>
      <c r="E27" s="189"/>
      <c r="F27" s="182"/>
      <c r="G27" s="182"/>
      <c r="H27" s="182"/>
      <c r="I27" s="182"/>
      <c r="J27" s="182"/>
      <c r="K27" s="182"/>
      <c r="L27" s="182"/>
      <c r="M27" s="183"/>
      <c r="N27" s="183"/>
      <c r="O27" s="183"/>
      <c r="P27" s="183"/>
      <c r="Q27" s="190">
        <v>0</v>
      </c>
    </row>
    <row r="28" spans="2:17" ht="33">
      <c r="B28" s="186"/>
      <c r="C28" s="187" t="s">
        <v>371</v>
      </c>
      <c r="D28" s="188" t="s">
        <v>198</v>
      </c>
      <c r="E28" s="189"/>
      <c r="F28" s="182"/>
      <c r="G28" s="182"/>
      <c r="H28" s="182"/>
      <c r="I28" s="182"/>
      <c r="J28" s="182"/>
      <c r="K28" s="182"/>
      <c r="L28" s="182"/>
      <c r="M28" s="183"/>
      <c r="N28" s="183"/>
      <c r="O28" s="183"/>
      <c r="P28" s="183"/>
      <c r="Q28" s="190">
        <v>0.22000000000000078</v>
      </c>
    </row>
    <row r="29" spans="2:17" ht="16.5">
      <c r="B29" s="186"/>
      <c r="C29" s="187" t="s">
        <v>93</v>
      </c>
      <c r="D29" s="188" t="s">
        <v>198</v>
      </c>
      <c r="E29" s="189"/>
      <c r="F29" s="182"/>
      <c r="G29" s="182"/>
      <c r="H29" s="182"/>
      <c r="I29" s="182"/>
      <c r="J29" s="182"/>
      <c r="K29" s="182"/>
      <c r="L29" s="182"/>
      <c r="M29" s="183"/>
      <c r="N29" s="183"/>
      <c r="O29" s="183"/>
      <c r="P29" s="183"/>
      <c r="Q29" s="190">
        <v>0.43223667831651891</v>
      </c>
    </row>
    <row r="30" spans="2:17" ht="15">
      <c r="B30" s="119">
        <f>B26+1</f>
        <v>20</v>
      </c>
      <c r="C30" s="109" t="s">
        <v>163</v>
      </c>
      <c r="D30" s="119" t="s">
        <v>198</v>
      </c>
      <c r="E30" s="132">
        <f>E25+E26</f>
        <v>0.76666670000000003</v>
      </c>
      <c r="F30" s="132">
        <f t="shared" ref="F30:P30" si="3">F25+F26</f>
        <v>0.76666670000000003</v>
      </c>
      <c r="G30" s="132">
        <f t="shared" si="3"/>
        <v>0.76666670000000003</v>
      </c>
      <c r="H30" s="132">
        <f t="shared" si="3"/>
        <v>0.76666670000000003</v>
      </c>
      <c r="I30" s="132">
        <f t="shared" si="3"/>
        <v>0.76666670000000003</v>
      </c>
      <c r="J30" s="132">
        <f t="shared" si="3"/>
        <v>0.76666670000000003</v>
      </c>
      <c r="K30" s="132">
        <f t="shared" si="3"/>
        <v>0.76666670000000003</v>
      </c>
      <c r="L30" s="132">
        <f t="shared" si="3"/>
        <v>0.76666670000000003</v>
      </c>
      <c r="M30" s="132">
        <f t="shared" si="3"/>
        <v>0.76666670000000003</v>
      </c>
      <c r="N30" s="132">
        <f t="shared" si="3"/>
        <v>0.76666670000000003</v>
      </c>
      <c r="O30" s="132">
        <f t="shared" si="3"/>
        <v>0.76666670000000003</v>
      </c>
      <c r="P30" s="132">
        <f t="shared" si="3"/>
        <v>0.76666670000000003</v>
      </c>
      <c r="Q30" s="132">
        <f>Q25+Q26+Q27+Q28+Q29</f>
        <v>9.8522370783165201</v>
      </c>
    </row>
    <row r="31" spans="2:17" ht="15">
      <c r="B31" s="119">
        <f>B30+1</f>
        <v>21</v>
      </c>
      <c r="C31" s="109" t="s">
        <v>199</v>
      </c>
      <c r="D31" s="119" t="s">
        <v>198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7"/>
    </row>
  </sheetData>
  <mergeCells count="2"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F11" sqref="F11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33" t="s">
        <v>381</v>
      </c>
      <c r="C2" s="233"/>
      <c r="D2" s="234"/>
      <c r="E2" s="234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33" t="s">
        <v>382</v>
      </c>
      <c r="C3" s="233"/>
      <c r="D3" s="234"/>
      <c r="E3" s="234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35" t="s">
        <v>330</v>
      </c>
      <c r="C4" s="235"/>
      <c r="D4" s="236"/>
      <c r="E4" s="236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4" t="s">
        <v>332</v>
      </c>
    </row>
    <row r="6" spans="2:15" ht="15.75">
      <c r="N6" s="7"/>
    </row>
    <row r="7" spans="2:15" ht="15.75">
      <c r="B7" s="17" t="s">
        <v>186</v>
      </c>
      <c r="C7" s="17" t="s">
        <v>331</v>
      </c>
      <c r="D7" s="18" t="s">
        <v>7</v>
      </c>
      <c r="E7" s="18" t="s">
        <v>333</v>
      </c>
    </row>
    <row r="8" spans="2:15">
      <c r="B8" s="8">
        <v>1</v>
      </c>
      <c r="C8" s="8" t="s">
        <v>6</v>
      </c>
      <c r="D8" s="9" t="s">
        <v>335</v>
      </c>
      <c r="E8" s="10"/>
    </row>
    <row r="9" spans="2:15">
      <c r="B9" s="8">
        <f>B8+1</f>
        <v>2</v>
      </c>
      <c r="C9" s="8" t="s">
        <v>275</v>
      </c>
      <c r="D9" s="9" t="s">
        <v>337</v>
      </c>
      <c r="E9" s="10"/>
    </row>
    <row r="10" spans="2:15">
      <c r="B10" s="8">
        <f>B9+1</f>
        <v>3</v>
      </c>
      <c r="C10" s="8" t="s">
        <v>24</v>
      </c>
      <c r="D10" s="9" t="s">
        <v>338</v>
      </c>
      <c r="E10" s="10"/>
    </row>
    <row r="11" spans="2:15">
      <c r="B11" s="8">
        <f>B10+1</f>
        <v>4</v>
      </c>
      <c r="C11" s="8" t="s">
        <v>25</v>
      </c>
      <c r="D11" s="9" t="s">
        <v>339</v>
      </c>
      <c r="E11" s="10"/>
    </row>
    <row r="12" spans="2:15">
      <c r="B12" s="8">
        <f>B11+1</f>
        <v>5</v>
      </c>
      <c r="C12" s="8" t="s">
        <v>276</v>
      </c>
      <c r="D12" s="9" t="s">
        <v>340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341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342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294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343</v>
      </c>
      <c r="E22" s="10"/>
    </row>
    <row r="23" spans="2:5">
      <c r="B23" s="8">
        <f t="shared" si="0"/>
        <v>16</v>
      </c>
      <c r="C23" s="8" t="s">
        <v>35</v>
      </c>
      <c r="D23" s="9" t="s">
        <v>344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345</v>
      </c>
      <c r="E25" s="10"/>
    </row>
    <row r="26" spans="2:5">
      <c r="B26" s="8">
        <f t="shared" si="0"/>
        <v>19</v>
      </c>
      <c r="C26" s="8" t="s">
        <v>334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346</v>
      </c>
      <c r="E27" s="10"/>
    </row>
    <row r="28" spans="2:5">
      <c r="B28" s="8">
        <f t="shared" si="0"/>
        <v>21</v>
      </c>
      <c r="C28" s="8" t="s">
        <v>214</v>
      </c>
      <c r="D28" s="11" t="s">
        <v>347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353</v>
      </c>
      <c r="D30" s="9" t="s">
        <v>361</v>
      </c>
      <c r="E30" s="10"/>
    </row>
    <row r="31" spans="2:5">
      <c r="B31" s="8">
        <f>B30+1</f>
        <v>23</v>
      </c>
      <c r="C31" s="8" t="s">
        <v>354</v>
      </c>
      <c r="D31" s="9" t="s">
        <v>362</v>
      </c>
      <c r="E31" s="10"/>
    </row>
    <row r="32" spans="2:5">
      <c r="B32" s="8">
        <f>B31+1</f>
        <v>24</v>
      </c>
      <c r="C32" s="8" t="s">
        <v>351</v>
      </c>
      <c r="D32" s="9" t="s">
        <v>178</v>
      </c>
      <c r="E32" s="10"/>
    </row>
    <row r="33" spans="2:5">
      <c r="B33" s="8">
        <f t="shared" si="0"/>
        <v>25</v>
      </c>
      <c r="C33" s="8" t="s">
        <v>352</v>
      </c>
      <c r="D33" s="9" t="s">
        <v>179</v>
      </c>
      <c r="E33" s="10"/>
    </row>
    <row r="34" spans="2:5">
      <c r="B34" s="8">
        <f t="shared" si="0"/>
        <v>26</v>
      </c>
      <c r="C34" s="8" t="s">
        <v>355</v>
      </c>
      <c r="D34" s="9" t="s">
        <v>180</v>
      </c>
      <c r="E34" s="10"/>
    </row>
    <row r="35" spans="2:5">
      <c r="B35" s="8">
        <f t="shared" si="0"/>
        <v>27</v>
      </c>
      <c r="C35" s="8" t="s">
        <v>356</v>
      </c>
      <c r="D35" s="9" t="s">
        <v>181</v>
      </c>
      <c r="E35" s="10"/>
    </row>
    <row r="36" spans="2:5">
      <c r="B36" s="8">
        <f t="shared" si="0"/>
        <v>28</v>
      </c>
      <c r="C36" s="8" t="s">
        <v>357</v>
      </c>
      <c r="D36" s="9" t="s">
        <v>200</v>
      </c>
      <c r="E36" s="10"/>
    </row>
    <row r="37" spans="2:5">
      <c r="B37" s="8">
        <f t="shared" si="0"/>
        <v>29</v>
      </c>
      <c r="C37" s="8" t="s">
        <v>358</v>
      </c>
      <c r="D37" s="9" t="s">
        <v>182</v>
      </c>
      <c r="E37" s="10"/>
    </row>
    <row r="38" spans="2:5">
      <c r="B38" s="8">
        <f t="shared" si="0"/>
        <v>30</v>
      </c>
      <c r="C38" s="8" t="s">
        <v>359</v>
      </c>
      <c r="D38" s="9" t="s">
        <v>348</v>
      </c>
      <c r="E38" s="10"/>
    </row>
    <row r="39" spans="2:5">
      <c r="B39" s="8">
        <f t="shared" si="0"/>
        <v>31</v>
      </c>
      <c r="C39" s="8" t="s">
        <v>360</v>
      </c>
      <c r="D39" s="9" t="s">
        <v>349</v>
      </c>
      <c r="E39" s="10"/>
    </row>
    <row r="41" spans="2:5" ht="15.75">
      <c r="B41" s="16" t="s">
        <v>350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5"/>
  <sheetViews>
    <sheetView showGridLines="0" view="pageBreakPreview" zoomScale="60" zoomScaleNormal="80" workbookViewId="0">
      <selection activeCell="G32" sqref="G32"/>
    </sheetView>
  </sheetViews>
  <sheetFormatPr defaultColWidth="9.28515625" defaultRowHeight="15"/>
  <cols>
    <col min="1" max="1" width="3" style="6" customWidth="1"/>
    <col min="2" max="2" width="6.28515625" style="6" customWidth="1"/>
    <col min="3" max="3" width="37.28515625" style="6" customWidth="1"/>
    <col min="4" max="4" width="14.28515625" style="6" customWidth="1"/>
    <col min="5" max="5" width="11.5703125" style="6" customWidth="1"/>
    <col min="6" max="6" width="13.85546875" style="6" customWidth="1"/>
    <col min="7" max="7" width="13.140625" style="6" customWidth="1"/>
    <col min="8" max="8" width="14.140625" style="6" customWidth="1"/>
    <col min="9" max="9" width="15.5703125" style="6" customWidth="1"/>
    <col min="10" max="10" width="13.85546875" style="6" customWidth="1"/>
    <col min="11" max="11" width="12.42578125" style="6" customWidth="1"/>
    <col min="12" max="12" width="11.42578125" style="6" customWidth="1"/>
    <col min="13" max="13" width="13.5703125" style="6" customWidth="1"/>
    <col min="14" max="14" width="11.85546875" style="6" customWidth="1"/>
    <col min="15" max="15" width="12" style="6" customWidth="1"/>
    <col min="16" max="16" width="15.7109375" style="6" customWidth="1"/>
    <col min="17" max="17" width="0" style="6" hidden="1" customWidth="1"/>
    <col min="18" max="16384" width="9.28515625" style="6"/>
  </cols>
  <sheetData>
    <row r="2" spans="2:17"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</row>
    <row r="3" spans="2:17" ht="15.75">
      <c r="B3" s="233" t="s">
        <v>403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</row>
    <row r="4" spans="2:17" s="15" customFormat="1" ht="15.75">
      <c r="B4" s="233" t="s">
        <v>382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</row>
    <row r="5" spans="2:17" ht="15.75">
      <c r="B5" s="233" t="s">
        <v>411</v>
      </c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</row>
    <row r="7" spans="2:17" ht="12.75" customHeight="1">
      <c r="B7" s="240" t="s">
        <v>186</v>
      </c>
      <c r="C7" s="243" t="s">
        <v>18</v>
      </c>
      <c r="D7" s="237" t="s">
        <v>39</v>
      </c>
      <c r="E7" s="243" t="s">
        <v>1</v>
      </c>
      <c r="F7" s="247" t="s">
        <v>383</v>
      </c>
      <c r="G7" s="248"/>
      <c r="H7" s="249"/>
      <c r="I7" s="247" t="s">
        <v>384</v>
      </c>
      <c r="J7" s="248"/>
      <c r="K7" s="245" t="s">
        <v>225</v>
      </c>
      <c r="L7" s="245"/>
      <c r="M7" s="245"/>
      <c r="N7" s="245"/>
      <c r="O7" s="245"/>
      <c r="P7" s="245" t="s">
        <v>11</v>
      </c>
    </row>
    <row r="8" spans="2:17" ht="30" customHeight="1">
      <c r="B8" s="241"/>
      <c r="C8" s="243"/>
      <c r="D8" s="238"/>
      <c r="E8" s="243"/>
      <c r="F8" s="211" t="s">
        <v>328</v>
      </c>
      <c r="G8" s="211" t="s">
        <v>233</v>
      </c>
      <c r="H8" s="211" t="s">
        <v>201</v>
      </c>
      <c r="I8" s="211" t="s">
        <v>328</v>
      </c>
      <c r="J8" s="211" t="s">
        <v>237</v>
      </c>
      <c r="K8" s="211" t="s">
        <v>385</v>
      </c>
      <c r="L8" s="211" t="s">
        <v>386</v>
      </c>
      <c r="M8" s="211" t="s">
        <v>387</v>
      </c>
      <c r="N8" s="211" t="s">
        <v>388</v>
      </c>
      <c r="O8" s="211" t="s">
        <v>389</v>
      </c>
      <c r="P8" s="245"/>
    </row>
    <row r="9" spans="2:17" ht="31.5">
      <c r="B9" s="242"/>
      <c r="C9" s="244"/>
      <c r="D9" s="239"/>
      <c r="E9" s="244"/>
      <c r="F9" s="211" t="s">
        <v>10</v>
      </c>
      <c r="G9" s="211" t="s">
        <v>12</v>
      </c>
      <c r="H9" s="211" t="s">
        <v>234</v>
      </c>
      <c r="I9" s="211" t="s">
        <v>10</v>
      </c>
      <c r="J9" s="211" t="s">
        <v>5</v>
      </c>
      <c r="K9" s="211" t="s">
        <v>8</v>
      </c>
      <c r="L9" s="211" t="s">
        <v>8</v>
      </c>
      <c r="M9" s="211" t="s">
        <v>8</v>
      </c>
      <c r="N9" s="211" t="s">
        <v>8</v>
      </c>
      <c r="O9" s="211" t="s">
        <v>8</v>
      </c>
      <c r="P9" s="246"/>
    </row>
    <row r="10" spans="2:17" ht="15.75">
      <c r="B10" s="212" t="s">
        <v>55</v>
      </c>
      <c r="C10" s="213" t="s">
        <v>240</v>
      </c>
      <c r="D10" s="214"/>
      <c r="E10" s="214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5"/>
    </row>
    <row r="11" spans="2:17" ht="15.75">
      <c r="B11" s="8">
        <v>1</v>
      </c>
      <c r="C11" s="9" t="s">
        <v>36</v>
      </c>
      <c r="D11" s="8" t="s">
        <v>198</v>
      </c>
      <c r="E11" s="216" t="s">
        <v>275</v>
      </c>
      <c r="F11" s="217">
        <f>'F2'!E14</f>
        <v>6.4033199999999999</v>
      </c>
      <c r="G11" s="217">
        <f>'F2'!F14</f>
        <v>14.177981153018777</v>
      </c>
      <c r="H11" s="217">
        <f>'F2'!G14</f>
        <v>14.177981153018777</v>
      </c>
      <c r="I11" s="217">
        <f>'F2'!H14</f>
        <v>6.6429000000000009</v>
      </c>
      <c r="J11" s="217">
        <f>'F2'!I14</f>
        <v>8.4267885145441213</v>
      </c>
      <c r="K11" s="217">
        <f>'F2'!J14</f>
        <v>10.432138153841841</v>
      </c>
      <c r="L11" s="217">
        <f>'F2'!K14</f>
        <v>11.190119316611932</v>
      </c>
      <c r="M11" s="217">
        <f>'F2'!L14</f>
        <v>12.018681861187552</v>
      </c>
      <c r="N11" s="217">
        <f>'F2'!M14</f>
        <v>12.657172331871053</v>
      </c>
      <c r="O11" s="217">
        <f>'F2'!N14</f>
        <v>13.332503425942532</v>
      </c>
      <c r="P11" s="218"/>
      <c r="Q11" s="226">
        <f>SUM(K11:O11)</f>
        <v>59.630615089454913</v>
      </c>
    </row>
    <row r="12" spans="2:17" ht="15.75">
      <c r="B12" s="8">
        <f t="shared" ref="B12:B17" si="0">B11+1</f>
        <v>2</v>
      </c>
      <c r="C12" s="11" t="s">
        <v>157</v>
      </c>
      <c r="D12" s="8" t="s">
        <v>198</v>
      </c>
      <c r="E12" s="216" t="s">
        <v>23</v>
      </c>
      <c r="F12" s="219">
        <v>0.9</v>
      </c>
      <c r="G12" s="219">
        <f>H12</f>
        <v>0.36759090909090925</v>
      </c>
      <c r="H12" s="217">
        <f>'F4'!K21-'F4'!L21</f>
        <v>0.36759090909090925</v>
      </c>
      <c r="I12" s="218">
        <v>0.9</v>
      </c>
      <c r="J12" s="217">
        <f>'F4'!K30-'F4'!L30</f>
        <v>0.36769827523376636</v>
      </c>
      <c r="K12" s="217">
        <f>'F4'!K39-'F4'!L39</f>
        <v>0.36994827523376639</v>
      </c>
      <c r="L12" s="217">
        <f>'F4'!K48-'F4'!L48</f>
        <v>0.8928956436548191</v>
      </c>
      <c r="M12" s="217">
        <f>'F4'!K57-'F4'!L57</f>
        <v>1.555895643654819</v>
      </c>
      <c r="N12" s="217">
        <f>'F4'!K66-'F4'!L66</f>
        <v>1.5558956436548192</v>
      </c>
      <c r="O12" s="217">
        <f>'F4'!K75-'F4'!L75</f>
        <v>1.5558956436548192</v>
      </c>
      <c r="P12" s="218"/>
      <c r="Q12" s="226">
        <f t="shared" ref="Q12:Q17" si="1">SUM(K12:O12)</f>
        <v>5.930530849853044</v>
      </c>
    </row>
    <row r="13" spans="2:17" ht="15.75">
      <c r="B13" s="8">
        <f t="shared" si="0"/>
        <v>3</v>
      </c>
      <c r="C13" s="9" t="s">
        <v>238</v>
      </c>
      <c r="D13" s="8" t="s">
        <v>198</v>
      </c>
      <c r="E13" s="10" t="s">
        <v>29</v>
      </c>
      <c r="F13" s="217">
        <f>'F5'!D22</f>
        <v>0.11</v>
      </c>
      <c r="G13" s="217">
        <f>'F5'!E22</f>
        <v>0.20715056818181832</v>
      </c>
      <c r="H13" s="217">
        <f>'F5'!F22</f>
        <v>0.20715056818181832</v>
      </c>
      <c r="I13" s="217">
        <f>'F5'!G22</f>
        <v>0</v>
      </c>
      <c r="J13" s="217">
        <f>'F5'!J22</f>
        <v>0.16353874416152589</v>
      </c>
      <c r="K13" s="217">
        <f>'F5'!K22</f>
        <v>0.60277958475730498</v>
      </c>
      <c r="L13" s="217">
        <f>'F5'!L22</f>
        <v>1.5869768398267683</v>
      </c>
      <c r="M13" s="217">
        <f>'F5'!M22</f>
        <v>2.0140523843699163</v>
      </c>
      <c r="N13" s="217">
        <f>'F5'!N22</f>
        <v>1.8195654289130641</v>
      </c>
      <c r="O13" s="217">
        <f>'F5'!O22</f>
        <v>1.6250784734562118</v>
      </c>
      <c r="P13" s="218"/>
      <c r="Q13" s="226">
        <f t="shared" si="1"/>
        <v>7.6484527113232659</v>
      </c>
    </row>
    <row r="14" spans="2:17" ht="15.75">
      <c r="B14" s="8">
        <f t="shared" si="0"/>
        <v>4</v>
      </c>
      <c r="C14" s="11" t="s">
        <v>37</v>
      </c>
      <c r="D14" s="8" t="s">
        <v>198</v>
      </c>
      <c r="E14" s="10" t="s">
        <v>30</v>
      </c>
      <c r="F14" s="217">
        <f>'F6'!D20</f>
        <v>0.28000000000000003</v>
      </c>
      <c r="G14" s="217">
        <f ca="1">'F6'!E20</f>
        <v>0.58412562694183934</v>
      </c>
      <c r="H14" s="217">
        <f ca="1">'F6'!F20</f>
        <v>0.58412562694183934</v>
      </c>
      <c r="I14" s="217">
        <f>'F6'!G20</f>
        <v>0.28999999999999998</v>
      </c>
      <c r="J14" s="217">
        <f ca="1">'F6'!H20</f>
        <v>0.38783242521408617</v>
      </c>
      <c r="K14" s="217">
        <f ca="1">'F6'!I20</f>
        <v>0.295007813012159</v>
      </c>
      <c r="L14" s="217">
        <f ca="1">'F6'!J20</f>
        <v>0.35111967077143164</v>
      </c>
      <c r="M14" s="217">
        <f ca="1">'F6'!K20</f>
        <v>0.40138046534483734</v>
      </c>
      <c r="N14" s="217">
        <f ca="1">'F6'!L20</f>
        <v>0.41247600297028719</v>
      </c>
      <c r="O14" s="217">
        <f ca="1">'F6'!M20</f>
        <v>0.42435395421522232</v>
      </c>
      <c r="P14" s="218"/>
      <c r="Q14" s="226">
        <f t="shared" ca="1" si="1"/>
        <v>1.8843379063139376</v>
      </c>
    </row>
    <row r="15" spans="2:17" ht="15.75">
      <c r="B15" s="8">
        <f t="shared" si="0"/>
        <v>5</v>
      </c>
      <c r="C15" s="9" t="s">
        <v>239</v>
      </c>
      <c r="D15" s="8" t="s">
        <v>198</v>
      </c>
      <c r="E15" s="10" t="s">
        <v>31</v>
      </c>
      <c r="F15" s="217">
        <f>'F7'!D22</f>
        <v>1.76</v>
      </c>
      <c r="G15" s="217">
        <f>'F7'!E22</f>
        <v>1.9406069595894804</v>
      </c>
      <c r="H15" s="217">
        <f>'F7'!F22</f>
        <v>1.9406069595894804</v>
      </c>
      <c r="I15" s="217">
        <f>'F7'!G22</f>
        <v>1.76</v>
      </c>
      <c r="J15" s="217">
        <f>'F7'!H22</f>
        <v>1.9419015260850971</v>
      </c>
      <c r="K15" s="217">
        <f>'F7'!I22</f>
        <v>2.2862044312593537</v>
      </c>
      <c r="L15" s="217">
        <f>'F7'!J22</f>
        <v>3.0411956115030998</v>
      </c>
      <c r="M15" s="217">
        <f>'F7'!K22</f>
        <v>3.4531784530682055</v>
      </c>
      <c r="N15" s="217">
        <f>'F7'!L22</f>
        <v>3.4531784530682055</v>
      </c>
      <c r="O15" s="217">
        <f>'F7'!M22</f>
        <v>3.4531784530682055</v>
      </c>
      <c r="P15" s="218"/>
      <c r="Q15" s="226">
        <f t="shared" si="1"/>
        <v>15.686935401967069</v>
      </c>
    </row>
    <row r="16" spans="2:17" ht="15.75">
      <c r="B16" s="8">
        <f t="shared" si="0"/>
        <v>6</v>
      </c>
      <c r="C16" s="9" t="s">
        <v>38</v>
      </c>
      <c r="D16" s="8" t="s">
        <v>198</v>
      </c>
      <c r="E16" s="10" t="s">
        <v>32</v>
      </c>
      <c r="F16" s="217"/>
      <c r="G16" s="217">
        <f>'F8'!E22</f>
        <v>0.12211110481179835</v>
      </c>
      <c r="H16" s="217">
        <f>'F8'!F22</f>
        <v>0.12211110481179835</v>
      </c>
      <c r="I16" s="228"/>
      <c r="J16" s="217">
        <f>'F8'!H22</f>
        <v>3.5371543164791172E-2</v>
      </c>
      <c r="K16" s="217">
        <f>'F8'!I22</f>
        <v>9.482029441058977E-2</v>
      </c>
      <c r="L16" s="217">
        <f>'F8'!J22</f>
        <v>9.8613106187013327E-2</v>
      </c>
      <c r="M16" s="217">
        <f>'F8'!K22</f>
        <v>0.1025576304344939</v>
      </c>
      <c r="N16" s="217">
        <f>'F8'!L22</f>
        <v>0.10665993565187366</v>
      </c>
      <c r="O16" s="217">
        <f>'F8'!M22</f>
        <v>0.11092633307794861</v>
      </c>
      <c r="P16" s="218"/>
      <c r="Q16" s="226">
        <f t="shared" si="1"/>
        <v>0.51357729976191924</v>
      </c>
    </row>
    <row r="17" spans="2:17" ht="15.75">
      <c r="B17" s="18">
        <f t="shared" si="0"/>
        <v>7</v>
      </c>
      <c r="C17" s="220" t="s">
        <v>240</v>
      </c>
      <c r="D17" s="18" t="s">
        <v>198</v>
      </c>
      <c r="E17" s="10"/>
      <c r="F17" s="217">
        <f>SUM(F11:F15)-F16</f>
        <v>9.4533200000000015</v>
      </c>
      <c r="G17" s="217">
        <f t="shared" ref="G17:O17" ca="1" si="2">SUM(G11:G15)-G16</f>
        <v>17.155344112011026</v>
      </c>
      <c r="H17" s="217">
        <f t="shared" ca="1" si="2"/>
        <v>17.155344112011026</v>
      </c>
      <c r="I17" s="217">
        <f t="shared" si="2"/>
        <v>9.592900000000002</v>
      </c>
      <c r="J17" s="217">
        <f t="shared" ca="1" si="2"/>
        <v>11.252387942073806</v>
      </c>
      <c r="K17" s="217">
        <f t="shared" ca="1" si="2"/>
        <v>13.891257963693835</v>
      </c>
      <c r="L17" s="217">
        <f t="shared" ca="1" si="2"/>
        <v>16.963693976181037</v>
      </c>
      <c r="M17" s="217">
        <f t="shared" ca="1" si="2"/>
        <v>19.34063117719084</v>
      </c>
      <c r="N17" s="217">
        <f t="shared" ca="1" si="2"/>
        <v>19.791627924825555</v>
      </c>
      <c r="O17" s="217">
        <f t="shared" ca="1" si="2"/>
        <v>20.280083617259042</v>
      </c>
      <c r="P17" s="218"/>
      <c r="Q17" s="226">
        <f t="shared" ca="1" si="1"/>
        <v>90.267294659150309</v>
      </c>
    </row>
    <row r="18" spans="2:17" ht="15.75">
      <c r="B18" s="18" t="s">
        <v>59</v>
      </c>
      <c r="C18" s="18" t="s">
        <v>241</v>
      </c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2:17" ht="15.75">
      <c r="B19" s="8">
        <v>1</v>
      </c>
      <c r="C19" s="10" t="s">
        <v>242</v>
      </c>
      <c r="D19" s="8" t="s">
        <v>197</v>
      </c>
      <c r="E19" s="10" t="s">
        <v>153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9"/>
    </row>
    <row r="20" spans="2:17" ht="15.75">
      <c r="B20" s="8">
        <f>B19+1</f>
        <v>2</v>
      </c>
      <c r="C20" s="10" t="s">
        <v>243</v>
      </c>
      <c r="D20" s="8" t="s">
        <v>42</v>
      </c>
      <c r="E20" s="10" t="s">
        <v>34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9"/>
    </row>
    <row r="21" spans="2:17" ht="15.75">
      <c r="B21" s="8">
        <f>B20+1</f>
        <v>3</v>
      </c>
      <c r="C21" s="10" t="s">
        <v>241</v>
      </c>
      <c r="D21" s="8" t="s">
        <v>198</v>
      </c>
      <c r="E21" s="10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9"/>
    </row>
    <row r="22" spans="2:17" ht="15.75">
      <c r="B22" s="18" t="s">
        <v>60</v>
      </c>
      <c r="C22" s="18" t="s">
        <v>364</v>
      </c>
      <c r="D22" s="8" t="s">
        <v>198</v>
      </c>
      <c r="E22" s="9"/>
      <c r="F22" s="217">
        <f>F17+F21</f>
        <v>9.4533200000000015</v>
      </c>
      <c r="G22" s="217">
        <f t="shared" ref="G22:O22" ca="1" si="3">G17+G21</f>
        <v>17.155344112011026</v>
      </c>
      <c r="H22" s="217">
        <f t="shared" ca="1" si="3"/>
        <v>17.155344112011026</v>
      </c>
      <c r="I22" s="217">
        <f t="shared" si="3"/>
        <v>9.592900000000002</v>
      </c>
      <c r="J22" s="217">
        <f t="shared" ca="1" si="3"/>
        <v>11.252387942073806</v>
      </c>
      <c r="K22" s="217">
        <f t="shared" ca="1" si="3"/>
        <v>13.891257963693835</v>
      </c>
      <c r="L22" s="217">
        <f t="shared" ca="1" si="3"/>
        <v>16.963693976181037</v>
      </c>
      <c r="M22" s="217">
        <f t="shared" ca="1" si="3"/>
        <v>19.34063117719084</v>
      </c>
      <c r="N22" s="217">
        <f t="shared" ca="1" si="3"/>
        <v>19.791627924825555</v>
      </c>
      <c r="O22" s="217">
        <f t="shared" ca="1" si="3"/>
        <v>20.280083617259042</v>
      </c>
      <c r="P22" s="9"/>
    </row>
    <row r="23" spans="2:17" hidden="1">
      <c r="F23" s="226">
        <f>SUM(F17+F16)</f>
        <v>9.4533200000000015</v>
      </c>
      <c r="G23" s="226">
        <f t="shared" ref="G23:O23" ca="1" si="4">SUM(G17+G16)</f>
        <v>17.277455216822823</v>
      </c>
      <c r="H23" s="226">
        <f t="shared" ca="1" si="4"/>
        <v>17.277455216822823</v>
      </c>
      <c r="I23" s="226">
        <f t="shared" si="4"/>
        <v>9.592900000000002</v>
      </c>
      <c r="J23" s="226">
        <f t="shared" ca="1" si="4"/>
        <v>11.287759485238597</v>
      </c>
      <c r="K23" s="226">
        <f t="shared" ca="1" si="4"/>
        <v>13.986078258104426</v>
      </c>
      <c r="L23" s="226">
        <f t="shared" ca="1" si="4"/>
        <v>17.062307082368051</v>
      </c>
      <c r="M23" s="226">
        <f t="shared" ca="1" si="4"/>
        <v>19.443188807625333</v>
      </c>
      <c r="N23" s="226">
        <f t="shared" ca="1" si="4"/>
        <v>19.898287860477428</v>
      </c>
      <c r="O23" s="226">
        <f t="shared" ca="1" si="4"/>
        <v>20.39100995033699</v>
      </c>
    </row>
    <row r="25" spans="2:17">
      <c r="G25" s="229"/>
    </row>
  </sheetData>
  <mergeCells count="11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view="pageBreakPreview" zoomScale="80" zoomScaleNormal="80" zoomScaleSheetLayoutView="80" workbookViewId="0">
      <selection activeCell="B4" sqref="B4:N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38"/>
      <c r="D1" s="38"/>
      <c r="E1" s="38"/>
      <c r="F1" s="38"/>
      <c r="G1" s="38"/>
      <c r="I1" s="36"/>
      <c r="J1" s="38"/>
    </row>
    <row r="2" spans="2:14" ht="15">
      <c r="B2" s="250" t="s">
        <v>381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</row>
    <row r="3" spans="2:14" ht="15">
      <c r="B3" s="250" t="s">
        <v>382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</row>
    <row r="4" spans="2:14" ht="15">
      <c r="B4" s="251" t="s">
        <v>336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</row>
    <row r="5" spans="2:14" ht="15">
      <c r="B5" s="37"/>
      <c r="C5" s="37"/>
      <c r="D5" s="37"/>
      <c r="E5" s="37"/>
      <c r="F5" s="37"/>
      <c r="G5" s="37"/>
      <c r="H5" s="37"/>
      <c r="I5" s="37"/>
      <c r="J5" s="37"/>
    </row>
    <row r="6" spans="2:14" ht="15">
      <c r="B6" s="252" t="s">
        <v>56</v>
      </c>
      <c r="C6" s="252"/>
      <c r="D6" s="252"/>
      <c r="E6" s="252"/>
      <c r="F6" s="252"/>
      <c r="G6" s="252"/>
      <c r="H6" s="252"/>
      <c r="I6" s="252"/>
      <c r="J6" s="252"/>
    </row>
    <row r="7" spans="2:14" ht="15">
      <c r="N7" s="28" t="s">
        <v>4</v>
      </c>
    </row>
    <row r="8" spans="2:14" ht="13.9" customHeight="1">
      <c r="B8" s="253" t="s">
        <v>186</v>
      </c>
      <c r="C8" s="253" t="s">
        <v>18</v>
      </c>
      <c r="D8" s="258" t="s">
        <v>1</v>
      </c>
      <c r="E8" s="255" t="s">
        <v>383</v>
      </c>
      <c r="F8" s="256"/>
      <c r="G8" s="257"/>
      <c r="H8" s="255" t="s">
        <v>384</v>
      </c>
      <c r="I8" s="256"/>
      <c r="J8" s="254" t="s">
        <v>225</v>
      </c>
      <c r="K8" s="254"/>
      <c r="L8" s="254"/>
      <c r="M8" s="254"/>
      <c r="N8" s="254"/>
    </row>
    <row r="9" spans="2:14" ht="30">
      <c r="B9" s="253"/>
      <c r="C9" s="253"/>
      <c r="D9" s="259"/>
      <c r="E9" s="21" t="s">
        <v>328</v>
      </c>
      <c r="F9" s="21" t="s">
        <v>245</v>
      </c>
      <c r="G9" s="21" t="s">
        <v>201</v>
      </c>
      <c r="H9" s="21" t="s">
        <v>328</v>
      </c>
      <c r="I9" s="21" t="s">
        <v>244</v>
      </c>
      <c r="J9" s="21" t="s">
        <v>385</v>
      </c>
      <c r="K9" s="21" t="s">
        <v>386</v>
      </c>
      <c r="L9" s="21" t="s">
        <v>387</v>
      </c>
      <c r="M9" s="21" t="s">
        <v>388</v>
      </c>
      <c r="N9" s="21" t="s">
        <v>389</v>
      </c>
    </row>
    <row r="10" spans="2:14" ht="15">
      <c r="B10" s="253"/>
      <c r="C10" s="253"/>
      <c r="D10" s="260"/>
      <c r="E10" s="21" t="s">
        <v>10</v>
      </c>
      <c r="F10" s="21" t="s">
        <v>12</v>
      </c>
      <c r="G10" s="21" t="s">
        <v>234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3">
        <v>1</v>
      </c>
      <c r="C11" s="31" t="s">
        <v>57</v>
      </c>
      <c r="D11" s="31" t="s">
        <v>24</v>
      </c>
      <c r="E11" s="165">
        <v>6</v>
      </c>
      <c r="F11" s="180">
        <f>F2.1!G36</f>
        <v>13.384993424864529</v>
      </c>
      <c r="G11" s="180">
        <f>F11</f>
        <v>13.384993424864529</v>
      </c>
      <c r="H11" s="128">
        <v>6.24</v>
      </c>
      <c r="I11" s="180">
        <f>F2.1!H36</f>
        <v>7.9155689597210905</v>
      </c>
      <c r="J11" s="180">
        <f>F2.1!I36</f>
        <v>9.5062710906543604</v>
      </c>
      <c r="K11" s="180">
        <f>F2.1!J36</f>
        <v>10.057634813912314</v>
      </c>
      <c r="L11" s="180">
        <f>F2.1!K36</f>
        <v>10.640977633119228</v>
      </c>
      <c r="M11" s="180">
        <f>F2.1!L36</f>
        <v>11.258154335840143</v>
      </c>
      <c r="N11" s="180">
        <f>F2.1!M36</f>
        <v>11.911127287318871</v>
      </c>
    </row>
    <row r="12" spans="2:14">
      <c r="B12" s="23">
        <f>B11+1</f>
        <v>2</v>
      </c>
      <c r="C12" s="39" t="s">
        <v>246</v>
      </c>
      <c r="D12" s="39" t="s">
        <v>25</v>
      </c>
      <c r="E12" s="167">
        <v>0.15</v>
      </c>
      <c r="F12" s="181">
        <f>F2.2!G40</f>
        <v>0.37997128719605605</v>
      </c>
      <c r="G12" s="180">
        <f>F12</f>
        <v>0.37997128719605605</v>
      </c>
      <c r="H12" s="128">
        <v>0.15</v>
      </c>
      <c r="I12" s="180">
        <f>F2.2!H40</f>
        <v>0.22773898058245112</v>
      </c>
      <c r="J12" s="180">
        <f>F2.2!I40</f>
        <v>0.39528758732433045</v>
      </c>
      <c r="K12" s="180">
        <f>F2.2!J40</f>
        <v>0.41465667910322263</v>
      </c>
      <c r="L12" s="180">
        <f>F2.2!K40</f>
        <v>0.43497485637928052</v>
      </c>
      <c r="M12" s="180">
        <f>F2.2!L40</f>
        <v>0.45628862434186523</v>
      </c>
      <c r="N12" s="180">
        <f>F2.2!M40</f>
        <v>0.47864676693461661</v>
      </c>
    </row>
    <row r="13" spans="2:14">
      <c r="B13" s="23">
        <f>B12+1</f>
        <v>3</v>
      </c>
      <c r="C13" s="31" t="s">
        <v>203</v>
      </c>
      <c r="D13" s="31" t="s">
        <v>276</v>
      </c>
      <c r="E13" s="165">
        <v>0.318</v>
      </c>
      <c r="F13" s="180">
        <f>F2.3!G18</f>
        <v>0.41301644095819096</v>
      </c>
      <c r="G13" s="180">
        <f>F13</f>
        <v>0.41301644095819096</v>
      </c>
      <c r="H13" s="128">
        <v>0.32</v>
      </c>
      <c r="I13" s="180">
        <f>F2.3!H18</f>
        <v>0.28348057424057876</v>
      </c>
      <c r="J13" s="180">
        <f>F2.3!I18</f>
        <v>0.53057947586314924</v>
      </c>
      <c r="K13" s="180">
        <f>F2.3!J18</f>
        <v>0.71782782359639552</v>
      </c>
      <c r="L13" s="180">
        <f>F2.3!K18</f>
        <v>0.94272937168904447</v>
      </c>
      <c r="M13" s="180">
        <f>F2.3!L18</f>
        <v>0.94272937168904447</v>
      </c>
      <c r="N13" s="180">
        <f>F2.3!M18</f>
        <v>0.94272937168904447</v>
      </c>
    </row>
    <row r="14" spans="2:14" ht="15">
      <c r="B14" s="23">
        <f>B13+1</f>
        <v>4</v>
      </c>
      <c r="C14" s="31" t="s">
        <v>58</v>
      </c>
      <c r="D14" s="31"/>
      <c r="E14" s="131">
        <f>SUM(E11:E13)*0.99</f>
        <v>6.4033199999999999</v>
      </c>
      <c r="F14" s="131">
        <f t="shared" ref="F14:I14" si="0">SUM(F11:F13)</f>
        <v>14.177981153018777</v>
      </c>
      <c r="G14" s="131">
        <f>SUM(G11:G13)</f>
        <v>14.177981153018777</v>
      </c>
      <c r="H14" s="131">
        <f>SUM(H11:H13)*0.99</f>
        <v>6.6429000000000009</v>
      </c>
      <c r="I14" s="131">
        <f t="shared" si="0"/>
        <v>8.4267885145441213</v>
      </c>
      <c r="J14" s="131">
        <f>SUM(J11:J13)</f>
        <v>10.432138153841841</v>
      </c>
      <c r="K14" s="131">
        <f t="shared" ref="K14:N14" si="1">SUM(K11:K13)</f>
        <v>11.190119316611932</v>
      </c>
      <c r="L14" s="131">
        <f t="shared" si="1"/>
        <v>12.018681861187552</v>
      </c>
      <c r="M14" s="131">
        <f t="shared" si="1"/>
        <v>12.657172331871053</v>
      </c>
      <c r="N14" s="131">
        <f t="shared" si="1"/>
        <v>13.332503425942532</v>
      </c>
    </row>
    <row r="15" spans="2:14">
      <c r="B15" s="51" t="s">
        <v>247</v>
      </c>
      <c r="C15" s="52"/>
      <c r="D15" s="49"/>
      <c r="E15" s="49"/>
      <c r="F15" s="49"/>
      <c r="G15" s="50"/>
      <c r="H15" s="50"/>
      <c r="I15" s="50"/>
      <c r="J15" s="50"/>
      <c r="K15" s="50"/>
      <c r="L15" s="50"/>
      <c r="M15" s="50"/>
      <c r="N15" s="50"/>
    </row>
    <row r="16" spans="2:14">
      <c r="B16" s="53">
        <v>1</v>
      </c>
      <c r="C16" s="52" t="s">
        <v>248</v>
      </c>
    </row>
  </sheetData>
  <mergeCells count="10">
    <mergeCell ref="B2:N2"/>
    <mergeCell ref="B3:N3"/>
    <mergeCell ref="B4:N4"/>
    <mergeCell ref="B6:J6"/>
    <mergeCell ref="B8:B10"/>
    <mergeCell ref="C8:C10"/>
    <mergeCell ref="J8:N8"/>
    <mergeCell ref="H8:I8"/>
    <mergeCell ref="E8:G8"/>
    <mergeCell ref="D8:D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M39"/>
  <sheetViews>
    <sheetView showGridLines="0" view="pageBreakPreview" zoomScale="70" zoomScaleNormal="80" zoomScaleSheetLayoutView="70" workbookViewId="0">
      <selection activeCell="C22" sqref="C22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6.5703125" style="19" customWidth="1"/>
    <col min="4" max="4" width="13.85546875" style="19" customWidth="1"/>
    <col min="5" max="5" width="12.7109375" style="19" customWidth="1"/>
    <col min="6" max="6" width="14.42578125" style="19" customWidth="1"/>
    <col min="7" max="7" width="12.5703125" style="19" customWidth="1"/>
    <col min="8" max="8" width="14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50" t="s">
        <v>405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2:13" ht="15">
      <c r="B3" s="250" t="s">
        <v>406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s="4" customFormat="1" ht="15.75">
      <c r="B4" s="233" t="s">
        <v>412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s="4" customFormat="1" ht="15">
      <c r="C5" s="42"/>
      <c r="D5" s="42"/>
      <c r="E5" s="42"/>
      <c r="F5" s="42"/>
      <c r="G5" s="43"/>
      <c r="H5" s="43"/>
    </row>
    <row r="6" spans="2:13" ht="15">
      <c r="M6" s="28" t="s">
        <v>4</v>
      </c>
    </row>
    <row r="7" spans="2:13" ht="12.75" customHeight="1">
      <c r="B7" s="261" t="s">
        <v>2</v>
      </c>
      <c r="C7" s="261" t="s">
        <v>18</v>
      </c>
      <c r="D7" s="21" t="s">
        <v>390</v>
      </c>
      <c r="E7" s="21" t="s">
        <v>391</v>
      </c>
      <c r="F7" s="21" t="s">
        <v>392</v>
      </c>
      <c r="G7" s="21" t="s">
        <v>383</v>
      </c>
      <c r="H7" s="21" t="s">
        <v>384</v>
      </c>
      <c r="I7" s="254" t="s">
        <v>225</v>
      </c>
      <c r="J7" s="254"/>
      <c r="K7" s="254"/>
      <c r="L7" s="254"/>
      <c r="M7" s="254"/>
    </row>
    <row r="8" spans="2:13" ht="15">
      <c r="B8" s="261"/>
      <c r="C8" s="26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ht="15">
      <c r="B9" s="262"/>
      <c r="C9" s="26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4" t="s">
        <v>61</v>
      </c>
      <c r="D10" s="164"/>
      <c r="E10" s="164"/>
      <c r="F10" s="164"/>
      <c r="G10" s="161">
        <v>7.5447811437810435</v>
      </c>
      <c r="H10" s="223">
        <v>4.1363154338548034</v>
      </c>
      <c r="I10" s="3"/>
      <c r="J10" s="3"/>
      <c r="K10" s="3"/>
      <c r="L10" s="3"/>
      <c r="M10" s="3"/>
    </row>
    <row r="11" spans="2:13">
      <c r="B11" s="2">
        <v>2</v>
      </c>
      <c r="C11" s="44" t="s">
        <v>62</v>
      </c>
      <c r="D11" s="164"/>
      <c r="E11" s="164"/>
      <c r="F11" s="164"/>
      <c r="G11" s="161">
        <v>0.30862192762390039</v>
      </c>
      <c r="H11" s="223">
        <v>0.33459731716132779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61"/>
      <c r="E12" s="161"/>
      <c r="F12" s="161"/>
      <c r="G12" s="161">
        <v>0.55172313496304515</v>
      </c>
      <c r="H12" s="223">
        <v>0.2948211009647112</v>
      </c>
      <c r="I12" s="3"/>
      <c r="J12" s="3"/>
      <c r="K12" s="3"/>
      <c r="L12" s="3"/>
      <c r="M12" s="3"/>
    </row>
    <row r="13" spans="2:13">
      <c r="B13" s="2">
        <v>4</v>
      </c>
      <c r="C13" s="44" t="s">
        <v>64</v>
      </c>
      <c r="D13" s="164"/>
      <c r="E13" s="164"/>
      <c r="F13" s="164"/>
      <c r="G13" s="161">
        <v>6.9394252612014568E-2</v>
      </c>
      <c r="H13" s="223">
        <v>3.6630095095633315E-2</v>
      </c>
      <c r="I13" s="3"/>
      <c r="J13" s="3"/>
      <c r="K13" s="3"/>
      <c r="L13" s="3"/>
      <c r="M13" s="3"/>
    </row>
    <row r="14" spans="2:13">
      <c r="B14" s="2">
        <v>5</v>
      </c>
      <c r="C14" s="44" t="s">
        <v>65</v>
      </c>
      <c r="D14" s="164"/>
      <c r="E14" s="164"/>
      <c r="F14" s="164"/>
      <c r="G14" s="161">
        <v>7.9632059986873107E-6</v>
      </c>
      <c r="H14" s="223">
        <v>6.5664044309711568E-6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61"/>
      <c r="E15" s="161"/>
      <c r="F15" s="161"/>
      <c r="G15" s="161">
        <v>0.94945567482868609</v>
      </c>
      <c r="H15" s="223">
        <v>0.80710356729716548</v>
      </c>
      <c r="I15" s="3"/>
      <c r="J15" s="3"/>
      <c r="K15" s="3"/>
      <c r="L15" s="3"/>
      <c r="M15" s="3"/>
    </row>
    <row r="16" spans="2:13">
      <c r="B16" s="2">
        <v>7</v>
      </c>
      <c r="C16" s="44" t="s">
        <v>67</v>
      </c>
      <c r="D16" s="164"/>
      <c r="E16" s="164"/>
      <c r="F16" s="164"/>
      <c r="G16" s="161">
        <v>1.7978102620276937</v>
      </c>
      <c r="H16" s="223">
        <v>0.8495340980849414</v>
      </c>
      <c r="I16" s="3"/>
      <c r="J16" s="3"/>
      <c r="K16" s="3"/>
      <c r="L16" s="3"/>
      <c r="M16" s="3"/>
    </row>
    <row r="17" spans="2:13">
      <c r="B17" s="2">
        <v>8</v>
      </c>
      <c r="C17" s="44" t="s">
        <v>68</v>
      </c>
      <c r="D17" s="164"/>
      <c r="E17" s="164"/>
      <c r="F17" s="164"/>
      <c r="G17" s="161">
        <v>0.10499516390429636</v>
      </c>
      <c r="H17" s="223">
        <v>1.3247616278144593E-2</v>
      </c>
      <c r="I17" s="3"/>
      <c r="J17" s="3"/>
      <c r="K17" s="3"/>
      <c r="L17" s="3"/>
      <c r="M17" s="3"/>
    </row>
    <row r="18" spans="2:13">
      <c r="B18" s="2">
        <v>9</v>
      </c>
      <c r="C18" s="44" t="s">
        <v>69</v>
      </c>
      <c r="D18" s="164"/>
      <c r="E18" s="164"/>
      <c r="F18" s="164"/>
      <c r="G18" s="161">
        <v>0</v>
      </c>
      <c r="H18" s="223">
        <v>0</v>
      </c>
      <c r="I18" s="3"/>
      <c r="J18" s="3"/>
      <c r="K18" s="3"/>
      <c r="L18" s="3"/>
      <c r="M18" s="3"/>
    </row>
    <row r="19" spans="2:13">
      <c r="B19" s="2">
        <v>10</v>
      </c>
      <c r="C19" s="44" t="s">
        <v>70</v>
      </c>
      <c r="D19" s="164"/>
      <c r="E19" s="164"/>
      <c r="F19" s="164"/>
      <c r="G19" s="164">
        <v>0</v>
      </c>
      <c r="H19" s="223">
        <v>0</v>
      </c>
      <c r="I19" s="3"/>
      <c r="J19" s="3"/>
      <c r="K19" s="3"/>
      <c r="L19" s="3"/>
      <c r="M19" s="3"/>
    </row>
    <row r="20" spans="2:13">
      <c r="B20" s="2">
        <v>11</v>
      </c>
      <c r="C20" s="44" t="s">
        <v>71</v>
      </c>
      <c r="D20" s="164"/>
      <c r="E20" s="164"/>
      <c r="F20" s="164"/>
      <c r="G20" s="164">
        <v>0</v>
      </c>
      <c r="H20" s="223">
        <v>1.5349199877876909E-5</v>
      </c>
      <c r="I20" s="3"/>
      <c r="J20" s="3"/>
      <c r="K20" s="3"/>
      <c r="L20" s="3"/>
      <c r="M20" s="3"/>
    </row>
    <row r="21" spans="2:13">
      <c r="B21" s="2">
        <v>12</v>
      </c>
      <c r="C21" s="44" t="s">
        <v>72</v>
      </c>
      <c r="D21" s="164"/>
      <c r="E21" s="164"/>
      <c r="F21" s="164"/>
      <c r="G21" s="164">
        <v>0.13413234232464316</v>
      </c>
      <c r="H21" s="223">
        <v>6.105429910847928E-2</v>
      </c>
      <c r="I21" s="3"/>
      <c r="J21" s="3"/>
      <c r="K21" s="3"/>
      <c r="L21" s="3"/>
      <c r="M21" s="3"/>
    </row>
    <row r="22" spans="2:13">
      <c r="B22" s="2">
        <v>13</v>
      </c>
      <c r="C22" s="44" t="s">
        <v>73</v>
      </c>
      <c r="D22" s="164"/>
      <c r="E22" s="164"/>
      <c r="F22" s="164"/>
      <c r="G22" s="164">
        <v>0</v>
      </c>
      <c r="H22" s="223">
        <v>0</v>
      </c>
      <c r="I22" s="3"/>
      <c r="J22" s="3"/>
      <c r="K22" s="3"/>
      <c r="L22" s="3"/>
      <c r="M22" s="3"/>
    </row>
    <row r="23" spans="2:13">
      <c r="B23" s="2">
        <v>14</v>
      </c>
      <c r="C23" s="44" t="s">
        <v>74</v>
      </c>
      <c r="D23" s="164"/>
      <c r="E23" s="164"/>
      <c r="F23" s="164"/>
      <c r="G23" s="164">
        <v>0</v>
      </c>
      <c r="H23" s="223">
        <v>0</v>
      </c>
      <c r="I23" s="3"/>
      <c r="J23" s="3"/>
      <c r="K23" s="3"/>
      <c r="L23" s="3"/>
      <c r="M23" s="3"/>
    </row>
    <row r="24" spans="2:13">
      <c r="B24" s="2">
        <v>15</v>
      </c>
      <c r="C24" s="44" t="s">
        <v>75</v>
      </c>
      <c r="D24" s="164"/>
      <c r="E24" s="164"/>
      <c r="F24" s="164"/>
      <c r="G24" s="161">
        <v>0</v>
      </c>
      <c r="H24" s="223">
        <v>0</v>
      </c>
      <c r="I24" s="3"/>
      <c r="J24" s="3"/>
      <c r="K24" s="3"/>
      <c r="L24" s="3"/>
      <c r="M24" s="3"/>
    </row>
    <row r="25" spans="2:13">
      <c r="B25" s="2">
        <v>16</v>
      </c>
      <c r="C25" s="44" t="s">
        <v>76</v>
      </c>
      <c r="D25" s="164"/>
      <c r="E25" s="164"/>
      <c r="F25" s="164"/>
      <c r="G25" s="195">
        <v>0</v>
      </c>
      <c r="H25" s="223">
        <v>0</v>
      </c>
      <c r="I25" s="3"/>
      <c r="J25" s="3"/>
      <c r="K25" s="3"/>
      <c r="L25" s="3"/>
      <c r="M25" s="3"/>
    </row>
    <row r="26" spans="2:13" ht="15">
      <c r="B26" s="2">
        <v>17</v>
      </c>
      <c r="C26" s="44" t="s">
        <v>77</v>
      </c>
      <c r="D26" s="164"/>
      <c r="E26" s="164"/>
      <c r="F26" s="164"/>
      <c r="G26" s="195">
        <v>11.460921865271324</v>
      </c>
      <c r="H26" s="224">
        <v>6.5333254434495158</v>
      </c>
      <c r="I26" s="3"/>
      <c r="J26" s="3"/>
      <c r="K26" s="3"/>
      <c r="L26" s="3"/>
      <c r="M26" s="3"/>
    </row>
    <row r="27" spans="2:13">
      <c r="B27" s="2">
        <v>18</v>
      </c>
      <c r="C27" s="44" t="s">
        <v>78</v>
      </c>
      <c r="D27" s="164"/>
      <c r="E27" s="164"/>
      <c r="F27" s="164"/>
      <c r="G27" s="195">
        <v>0</v>
      </c>
      <c r="H27" s="223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4" t="s">
        <v>79</v>
      </c>
      <c r="D28" s="164"/>
      <c r="E28" s="164"/>
      <c r="F28" s="164"/>
      <c r="G28" s="195">
        <v>0.71811697073197966</v>
      </c>
      <c r="H28" s="223">
        <v>0.39894024183275911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4" t="s">
        <v>80</v>
      </c>
      <c r="D29" s="164"/>
      <c r="E29" s="164"/>
      <c r="F29" s="164"/>
      <c r="G29" s="195">
        <v>0</v>
      </c>
      <c r="H29" s="223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4" t="s">
        <v>81</v>
      </c>
      <c r="D30" s="164"/>
      <c r="E30" s="164"/>
      <c r="F30" s="164"/>
      <c r="G30" s="195">
        <v>0</v>
      </c>
      <c r="H30" s="223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4" t="s">
        <v>82</v>
      </c>
      <c r="D31" s="164"/>
      <c r="E31" s="164"/>
      <c r="F31" s="164"/>
      <c r="G31" s="161">
        <v>1.2059545888612246</v>
      </c>
      <c r="H31" s="223">
        <v>0.98330327443881616</v>
      </c>
      <c r="I31" s="3"/>
      <c r="J31" s="3"/>
      <c r="K31" s="3"/>
      <c r="L31" s="3"/>
      <c r="M31" s="3"/>
    </row>
    <row r="32" spans="2:13">
      <c r="B32" s="2">
        <v>19</v>
      </c>
      <c r="C32" s="48" t="s">
        <v>363</v>
      </c>
      <c r="D32" s="164"/>
      <c r="E32" s="164"/>
      <c r="F32" s="164"/>
      <c r="G32" s="161">
        <v>0</v>
      </c>
      <c r="H32" s="223">
        <v>0</v>
      </c>
      <c r="I32" s="3"/>
      <c r="J32" s="3"/>
      <c r="K32" s="3"/>
      <c r="L32" s="3"/>
      <c r="M32" s="3"/>
    </row>
    <row r="33" spans="2:13">
      <c r="B33" s="2">
        <v>20</v>
      </c>
      <c r="C33" s="44" t="s">
        <v>83</v>
      </c>
      <c r="D33" s="164"/>
      <c r="E33" s="164"/>
      <c r="F33" s="164"/>
      <c r="G33" s="161">
        <v>0</v>
      </c>
      <c r="H33" s="223">
        <v>0</v>
      </c>
      <c r="I33" s="161">
        <v>9.5062710906543604</v>
      </c>
      <c r="J33" s="161">
        <v>10.057634813912314</v>
      </c>
      <c r="K33" s="161">
        <v>10.640977633119228</v>
      </c>
      <c r="L33" s="161">
        <v>11.258154335840143</v>
      </c>
      <c r="M33" s="161">
        <v>11.911127287318871</v>
      </c>
    </row>
    <row r="34" spans="2:13" ht="15">
      <c r="B34" s="20">
        <v>21</v>
      </c>
      <c r="C34" s="45" t="s">
        <v>84</v>
      </c>
      <c r="D34" s="163">
        <f>SUM(D26:D33)</f>
        <v>0</v>
      </c>
      <c r="E34" s="163">
        <f t="shared" ref="E34:G34" si="0">SUM(E26:E33)</f>
        <v>0</v>
      </c>
      <c r="F34" s="163">
        <f t="shared" si="0"/>
        <v>0</v>
      </c>
      <c r="G34" s="163">
        <f t="shared" si="0"/>
        <v>13.384993424864529</v>
      </c>
      <c r="H34" s="163">
        <f t="shared" ref="H34" si="1">SUM(H26:H33)</f>
        <v>7.9155689597210905</v>
      </c>
      <c r="I34" s="163">
        <f t="shared" ref="I34" si="2">SUM(I26:I33)</f>
        <v>9.5062710906543604</v>
      </c>
      <c r="J34" s="163">
        <f t="shared" ref="J34:M34" si="3">SUM(J10:J33)</f>
        <v>10.057634813912314</v>
      </c>
      <c r="K34" s="163">
        <f t="shared" si="3"/>
        <v>10.640977633119228</v>
      </c>
      <c r="L34" s="163">
        <f t="shared" si="3"/>
        <v>11.258154335840143</v>
      </c>
      <c r="M34" s="163">
        <f t="shared" si="3"/>
        <v>11.911127287318871</v>
      </c>
    </row>
    <row r="35" spans="2:13">
      <c r="B35" s="2">
        <v>22</v>
      </c>
      <c r="C35" s="44" t="s">
        <v>17</v>
      </c>
      <c r="D35" s="164"/>
      <c r="E35" s="164"/>
      <c r="F35" s="164"/>
      <c r="G35" s="161"/>
      <c r="H35" s="161"/>
      <c r="I35" s="161"/>
      <c r="J35" s="161"/>
      <c r="K35" s="161"/>
      <c r="L35" s="161"/>
      <c r="M35" s="161"/>
    </row>
    <row r="36" spans="2:13" ht="15">
      <c r="B36" s="20">
        <v>23</v>
      </c>
      <c r="C36" s="22" t="s">
        <v>85</v>
      </c>
      <c r="D36" s="133">
        <v>5.97</v>
      </c>
      <c r="E36" s="133">
        <v>6.52</v>
      </c>
      <c r="F36" s="133">
        <v>6.34</v>
      </c>
      <c r="G36" s="133">
        <f t="shared" ref="G36:M36" si="4">G34-G35</f>
        <v>13.384993424864529</v>
      </c>
      <c r="H36" s="133">
        <f t="shared" si="4"/>
        <v>7.9155689597210905</v>
      </c>
      <c r="I36" s="133">
        <f t="shared" si="4"/>
        <v>9.5062710906543604</v>
      </c>
      <c r="J36" s="133">
        <f t="shared" si="4"/>
        <v>10.057634813912314</v>
      </c>
      <c r="K36" s="133">
        <f t="shared" si="4"/>
        <v>10.640977633119228</v>
      </c>
      <c r="L36" s="133">
        <f t="shared" si="4"/>
        <v>11.258154335840143</v>
      </c>
      <c r="M36" s="133">
        <f t="shared" si="4"/>
        <v>11.911127287318871</v>
      </c>
    </row>
    <row r="38" spans="2:13" ht="15">
      <c r="B38" s="46"/>
    </row>
    <row r="39" spans="2:13">
      <c r="B39" s="47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view="pageBreakPreview" zoomScale="70" zoomScaleNormal="80" zoomScaleSheetLayoutView="70" workbookViewId="0">
      <selection activeCell="B4" sqref="B4:M4"/>
    </sheetView>
  </sheetViews>
  <sheetFormatPr defaultColWidth="9.28515625" defaultRowHeight="14.25"/>
  <cols>
    <col min="1" max="1" width="2" style="19" customWidth="1"/>
    <col min="2" max="2" width="7" style="19" customWidth="1"/>
    <col min="3" max="3" width="47.42578125" style="19" customWidth="1"/>
    <col min="4" max="4" width="14.28515625" style="19" customWidth="1"/>
    <col min="5" max="5" width="13.42578125" style="19" customWidth="1"/>
    <col min="6" max="6" width="12.42578125" style="19" customWidth="1"/>
    <col min="7" max="8" width="13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33" t="s">
        <v>403</v>
      </c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</row>
    <row r="3" spans="2:13" ht="15.75">
      <c r="B3" s="233" t="s">
        <v>382</v>
      </c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</row>
    <row r="4" spans="2:13" s="4" customFormat="1" ht="15.75">
      <c r="B4" s="233" t="s">
        <v>413</v>
      </c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6" spans="2:13" ht="15">
      <c r="M6" s="28" t="s">
        <v>4</v>
      </c>
    </row>
    <row r="7" spans="2:13" ht="12.75" customHeight="1">
      <c r="B7" s="263" t="s">
        <v>186</v>
      </c>
      <c r="C7" s="261" t="s">
        <v>18</v>
      </c>
      <c r="D7" s="21" t="s">
        <v>390</v>
      </c>
      <c r="E7" s="21" t="s">
        <v>391</v>
      </c>
      <c r="F7" s="21" t="s">
        <v>392</v>
      </c>
      <c r="G7" s="21" t="s">
        <v>383</v>
      </c>
      <c r="H7" s="21" t="s">
        <v>384</v>
      </c>
      <c r="I7" s="254" t="s">
        <v>225</v>
      </c>
      <c r="J7" s="254"/>
      <c r="K7" s="254"/>
      <c r="L7" s="254"/>
      <c r="M7" s="254"/>
    </row>
    <row r="8" spans="2:13" ht="15">
      <c r="B8" s="263"/>
      <c r="C8" s="26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ht="15">
      <c r="B9" s="263"/>
      <c r="C9" s="26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4" t="s">
        <v>86</v>
      </c>
      <c r="D10" s="161">
        <v>1.1336694821748761E-2</v>
      </c>
      <c r="E10" s="161">
        <v>1.2026239032649003E-2</v>
      </c>
      <c r="F10" s="161">
        <v>1.9621297578651328E-2</v>
      </c>
      <c r="G10" s="161">
        <v>1.1203877975511095E-2</v>
      </c>
      <c r="H10" s="225">
        <v>1.2216281988488405E-2</v>
      </c>
      <c r="I10" s="3"/>
      <c r="J10" s="3"/>
      <c r="K10" s="3"/>
      <c r="L10" s="3"/>
      <c r="M10" s="3"/>
    </row>
    <row r="11" spans="2:13">
      <c r="B11" s="3">
        <v>2</v>
      </c>
      <c r="C11" s="55" t="s">
        <v>87</v>
      </c>
      <c r="D11" s="161">
        <v>6.035558141688662E-4</v>
      </c>
      <c r="E11" s="161">
        <v>8.1041157468650057E-4</v>
      </c>
      <c r="F11" s="161">
        <v>2.9745092316853147E-4</v>
      </c>
      <c r="G11" s="161">
        <v>5.1169370536501653E-4</v>
      </c>
      <c r="H11" s="225">
        <v>2.7048998926855201E-4</v>
      </c>
      <c r="I11" s="3"/>
      <c r="J11" s="3"/>
      <c r="K11" s="3"/>
      <c r="L11" s="3"/>
      <c r="M11" s="3"/>
    </row>
    <row r="12" spans="2:13">
      <c r="B12" s="3">
        <v>3</v>
      </c>
      <c r="C12" s="55" t="s">
        <v>88</v>
      </c>
      <c r="D12" s="161">
        <v>3.9286001527174211E-3</v>
      </c>
      <c r="E12" s="161">
        <v>1.8211553943747252E-2</v>
      </c>
      <c r="F12" s="161">
        <v>1.2027854573007049E-2</v>
      </c>
      <c r="G12" s="161">
        <v>6.466462090713619E-3</v>
      </c>
      <c r="H12" s="225">
        <v>3.376987455753099E-3</v>
      </c>
      <c r="I12" s="3"/>
      <c r="J12" s="3"/>
      <c r="K12" s="3"/>
      <c r="L12" s="3"/>
      <c r="M12" s="3"/>
    </row>
    <row r="13" spans="2:13">
      <c r="B13" s="3">
        <v>4</v>
      </c>
      <c r="C13" s="55" t="s">
        <v>89</v>
      </c>
      <c r="D13" s="161">
        <v>4.7182998907469818E-3</v>
      </c>
      <c r="E13" s="161">
        <v>3.4561551910808398E-3</v>
      </c>
      <c r="F13" s="161">
        <v>2.8304203092333886E-3</v>
      </c>
      <c r="G13" s="161">
        <v>4.5909222838598045E-3</v>
      </c>
      <c r="H13" s="225">
        <v>1.6205249128022623E-3</v>
      </c>
      <c r="I13" s="3"/>
      <c r="J13" s="3"/>
      <c r="K13" s="3"/>
      <c r="L13" s="3"/>
      <c r="M13" s="3"/>
    </row>
    <row r="14" spans="2:13">
      <c r="B14" s="3">
        <v>5</v>
      </c>
      <c r="C14" s="55" t="s">
        <v>90</v>
      </c>
      <c r="D14" s="161">
        <v>6.358380826671572E-4</v>
      </c>
      <c r="E14" s="161">
        <v>5.4133057906670108E-4</v>
      </c>
      <c r="F14" s="161">
        <v>1.7098574960189208E-3</v>
      </c>
      <c r="G14" s="161">
        <v>1.7232128113537457E-3</v>
      </c>
      <c r="H14" s="225">
        <v>2.3737403712418623E-4</v>
      </c>
      <c r="I14" s="3"/>
      <c r="J14" s="3"/>
      <c r="K14" s="3"/>
      <c r="L14" s="3"/>
      <c r="M14" s="3"/>
    </row>
    <row r="15" spans="2:13">
      <c r="B15" s="3">
        <v>6</v>
      </c>
      <c r="C15" s="55" t="s">
        <v>91</v>
      </c>
      <c r="D15" s="161">
        <v>6.9924052308922256E-3</v>
      </c>
      <c r="E15" s="161">
        <v>7.6562883616840783E-3</v>
      </c>
      <c r="F15" s="161">
        <v>6.5333540586026834E-3</v>
      </c>
      <c r="G15" s="161">
        <v>4.0101705354786505E-3</v>
      </c>
      <c r="H15" s="225">
        <v>4.9962864867119832E-3</v>
      </c>
      <c r="I15" s="3"/>
      <c r="J15" s="3"/>
      <c r="K15" s="3"/>
      <c r="L15" s="3"/>
      <c r="M15" s="3"/>
    </row>
    <row r="16" spans="2:13">
      <c r="B16" s="3">
        <v>7</v>
      </c>
      <c r="C16" s="55" t="s">
        <v>92</v>
      </c>
      <c r="D16" s="161">
        <v>3.4575799551110398E-2</v>
      </c>
      <c r="E16" s="161">
        <v>3.3615741364836499E-2</v>
      </c>
      <c r="F16" s="161">
        <v>5.7067125763469624E-2</v>
      </c>
      <c r="G16" s="161">
        <v>4.5077018360021426E-2</v>
      </c>
      <c r="H16" s="225">
        <v>2.418755691551135E-2</v>
      </c>
      <c r="I16" s="3"/>
      <c r="J16" s="3"/>
      <c r="K16" s="3"/>
      <c r="L16" s="3"/>
      <c r="M16" s="3"/>
    </row>
    <row r="17" spans="2:13">
      <c r="B17" s="3">
        <v>8</v>
      </c>
      <c r="C17" s="55" t="s">
        <v>93</v>
      </c>
      <c r="D17" s="161">
        <v>4.3450012228730128E-3</v>
      </c>
      <c r="E17" s="161">
        <v>2.1542207862942035E-3</v>
      </c>
      <c r="F17" s="161">
        <v>1.3094570223519929E-4</v>
      </c>
      <c r="G17" s="161">
        <v>6.8314154166130772E-5</v>
      </c>
      <c r="H17" s="225">
        <v>3.1010667667911541E-5</v>
      </c>
      <c r="I17" s="3"/>
      <c r="J17" s="3"/>
      <c r="K17" s="3"/>
      <c r="L17" s="3"/>
      <c r="M17" s="3"/>
    </row>
    <row r="18" spans="2:13">
      <c r="B18" s="3">
        <v>9</v>
      </c>
      <c r="C18" s="55" t="s">
        <v>94</v>
      </c>
      <c r="D18" s="161">
        <v>0.15014039619457839</v>
      </c>
      <c r="E18" s="161">
        <v>0.14398521013131613</v>
      </c>
      <c r="F18" s="161">
        <v>0.1795615200576724</v>
      </c>
      <c r="G18" s="161">
        <v>0.19037994463967958</v>
      </c>
      <c r="H18" s="225">
        <v>9.2251068622181534E-2</v>
      </c>
      <c r="I18" s="3"/>
      <c r="J18" s="3"/>
      <c r="K18" s="3"/>
      <c r="L18" s="3"/>
      <c r="M18" s="3"/>
    </row>
    <row r="19" spans="2:13">
      <c r="B19" s="3">
        <v>10</v>
      </c>
      <c r="C19" s="55" t="s">
        <v>95</v>
      </c>
      <c r="D19" s="161">
        <v>8.2714041232029593E-4</v>
      </c>
      <c r="E19" s="161">
        <v>4.5618517691971569E-3</v>
      </c>
      <c r="F19" s="161">
        <v>8.5844468361683511E-4</v>
      </c>
      <c r="G19" s="161">
        <v>6.5781918712996118E-4</v>
      </c>
      <c r="H19" s="225">
        <v>3.5430420092534863E-4</v>
      </c>
      <c r="I19" s="3"/>
      <c r="J19" s="3"/>
      <c r="K19" s="3"/>
      <c r="L19" s="3"/>
      <c r="M19" s="3"/>
    </row>
    <row r="20" spans="2:13">
      <c r="B20" s="3">
        <v>11</v>
      </c>
      <c r="C20" s="55" t="s">
        <v>96</v>
      </c>
      <c r="D20" s="161">
        <v>0</v>
      </c>
      <c r="E20" s="161">
        <v>0</v>
      </c>
      <c r="F20" s="161">
        <v>0</v>
      </c>
      <c r="G20" s="161">
        <v>2.0811047264862821E-5</v>
      </c>
      <c r="H20" s="225">
        <v>1.5798071318651834E-6</v>
      </c>
      <c r="I20" s="3"/>
      <c r="J20" s="3"/>
      <c r="K20" s="3"/>
      <c r="L20" s="3"/>
      <c r="M20" s="3"/>
    </row>
    <row r="21" spans="2:13">
      <c r="B21" s="3">
        <v>12</v>
      </c>
      <c r="C21" s="55" t="s">
        <v>97</v>
      </c>
      <c r="D21" s="161">
        <v>0</v>
      </c>
      <c r="E21" s="161">
        <v>0</v>
      </c>
      <c r="F21" s="161">
        <v>0</v>
      </c>
      <c r="G21" s="161">
        <v>0</v>
      </c>
      <c r="H21" s="225">
        <v>0</v>
      </c>
      <c r="I21" s="3"/>
      <c r="J21" s="3"/>
      <c r="K21" s="3"/>
      <c r="L21" s="3"/>
      <c r="M21" s="3"/>
    </row>
    <row r="22" spans="2:13">
      <c r="B22" s="3">
        <v>13</v>
      </c>
      <c r="C22" s="55" t="s">
        <v>98</v>
      </c>
      <c r="D22" s="161">
        <v>2.7170583644934437E-4</v>
      </c>
      <c r="E22" s="161">
        <v>4.6858020260263369E-4</v>
      </c>
      <c r="F22" s="161">
        <v>1.2022113513480249E-4</v>
      </c>
      <c r="G22" s="161">
        <v>4.3791389307342717E-4</v>
      </c>
      <c r="H22" s="225">
        <v>4.3171030967629115E-4</v>
      </c>
      <c r="I22" s="3"/>
      <c r="J22" s="3"/>
      <c r="K22" s="3"/>
      <c r="L22" s="3"/>
      <c r="M22" s="3"/>
    </row>
    <row r="23" spans="2:13">
      <c r="B23" s="3">
        <v>14</v>
      </c>
      <c r="C23" s="55" t="s">
        <v>99</v>
      </c>
      <c r="D23" s="161">
        <v>2.4405758387478126E-2</v>
      </c>
      <c r="E23" s="161">
        <v>1.5785729896082192E-3</v>
      </c>
      <c r="F23" s="161">
        <v>3.8357853465695465E-3</v>
      </c>
      <c r="G23" s="161">
        <v>1.17177024922967E-3</v>
      </c>
      <c r="H23" s="225">
        <v>3.9072227133530495E-4</v>
      </c>
      <c r="I23" s="3"/>
      <c r="J23" s="3"/>
      <c r="K23" s="3"/>
      <c r="L23" s="3"/>
      <c r="M23" s="3"/>
    </row>
    <row r="24" spans="2:13">
      <c r="B24" s="3">
        <v>15</v>
      </c>
      <c r="C24" s="55" t="s">
        <v>100</v>
      </c>
      <c r="D24" s="161">
        <v>0</v>
      </c>
      <c r="E24" s="161">
        <v>0</v>
      </c>
      <c r="F24" s="161">
        <v>0</v>
      </c>
      <c r="G24" s="161">
        <v>0</v>
      </c>
      <c r="H24" s="225">
        <v>0</v>
      </c>
      <c r="I24" s="3"/>
      <c r="J24" s="3"/>
      <c r="K24" s="3"/>
      <c r="L24" s="3"/>
      <c r="M24" s="3"/>
    </row>
    <row r="25" spans="2:13">
      <c r="B25" s="3">
        <v>16</v>
      </c>
      <c r="C25" s="54" t="s">
        <v>101</v>
      </c>
      <c r="D25" s="161">
        <v>0</v>
      </c>
      <c r="E25" s="161">
        <v>0</v>
      </c>
      <c r="F25" s="161">
        <v>0</v>
      </c>
      <c r="G25" s="161">
        <v>0</v>
      </c>
      <c r="H25" s="225">
        <v>0</v>
      </c>
      <c r="I25" s="3"/>
      <c r="J25" s="3"/>
      <c r="K25" s="3"/>
      <c r="L25" s="3"/>
      <c r="M25" s="3"/>
    </row>
    <row r="26" spans="2:13">
      <c r="B26" s="3">
        <v>17</v>
      </c>
      <c r="C26" s="54" t="s">
        <v>102</v>
      </c>
      <c r="D26" s="161">
        <v>0</v>
      </c>
      <c r="E26" s="161">
        <v>0</v>
      </c>
      <c r="F26" s="161">
        <v>0</v>
      </c>
      <c r="G26" s="161">
        <v>0</v>
      </c>
      <c r="H26" s="225">
        <v>0</v>
      </c>
      <c r="I26" s="3"/>
      <c r="J26" s="3"/>
      <c r="K26" s="3"/>
      <c r="L26" s="3"/>
      <c r="M26" s="3"/>
    </row>
    <row r="27" spans="2:13">
      <c r="B27" s="3">
        <v>18</v>
      </c>
      <c r="C27" s="55" t="s">
        <v>103</v>
      </c>
      <c r="D27" s="161">
        <v>2.2720902472937584E-3</v>
      </c>
      <c r="E27" s="161">
        <v>2.9160057525278033E-3</v>
      </c>
      <c r="F27" s="161">
        <v>1.8911558435241913E-3</v>
      </c>
      <c r="G27" s="161">
        <v>4.6336504560493385E-3</v>
      </c>
      <c r="H27" s="225">
        <v>2.1081430208372302E-3</v>
      </c>
      <c r="I27" s="3"/>
      <c r="J27" s="3"/>
      <c r="K27" s="3"/>
      <c r="L27" s="3"/>
      <c r="M27" s="3"/>
    </row>
    <row r="28" spans="2:13">
      <c r="B28" s="3">
        <v>19</v>
      </c>
      <c r="C28" s="55" t="s">
        <v>104</v>
      </c>
      <c r="D28" s="161">
        <v>0.11060455754629953</v>
      </c>
      <c r="E28" s="161">
        <v>0.10704231446215641</v>
      </c>
      <c r="F28" s="161">
        <v>9.8728390382625625E-2</v>
      </c>
      <c r="G28" s="161">
        <v>9.8563700115515379E-2</v>
      </c>
      <c r="H28" s="225">
        <v>6.1549823472369619E-2</v>
      </c>
      <c r="I28" s="3"/>
      <c r="J28" s="3"/>
      <c r="K28" s="3"/>
      <c r="L28" s="3"/>
      <c r="M28" s="3"/>
    </row>
    <row r="29" spans="2:13">
      <c r="B29" s="3">
        <v>20</v>
      </c>
      <c r="C29" s="55" t="s">
        <v>105</v>
      </c>
      <c r="D29" s="161">
        <v>0</v>
      </c>
      <c r="E29" s="161">
        <v>0</v>
      </c>
      <c r="F29" s="161">
        <v>0</v>
      </c>
      <c r="G29" s="161">
        <v>0</v>
      </c>
      <c r="H29" s="225">
        <v>0</v>
      </c>
      <c r="I29" s="3"/>
      <c r="J29" s="3"/>
      <c r="K29" s="3"/>
      <c r="L29" s="3"/>
      <c r="M29" s="3"/>
    </row>
    <row r="30" spans="2:13">
      <c r="B30" s="3">
        <v>21</v>
      </c>
      <c r="C30" s="55" t="s">
        <v>106</v>
      </c>
      <c r="D30" s="161">
        <v>0</v>
      </c>
      <c r="E30" s="161">
        <v>0</v>
      </c>
      <c r="F30" s="161">
        <v>0</v>
      </c>
      <c r="G30" s="161">
        <v>0</v>
      </c>
      <c r="H30" s="225">
        <v>0</v>
      </c>
      <c r="I30" s="3"/>
      <c r="J30" s="3"/>
      <c r="K30" s="3"/>
      <c r="L30" s="3"/>
      <c r="M30" s="3"/>
    </row>
    <row r="31" spans="2:13">
      <c r="B31" s="3">
        <v>22</v>
      </c>
      <c r="C31" s="55" t="s">
        <v>107</v>
      </c>
      <c r="D31" s="161">
        <v>7.7880945599544297E-5</v>
      </c>
      <c r="E31" s="161">
        <v>0</v>
      </c>
      <c r="F31" s="161">
        <v>7.1977545585303335E-4</v>
      </c>
      <c r="G31" s="161">
        <v>0</v>
      </c>
      <c r="H31" s="225">
        <v>0</v>
      </c>
      <c r="I31" s="3"/>
      <c r="J31" s="3"/>
      <c r="K31" s="3"/>
      <c r="L31" s="3"/>
      <c r="M31" s="3"/>
    </row>
    <row r="32" spans="2:13">
      <c r="B32" s="3">
        <v>23</v>
      </c>
      <c r="C32" s="55" t="s">
        <v>108</v>
      </c>
      <c r="D32" s="161">
        <v>0</v>
      </c>
      <c r="E32" s="161">
        <v>0</v>
      </c>
      <c r="F32" s="161">
        <v>0</v>
      </c>
      <c r="G32" s="161">
        <v>0</v>
      </c>
      <c r="H32" s="225">
        <v>0</v>
      </c>
      <c r="I32" s="3"/>
      <c r="J32" s="3"/>
      <c r="K32" s="3"/>
      <c r="L32" s="3"/>
      <c r="M32" s="3"/>
    </row>
    <row r="33" spans="2:13">
      <c r="B33" s="3">
        <v>24</v>
      </c>
      <c r="C33" s="55" t="s">
        <v>109</v>
      </c>
      <c r="D33" s="161">
        <v>1.3923132433476594E-3</v>
      </c>
      <c r="E33" s="161">
        <v>2.8630554382472174E-4</v>
      </c>
      <c r="F33" s="161">
        <v>2.1656013326319295E-3</v>
      </c>
      <c r="G33" s="161">
        <v>2.304702822325254E-3</v>
      </c>
      <c r="H33" s="225">
        <v>7.5279546985625861E-4</v>
      </c>
      <c r="I33" s="3"/>
      <c r="J33" s="3"/>
      <c r="K33" s="3"/>
      <c r="L33" s="3"/>
      <c r="M33" s="3"/>
    </row>
    <row r="34" spans="2:13">
      <c r="B34" s="3">
        <v>25</v>
      </c>
      <c r="C34" s="55" t="s">
        <v>110</v>
      </c>
      <c r="D34" s="161">
        <v>0</v>
      </c>
      <c r="E34" s="161">
        <v>0</v>
      </c>
      <c r="F34" s="161">
        <v>0</v>
      </c>
      <c r="G34" s="161">
        <v>0</v>
      </c>
      <c r="H34" s="225">
        <v>0</v>
      </c>
      <c r="I34" s="3"/>
      <c r="J34" s="3"/>
      <c r="K34" s="3"/>
      <c r="L34" s="3"/>
      <c r="M34" s="3"/>
    </row>
    <row r="35" spans="2:13">
      <c r="B35" s="3">
        <v>26</v>
      </c>
      <c r="C35" s="55" t="s">
        <v>111</v>
      </c>
      <c r="D35" s="161">
        <v>0</v>
      </c>
      <c r="E35" s="161">
        <v>0</v>
      </c>
      <c r="F35" s="161">
        <v>0</v>
      </c>
      <c r="G35" s="161">
        <v>0</v>
      </c>
      <c r="H35" s="225">
        <v>0</v>
      </c>
      <c r="I35" s="3"/>
      <c r="J35" s="3"/>
      <c r="K35" s="3"/>
      <c r="L35" s="3"/>
      <c r="M35" s="3"/>
    </row>
    <row r="36" spans="2:13">
      <c r="B36" s="3">
        <v>27</v>
      </c>
      <c r="C36" s="55" t="s">
        <v>112</v>
      </c>
      <c r="D36" s="161">
        <v>2.7468594054701727E-4</v>
      </c>
      <c r="E36" s="161">
        <v>1.6588731363795855E-4</v>
      </c>
      <c r="F36" s="161">
        <v>2.3164811178509284E-4</v>
      </c>
      <c r="G36" s="161">
        <v>3.893787445944639E-4</v>
      </c>
      <c r="H36" s="225">
        <v>0</v>
      </c>
      <c r="I36" s="3"/>
      <c r="J36" s="3"/>
      <c r="K36" s="3"/>
      <c r="L36" s="3"/>
      <c r="M36" s="3"/>
    </row>
    <row r="37" spans="2:13">
      <c r="B37" s="3">
        <v>28</v>
      </c>
      <c r="C37" s="55" t="s">
        <v>83</v>
      </c>
      <c r="D37" s="161">
        <v>3.8501666077792496E-3</v>
      </c>
      <c r="E37" s="161">
        <v>7.8403878258544654E-3</v>
      </c>
      <c r="F37" s="161">
        <v>7.5977047918721809E-3</v>
      </c>
      <c r="G37" s="161">
        <v>7.7599241247246946E-3</v>
      </c>
      <c r="H37" s="225">
        <v>2.296232095480993E-2</v>
      </c>
      <c r="I37" s="161">
        <v>0.39528758732433045</v>
      </c>
      <c r="J37" s="161">
        <v>0.41465667910322263</v>
      </c>
      <c r="K37" s="161">
        <v>0.43497485637928052</v>
      </c>
      <c r="L37" s="161">
        <v>0.45628862434186523</v>
      </c>
      <c r="M37" s="161">
        <v>0.47864676693461661</v>
      </c>
    </row>
    <row r="38" spans="2:13" ht="15">
      <c r="B38" s="3">
        <v>29</v>
      </c>
      <c r="C38" s="56" t="s">
        <v>113</v>
      </c>
      <c r="D38" s="133">
        <f>SUM(D10:D37)</f>
        <v>0.36125289012861767</v>
      </c>
      <c r="E38" s="133">
        <f t="shared" ref="E38:M38" si="0">SUM(E10:E37)</f>
        <v>0.34731705682477054</v>
      </c>
      <c r="F38" s="133">
        <f t="shared" si="0"/>
        <v>0.39592855354567236</v>
      </c>
      <c r="G38" s="133">
        <f t="shared" si="0"/>
        <v>0.37997128719605605</v>
      </c>
      <c r="H38" s="133">
        <f t="shared" si="0"/>
        <v>0.22773898058245112</v>
      </c>
      <c r="I38" s="133">
        <f t="shared" si="0"/>
        <v>0.39528758732433045</v>
      </c>
      <c r="J38" s="133">
        <f t="shared" si="0"/>
        <v>0.41465667910322263</v>
      </c>
      <c r="K38" s="133">
        <f t="shared" si="0"/>
        <v>0.43497485637928052</v>
      </c>
      <c r="L38" s="133">
        <f t="shared" si="0"/>
        <v>0.45628862434186523</v>
      </c>
      <c r="M38" s="133">
        <f t="shared" si="0"/>
        <v>0.47864676693461661</v>
      </c>
    </row>
    <row r="39" spans="2:13">
      <c r="B39" s="3">
        <v>30</v>
      </c>
      <c r="C39" s="44" t="s">
        <v>17</v>
      </c>
      <c r="D39" s="161"/>
      <c r="E39" s="161"/>
      <c r="F39" s="161"/>
      <c r="G39" s="161"/>
      <c r="H39" s="161"/>
      <c r="I39" s="161"/>
      <c r="J39" s="161"/>
      <c r="K39" s="161"/>
      <c r="L39" s="161"/>
      <c r="M39" s="161"/>
    </row>
    <row r="40" spans="2:13" ht="15">
      <c r="B40" s="3">
        <v>31</v>
      </c>
      <c r="C40" s="22" t="s">
        <v>114</v>
      </c>
      <c r="D40" s="133">
        <f>D38-D39</f>
        <v>0.36125289012861767</v>
      </c>
      <c r="E40" s="133">
        <f t="shared" ref="E40:M40" si="1">E38-E39</f>
        <v>0.34731705682477054</v>
      </c>
      <c r="F40" s="133">
        <f t="shared" si="1"/>
        <v>0.39592855354567236</v>
      </c>
      <c r="G40" s="133">
        <f t="shared" si="1"/>
        <v>0.37997128719605605</v>
      </c>
      <c r="H40" s="133">
        <f t="shared" si="1"/>
        <v>0.22773898058245112</v>
      </c>
      <c r="I40" s="133">
        <f t="shared" si="1"/>
        <v>0.39528758732433045</v>
      </c>
      <c r="J40" s="133">
        <f t="shared" si="1"/>
        <v>0.41465667910322263</v>
      </c>
      <c r="K40" s="133">
        <f t="shared" si="1"/>
        <v>0.43497485637928052</v>
      </c>
      <c r="L40" s="133">
        <f t="shared" si="1"/>
        <v>0.45628862434186523</v>
      </c>
      <c r="M40" s="133">
        <f t="shared" si="1"/>
        <v>0.47864676693461661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view="pageBreakPreview" zoomScale="90" zoomScaleNormal="80" zoomScaleSheetLayoutView="90" workbookViewId="0">
      <selection activeCell="I17" sqref="I17:M17"/>
    </sheetView>
  </sheetViews>
  <sheetFormatPr defaultColWidth="9.28515625" defaultRowHeight="14.25"/>
  <cols>
    <col min="1" max="1" width="4.5703125" style="19" customWidth="1"/>
    <col min="2" max="2" width="8.7109375" style="57" customWidth="1"/>
    <col min="3" max="3" width="43.85546875" style="19" customWidth="1"/>
    <col min="4" max="4" width="13.42578125" style="19" customWidth="1"/>
    <col min="5" max="5" width="13.7109375" style="19" customWidth="1"/>
    <col min="6" max="6" width="13.5703125" style="19" customWidth="1"/>
    <col min="7" max="8" width="13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">
      <c r="B2" s="250" t="s">
        <v>405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2:13" ht="15">
      <c r="B3" s="250" t="s">
        <v>408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s="4" customFormat="1" ht="15">
      <c r="B4" s="251" t="s">
        <v>407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</row>
    <row r="6" spans="2:13" ht="15">
      <c r="M6" s="28" t="s">
        <v>4</v>
      </c>
    </row>
    <row r="7" spans="2:13" ht="12.75" customHeight="1">
      <c r="B7" s="263" t="s">
        <v>186</v>
      </c>
      <c r="C7" s="261" t="s">
        <v>18</v>
      </c>
      <c r="D7" s="21" t="s">
        <v>390</v>
      </c>
      <c r="E7" s="21" t="s">
        <v>391</v>
      </c>
      <c r="F7" s="21" t="s">
        <v>392</v>
      </c>
      <c r="G7" s="21" t="s">
        <v>383</v>
      </c>
      <c r="H7" s="21" t="s">
        <v>384</v>
      </c>
      <c r="I7" s="254" t="s">
        <v>225</v>
      </c>
      <c r="J7" s="254"/>
      <c r="K7" s="254"/>
      <c r="L7" s="254"/>
      <c r="M7" s="254"/>
    </row>
    <row r="8" spans="2:13" ht="15">
      <c r="B8" s="263"/>
      <c r="C8" s="261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ht="15">
      <c r="B9" s="263"/>
      <c r="C9" s="261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5" t="s">
        <v>115</v>
      </c>
      <c r="D10" s="161">
        <v>0.13289588867091101</v>
      </c>
      <c r="E10" s="161">
        <v>0.26462784469330741</v>
      </c>
      <c r="F10" s="161">
        <v>0.27774067710646105</v>
      </c>
      <c r="G10" s="161">
        <v>0.22635149830126475</v>
      </c>
      <c r="H10" s="225">
        <v>0.13170801021610859</v>
      </c>
      <c r="I10" s="3"/>
      <c r="J10" s="3"/>
      <c r="K10" s="3"/>
      <c r="L10" s="3"/>
      <c r="M10" s="3"/>
    </row>
    <row r="11" spans="2:13">
      <c r="B11" s="2">
        <v>2</v>
      </c>
      <c r="C11" s="55" t="s">
        <v>116</v>
      </c>
      <c r="D11" s="161">
        <v>0</v>
      </c>
      <c r="E11" s="161">
        <v>7.6832431138570351E-3</v>
      </c>
      <c r="F11" s="161">
        <v>1.3935911753061806E-3</v>
      </c>
      <c r="G11" s="161">
        <v>2.861417946753764E-4</v>
      </c>
      <c r="H11" s="225">
        <v>0</v>
      </c>
      <c r="I11" s="3"/>
      <c r="J11" s="3"/>
      <c r="K11" s="3"/>
      <c r="L11" s="3"/>
      <c r="M11" s="3"/>
    </row>
    <row r="12" spans="2:13">
      <c r="B12" s="2">
        <v>3</v>
      </c>
      <c r="C12" s="55" t="s">
        <v>117</v>
      </c>
      <c r="D12" s="161">
        <v>0.34563734393412915</v>
      </c>
      <c r="E12" s="161">
        <v>0.15743494057626176</v>
      </c>
      <c r="F12" s="161">
        <v>0.23346925796855239</v>
      </c>
      <c r="G12" s="161">
        <v>0.13624760693972401</v>
      </c>
      <c r="H12" s="225">
        <v>0.11396952846782257</v>
      </c>
      <c r="I12" s="3"/>
      <c r="J12" s="3"/>
      <c r="K12" s="3"/>
      <c r="L12" s="3"/>
      <c r="M12" s="3"/>
    </row>
    <row r="13" spans="2:13">
      <c r="B13" s="2">
        <v>4</v>
      </c>
      <c r="C13" s="55" t="s">
        <v>118</v>
      </c>
      <c r="D13" s="161">
        <v>0</v>
      </c>
      <c r="E13" s="161">
        <v>0</v>
      </c>
      <c r="F13" s="161">
        <v>0</v>
      </c>
      <c r="G13" s="161">
        <v>0</v>
      </c>
      <c r="H13" s="225">
        <v>6.9220217167405779E-3</v>
      </c>
      <c r="I13" s="3"/>
      <c r="J13" s="3"/>
      <c r="K13" s="3"/>
      <c r="L13" s="3"/>
      <c r="M13" s="3"/>
    </row>
    <row r="14" spans="2:13">
      <c r="B14" s="2">
        <v>5</v>
      </c>
      <c r="C14" s="55" t="s">
        <v>119</v>
      </c>
      <c r="D14" s="161">
        <v>1.8275897259438734E-2</v>
      </c>
      <c r="E14" s="161">
        <v>3.9310181620556509E-2</v>
      </c>
      <c r="F14" s="161">
        <v>7.2205833356134577E-2</v>
      </c>
      <c r="G14" s="161">
        <v>3.3125693369363045E-2</v>
      </c>
      <c r="H14" s="225">
        <v>2.3156899332173162E-2</v>
      </c>
      <c r="I14" s="3"/>
      <c r="J14" s="3"/>
      <c r="K14" s="3"/>
      <c r="L14" s="3"/>
      <c r="M14" s="3"/>
    </row>
    <row r="15" spans="2:13">
      <c r="B15" s="2">
        <v>6</v>
      </c>
      <c r="C15" s="55" t="s">
        <v>120</v>
      </c>
      <c r="D15" s="161">
        <v>2.1372235118199941E-3</v>
      </c>
      <c r="E15" s="161">
        <v>0</v>
      </c>
      <c r="F15" s="161">
        <v>2.433779549985759E-4</v>
      </c>
      <c r="G15" s="161">
        <v>1.8950517379663911E-3</v>
      </c>
      <c r="H15" s="225">
        <v>1.8467398759648803E-5</v>
      </c>
      <c r="I15" s="3"/>
      <c r="J15" s="3"/>
      <c r="K15" s="3"/>
      <c r="L15" s="3"/>
      <c r="M15" s="3"/>
    </row>
    <row r="16" spans="2:13">
      <c r="B16" s="2">
        <v>7</v>
      </c>
      <c r="C16" s="55" t="s">
        <v>121</v>
      </c>
      <c r="D16" s="161">
        <v>3.7677967953332813E-6</v>
      </c>
      <c r="E16" s="161">
        <v>1.7622563722511967E-5</v>
      </c>
      <c r="F16" s="161">
        <v>0</v>
      </c>
      <c r="G16" s="161">
        <v>0</v>
      </c>
      <c r="H16" s="225">
        <v>0</v>
      </c>
      <c r="I16" s="3"/>
      <c r="J16" s="3"/>
      <c r="K16" s="3"/>
      <c r="L16" s="3"/>
      <c r="M16" s="3"/>
    </row>
    <row r="17" spans="2:13">
      <c r="B17" s="2">
        <v>8</v>
      </c>
      <c r="C17" s="55" t="s">
        <v>122</v>
      </c>
      <c r="D17" s="161">
        <v>1.2682076747583848E-2</v>
      </c>
      <c r="E17" s="161">
        <v>1.813524263268973E-2</v>
      </c>
      <c r="F17" s="161">
        <v>1.4021011076247343E-2</v>
      </c>
      <c r="G17" s="161">
        <v>1.5110448815197344E-2</v>
      </c>
      <c r="H17" s="225">
        <v>7.7056471089742033E-3</v>
      </c>
      <c r="I17" s="161">
        <v>0.53057947586314924</v>
      </c>
      <c r="J17" s="161">
        <v>0.71782782359639552</v>
      </c>
      <c r="K17" s="161">
        <v>0.94272937168904447</v>
      </c>
      <c r="L17" s="161">
        <v>0.94272937168904447</v>
      </c>
      <c r="M17" s="161">
        <v>0.94272937168904447</v>
      </c>
    </row>
    <row r="18" spans="2:13" ht="15">
      <c r="B18" s="2">
        <v>9</v>
      </c>
      <c r="C18" s="56" t="s">
        <v>123</v>
      </c>
      <c r="D18" s="133">
        <f>SUM(D10:D17)</f>
        <v>0.51163219792067804</v>
      </c>
      <c r="E18" s="133">
        <f t="shared" ref="E18:M18" si="0">SUM(E10:E17)</f>
        <v>0.48720907520039497</v>
      </c>
      <c r="F18" s="133">
        <f t="shared" si="0"/>
        <v>0.59907374863770024</v>
      </c>
      <c r="G18" s="133">
        <f t="shared" si="0"/>
        <v>0.41301644095819096</v>
      </c>
      <c r="H18" s="133">
        <f t="shared" si="0"/>
        <v>0.28348057424057876</v>
      </c>
      <c r="I18" s="133">
        <f t="shared" si="0"/>
        <v>0.53057947586314924</v>
      </c>
      <c r="J18" s="133">
        <f t="shared" si="0"/>
        <v>0.71782782359639552</v>
      </c>
      <c r="K18" s="133">
        <f t="shared" si="0"/>
        <v>0.94272937168904447</v>
      </c>
      <c r="L18" s="133">
        <f t="shared" si="0"/>
        <v>0.94272937168904447</v>
      </c>
      <c r="M18" s="133">
        <f t="shared" si="0"/>
        <v>0.94272937168904447</v>
      </c>
    </row>
    <row r="19" spans="2:13">
      <c r="B19" s="2"/>
      <c r="C19" s="5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58" t="s">
        <v>124</v>
      </c>
      <c r="D20" s="161">
        <v>31.23</v>
      </c>
      <c r="E20" s="3">
        <v>31.23</v>
      </c>
      <c r="F20" s="3">
        <v>31.23</v>
      </c>
      <c r="G20" s="133">
        <f>'F4'!F21</f>
        <v>31.23</v>
      </c>
      <c r="H20" s="133">
        <f>'F4'!F30</f>
        <v>31.232505209999999</v>
      </c>
      <c r="I20" s="133">
        <f>'F4'!F39</f>
        <v>31.28250521</v>
      </c>
      <c r="J20" s="133">
        <f>'F4'!F48</f>
        <v>42.322505210000003</v>
      </c>
      <c r="K20" s="133">
        <f>'F4'!F57</f>
        <v>55.582505210000001</v>
      </c>
      <c r="L20" s="133">
        <f>'F4'!F66</f>
        <v>55.582505210000001</v>
      </c>
      <c r="M20" s="133">
        <f>'F4'!F75</f>
        <v>55.582505210000001</v>
      </c>
    </row>
    <row r="21" spans="2:13" ht="28.5">
      <c r="B21" s="2">
        <v>11</v>
      </c>
      <c r="C21" s="58" t="s">
        <v>125</v>
      </c>
      <c r="D21" s="162">
        <f>IFERROR(D18/D20,0)</f>
        <v>1.6382715271235287E-2</v>
      </c>
      <c r="E21" s="162">
        <f t="shared" ref="E21:M21" si="1">IFERROR(E18/E20,0)</f>
        <v>1.5600674838309157E-2</v>
      </c>
      <c r="F21" s="162">
        <f t="shared" si="1"/>
        <v>1.9182636843986561E-2</v>
      </c>
      <c r="G21" s="162">
        <f t="shared" si="1"/>
        <v>1.3224990104328881E-2</v>
      </c>
      <c r="H21" s="162">
        <f t="shared" si="1"/>
        <v>9.0764596798919017E-3</v>
      </c>
      <c r="I21" s="162">
        <f t="shared" si="1"/>
        <v>1.6960901062794045E-2</v>
      </c>
      <c r="J21" s="162">
        <f t="shared" si="1"/>
        <v>1.6960901062794045E-2</v>
      </c>
      <c r="K21" s="162">
        <f t="shared" si="1"/>
        <v>1.6960901062794045E-2</v>
      </c>
      <c r="L21" s="162">
        <f t="shared" si="1"/>
        <v>1.6960901062794045E-2</v>
      </c>
      <c r="M21" s="162">
        <f t="shared" si="1"/>
        <v>1.6960901062794045E-2</v>
      </c>
    </row>
    <row r="22" spans="2:13">
      <c r="B22" s="2"/>
      <c r="C22" s="54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view="pageBreakPreview" topLeftCell="D1" zoomScale="90" zoomScaleNormal="90" zoomScaleSheetLayoutView="90" workbookViewId="0">
      <selection activeCell="M13" sqref="M13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59"/>
    </row>
    <row r="2" spans="2:13">
      <c r="C2" s="5"/>
      <c r="D2" s="5"/>
      <c r="E2" s="5"/>
      <c r="F2" s="5"/>
      <c r="G2" s="5"/>
      <c r="H2" s="5"/>
      <c r="I2" s="5"/>
      <c r="J2" s="5"/>
      <c r="K2" s="5"/>
    </row>
    <row r="3" spans="2:13" ht="15">
      <c r="B3" s="250" t="s">
        <v>405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2:13" ht="15">
      <c r="B4" s="250" t="s">
        <v>408</v>
      </c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</row>
    <row r="5" spans="2:13" ht="15">
      <c r="B5" s="251" t="s">
        <v>409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2:13" ht="15">
      <c r="M6" s="28" t="s">
        <v>4</v>
      </c>
    </row>
    <row r="7" spans="2:13" s="19" customFormat="1" ht="15" customHeight="1">
      <c r="B7" s="264" t="s">
        <v>186</v>
      </c>
      <c r="C7" s="261" t="s">
        <v>18</v>
      </c>
      <c r="D7" s="255" t="s">
        <v>383</v>
      </c>
      <c r="E7" s="256"/>
      <c r="F7" s="257"/>
      <c r="G7" s="255" t="s">
        <v>384</v>
      </c>
      <c r="H7" s="256"/>
      <c r="I7" s="254" t="s">
        <v>225</v>
      </c>
      <c r="J7" s="254"/>
      <c r="K7" s="254"/>
      <c r="L7" s="254"/>
      <c r="M7" s="254"/>
    </row>
    <row r="8" spans="2:13" s="19" customFormat="1" ht="45">
      <c r="B8" s="265"/>
      <c r="C8" s="261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385</v>
      </c>
      <c r="J8" s="21" t="s">
        <v>386</v>
      </c>
      <c r="K8" s="21" t="s">
        <v>387</v>
      </c>
      <c r="L8" s="21" t="s">
        <v>388</v>
      </c>
      <c r="M8" s="21" t="s">
        <v>389</v>
      </c>
    </row>
    <row r="9" spans="2:13" s="19" customFormat="1" ht="15">
      <c r="B9" s="266"/>
      <c r="C9" s="267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2">
        <v>1</v>
      </c>
      <c r="C10" s="29" t="s">
        <v>249</v>
      </c>
      <c r="D10" s="2"/>
      <c r="E10" s="29"/>
      <c r="F10" s="29"/>
      <c r="G10" s="130"/>
      <c r="H10" s="130">
        <f>E13</f>
        <v>0.18688664999999999</v>
      </c>
      <c r="I10" s="130">
        <f>H13</f>
        <v>0</v>
      </c>
      <c r="J10" s="130">
        <f>I13</f>
        <v>0</v>
      </c>
      <c r="K10" s="130">
        <f>J13</f>
        <v>0</v>
      </c>
      <c r="L10" s="130">
        <f>K13</f>
        <v>0</v>
      </c>
      <c r="M10" s="130">
        <f>L13</f>
        <v>0</v>
      </c>
    </row>
    <row r="11" spans="2:13" s="5" customFormat="1">
      <c r="B11" s="23">
        <v>2</v>
      </c>
      <c r="C11" s="29" t="s">
        <v>279</v>
      </c>
      <c r="D11" s="2"/>
      <c r="E11" s="128">
        <f>F3.1!G14</f>
        <v>0.18688664999999999</v>
      </c>
      <c r="F11" s="209">
        <f>E11</f>
        <v>0.18688664999999999</v>
      </c>
      <c r="G11" s="24"/>
      <c r="H11" s="130">
        <f>F3.1!G20</f>
        <v>0.05</v>
      </c>
      <c r="I11" s="130">
        <f>F3.1!G28</f>
        <v>11.04</v>
      </c>
      <c r="J11" s="130">
        <f>F3.1!G34</f>
        <v>13.26</v>
      </c>
      <c r="K11" s="130">
        <f>F3.1!G40</f>
        <v>0</v>
      </c>
      <c r="L11" s="130">
        <f>F3.1!G46</f>
        <v>0</v>
      </c>
      <c r="M11" s="130">
        <f>F3.1!G52</f>
        <v>0</v>
      </c>
    </row>
    <row r="12" spans="2:13" s="5" customFormat="1" ht="15">
      <c r="B12" s="23">
        <v>3</v>
      </c>
      <c r="C12" s="31" t="s">
        <v>216</v>
      </c>
      <c r="D12" s="158"/>
      <c r="E12" s="168">
        <f>F3.1!H14</f>
        <v>0</v>
      </c>
      <c r="F12" s="168">
        <f>E12</f>
        <v>0</v>
      </c>
      <c r="G12" s="158"/>
      <c r="H12" s="170">
        <f>F3.1!H20</f>
        <v>0.05</v>
      </c>
      <c r="I12" s="170">
        <f>F3.1!H28</f>
        <v>11.04</v>
      </c>
      <c r="J12" s="170">
        <f>F3.1!H34</f>
        <v>13.26</v>
      </c>
      <c r="K12" s="170">
        <f>F3.1!H40</f>
        <v>0</v>
      </c>
      <c r="L12" s="170">
        <f>F3.1!H48</f>
        <v>0</v>
      </c>
      <c r="M12" s="170">
        <f>F3.1!H52</f>
        <v>0</v>
      </c>
    </row>
    <row r="13" spans="2:13" s="5" customFormat="1" ht="15">
      <c r="B13" s="23">
        <v>4</v>
      </c>
      <c r="C13" s="29" t="s">
        <v>250</v>
      </c>
      <c r="D13" s="160">
        <f>D10+D11-D12</f>
        <v>0</v>
      </c>
      <c r="E13" s="160">
        <f>E10+E11-E12</f>
        <v>0.18688664999999999</v>
      </c>
      <c r="F13" s="160">
        <f t="shared" ref="F13:M13" si="0">F10+F11-F12</f>
        <v>0.18688664999999999</v>
      </c>
      <c r="G13" s="160">
        <f t="shared" si="0"/>
        <v>0</v>
      </c>
      <c r="H13" s="159">
        <v>0</v>
      </c>
      <c r="I13" s="160">
        <f t="shared" si="0"/>
        <v>0</v>
      </c>
      <c r="J13" s="160">
        <f t="shared" si="0"/>
        <v>0</v>
      </c>
      <c r="K13" s="160">
        <f t="shared" si="0"/>
        <v>0</v>
      </c>
      <c r="L13" s="160">
        <f t="shared" si="0"/>
        <v>0</v>
      </c>
      <c r="M13" s="160">
        <f t="shared" si="0"/>
        <v>0</v>
      </c>
    </row>
    <row r="14" spans="2:13" s="35" customFormat="1" ht="15">
      <c r="B14" s="63"/>
      <c r="C14" s="51"/>
      <c r="D14" s="60"/>
      <c r="E14" s="60"/>
      <c r="F14" s="60"/>
      <c r="G14" s="61"/>
      <c r="H14" s="26"/>
      <c r="I14" s="26"/>
      <c r="J14" s="26"/>
      <c r="K14" s="26"/>
    </row>
    <row r="16" spans="2:13">
      <c r="B16" s="64"/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3"/>
  <sheetViews>
    <sheetView showGridLines="0" view="pageBreakPreview" topLeftCell="A17" zoomScale="90" zoomScaleNormal="80" zoomScaleSheetLayoutView="90" workbookViewId="0">
      <selection activeCell="H52" sqref="H52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22" ht="15">
      <c r="B1" s="26"/>
    </row>
    <row r="2" spans="1:22" ht="15">
      <c r="H2" s="36" t="s">
        <v>403</v>
      </c>
      <c r="I2" s="36"/>
    </row>
    <row r="3" spans="1:22" ht="15">
      <c r="H3" s="36" t="s">
        <v>382</v>
      </c>
      <c r="I3" s="36"/>
    </row>
    <row r="4" spans="1:22" ht="15">
      <c r="H4" s="37" t="s">
        <v>277</v>
      </c>
      <c r="I4" s="37"/>
    </row>
    <row r="5" spans="1:22" ht="15">
      <c r="K5" s="37"/>
    </row>
    <row r="6" spans="1:22" ht="60">
      <c r="B6" s="21" t="s">
        <v>186</v>
      </c>
      <c r="C6" s="25" t="s">
        <v>251</v>
      </c>
      <c r="D6" s="33" t="s">
        <v>253</v>
      </c>
      <c r="E6" s="25" t="s">
        <v>252</v>
      </c>
      <c r="F6" s="33" t="s">
        <v>255</v>
      </c>
      <c r="G6" s="33" t="s">
        <v>258</v>
      </c>
      <c r="H6" s="33" t="s">
        <v>259</v>
      </c>
      <c r="I6" s="33" t="s">
        <v>272</v>
      </c>
      <c r="J6" s="25" t="s">
        <v>254</v>
      </c>
      <c r="K6" s="33" t="s">
        <v>260</v>
      </c>
      <c r="L6" s="33" t="s">
        <v>175</v>
      </c>
      <c r="M6" s="27"/>
      <c r="N6" s="27"/>
      <c r="O6" s="27"/>
      <c r="P6" s="27"/>
    </row>
    <row r="7" spans="1:22" s="35" customFormat="1" ht="15">
      <c r="B7" s="23"/>
      <c r="C7" s="33" t="s">
        <v>383</v>
      </c>
      <c r="D7" s="32"/>
      <c r="E7" s="32"/>
      <c r="F7" s="32"/>
      <c r="G7" s="32"/>
      <c r="H7" s="32"/>
      <c r="I7" s="32"/>
      <c r="J7" s="32"/>
      <c r="K7" s="33"/>
      <c r="L7" s="34"/>
      <c r="M7" s="26"/>
      <c r="N7" s="26"/>
      <c r="O7" s="26"/>
      <c r="P7" s="26"/>
      <c r="Q7" s="26"/>
    </row>
    <row r="8" spans="1:22" ht="15">
      <c r="A8" s="205"/>
      <c r="B8" s="23">
        <v>1</v>
      </c>
      <c r="C8" s="206" t="s">
        <v>401</v>
      </c>
      <c r="D8" s="29"/>
      <c r="E8" s="29"/>
      <c r="F8" s="29"/>
      <c r="G8" s="207">
        <f>0.14144775-0.03</f>
        <v>0.11144775000000001</v>
      </c>
      <c r="H8" s="207"/>
      <c r="I8" s="29"/>
      <c r="J8" s="29"/>
      <c r="K8" s="29"/>
      <c r="L8" s="29"/>
      <c r="R8" s="205"/>
      <c r="S8" s="205"/>
      <c r="T8" s="205"/>
      <c r="U8" s="205"/>
      <c r="V8" s="205"/>
    </row>
    <row r="9" spans="1:22" ht="15">
      <c r="A9" s="205"/>
      <c r="B9" s="23">
        <v>2</v>
      </c>
      <c r="C9" s="206" t="s">
        <v>402</v>
      </c>
      <c r="D9" s="29"/>
      <c r="E9" s="205"/>
      <c r="F9" s="29"/>
      <c r="G9" s="207">
        <f>0.0954389-0.02</f>
        <v>7.5438899999999989E-2</v>
      </c>
      <c r="H9" s="207"/>
      <c r="I9" s="205"/>
      <c r="J9" s="29"/>
      <c r="K9" s="29"/>
      <c r="L9" s="29"/>
      <c r="R9" s="205"/>
      <c r="S9" s="205"/>
      <c r="T9" s="205"/>
      <c r="U9" s="205"/>
      <c r="V9" s="205"/>
    </row>
    <row r="10" spans="1:22">
      <c r="B10" s="23">
        <v>1</v>
      </c>
      <c r="C10" s="23"/>
      <c r="D10" s="29"/>
      <c r="E10" s="29"/>
      <c r="F10" s="29"/>
      <c r="G10" s="29"/>
      <c r="H10" s="29"/>
      <c r="I10" s="29"/>
      <c r="J10" s="29"/>
      <c r="K10" s="29"/>
      <c r="L10" s="29"/>
    </row>
    <row r="11" spans="1:22">
      <c r="B11" s="23">
        <v>2</v>
      </c>
      <c r="C11" s="23"/>
      <c r="D11" s="29"/>
      <c r="E11" s="29"/>
      <c r="F11" s="29"/>
      <c r="G11" s="29"/>
      <c r="H11" s="29"/>
      <c r="I11" s="29"/>
      <c r="J11" s="29"/>
      <c r="K11" s="29"/>
      <c r="L11" s="29"/>
    </row>
    <row r="12" spans="1:22">
      <c r="B12" s="23">
        <v>3</v>
      </c>
      <c r="C12" s="23"/>
      <c r="D12" s="29"/>
      <c r="E12" s="29"/>
      <c r="F12" s="29"/>
      <c r="G12" s="29"/>
      <c r="H12" s="29"/>
      <c r="I12" s="29"/>
      <c r="J12" s="29"/>
      <c r="K12" s="29"/>
      <c r="L12" s="29"/>
    </row>
    <row r="13" spans="1:22">
      <c r="B13" s="29"/>
      <c r="C13" s="29" t="s">
        <v>9</v>
      </c>
      <c r="D13" s="29"/>
      <c r="E13" s="29"/>
      <c r="F13" s="29">
        <v>0</v>
      </c>
      <c r="G13" s="29">
        <v>0.18688664999999999</v>
      </c>
      <c r="H13" s="29">
        <v>0</v>
      </c>
      <c r="I13" s="29"/>
      <c r="J13" s="29"/>
      <c r="K13" s="29"/>
      <c r="L13" s="29"/>
    </row>
    <row r="14" spans="1:22" ht="15">
      <c r="B14" s="29"/>
      <c r="C14" s="25" t="s">
        <v>127</v>
      </c>
      <c r="D14" s="171"/>
      <c r="E14" s="157"/>
      <c r="F14" s="134">
        <f>F13</f>
        <v>0</v>
      </c>
      <c r="G14" s="208">
        <f>G13</f>
        <v>0.18688664999999999</v>
      </c>
      <c r="H14" s="134">
        <f>H13</f>
        <v>0</v>
      </c>
      <c r="I14" s="29"/>
      <c r="J14" s="29"/>
      <c r="K14" s="29"/>
      <c r="L14" s="29"/>
    </row>
    <row r="15" spans="1:22" ht="15">
      <c r="B15" s="23"/>
      <c r="C15" s="33" t="s">
        <v>384</v>
      </c>
      <c r="D15" s="157"/>
      <c r="E15" s="157"/>
      <c r="F15" s="157"/>
      <c r="G15" s="157"/>
      <c r="H15" s="157"/>
      <c r="I15" s="29"/>
      <c r="J15" s="29"/>
      <c r="K15" s="29"/>
      <c r="L15" s="29"/>
    </row>
    <row r="16" spans="1:22">
      <c r="B16" s="23">
        <v>1</v>
      </c>
      <c r="C16" s="23"/>
      <c r="D16" s="157"/>
      <c r="E16" s="157"/>
      <c r="F16" s="157"/>
      <c r="G16" s="157"/>
      <c r="H16" s="157"/>
      <c r="I16" s="29"/>
      <c r="J16" s="29"/>
      <c r="K16" s="29"/>
      <c r="L16" s="29"/>
    </row>
    <row r="17" spans="2:12">
      <c r="B17" s="23">
        <v>2</v>
      </c>
      <c r="C17" s="23"/>
      <c r="D17" s="157"/>
      <c r="E17" s="157"/>
      <c r="F17" s="157"/>
      <c r="G17" s="157"/>
      <c r="H17" s="157"/>
      <c r="I17" s="29"/>
      <c r="J17" s="29"/>
      <c r="K17" s="29"/>
      <c r="L17" s="29"/>
    </row>
    <row r="18" spans="2:12">
      <c r="B18" s="23">
        <v>3</v>
      </c>
      <c r="C18" s="23"/>
      <c r="D18" s="157"/>
      <c r="E18" s="157"/>
      <c r="F18" s="157"/>
      <c r="G18" s="157"/>
      <c r="H18" s="157"/>
      <c r="I18" s="29"/>
      <c r="J18" s="29"/>
      <c r="K18" s="29"/>
      <c r="L18" s="29"/>
    </row>
    <row r="19" spans="2:12">
      <c r="B19" s="29"/>
      <c r="C19" s="29" t="s">
        <v>9</v>
      </c>
      <c r="D19" s="157"/>
      <c r="E19" s="157"/>
      <c r="F19" s="157"/>
      <c r="G19" s="157">
        <v>0.05</v>
      </c>
      <c r="H19" s="157">
        <v>0.05</v>
      </c>
      <c r="I19" s="29"/>
      <c r="J19" s="29"/>
      <c r="K19" s="29"/>
      <c r="L19" s="29"/>
    </row>
    <row r="20" spans="2:12" ht="15">
      <c r="B20" s="29"/>
      <c r="C20" s="25" t="s">
        <v>127</v>
      </c>
      <c r="D20" s="171"/>
      <c r="E20" s="157"/>
      <c r="F20" s="134">
        <f>F19</f>
        <v>0</v>
      </c>
      <c r="G20" s="134">
        <f t="shared" ref="G20:H20" si="0">G19</f>
        <v>0.05</v>
      </c>
      <c r="H20" s="134">
        <f t="shared" si="0"/>
        <v>0.05</v>
      </c>
      <c r="I20" s="29"/>
      <c r="J20" s="29"/>
      <c r="K20" s="29"/>
      <c r="L20" s="29"/>
    </row>
    <row r="21" spans="2:12" ht="15">
      <c r="B21" s="23"/>
      <c r="C21" s="33" t="s">
        <v>385</v>
      </c>
      <c r="D21" s="157"/>
      <c r="E21" s="157"/>
      <c r="F21" s="157"/>
      <c r="G21" s="157"/>
      <c r="H21" s="157"/>
      <c r="I21" s="29"/>
      <c r="J21" s="29"/>
      <c r="K21" s="29"/>
      <c r="L21" s="29"/>
    </row>
    <row r="22" spans="2:12">
      <c r="B22" s="23">
        <v>1</v>
      </c>
      <c r="C22" s="23"/>
      <c r="D22" s="157"/>
      <c r="E22" s="157"/>
      <c r="F22" s="157"/>
      <c r="G22" s="157"/>
      <c r="H22" s="157"/>
      <c r="I22" s="29"/>
      <c r="J22" s="29"/>
      <c r="K22" s="29"/>
      <c r="L22" s="29"/>
    </row>
    <row r="23" spans="2:12">
      <c r="B23" s="23">
        <v>2</v>
      </c>
      <c r="C23" s="23"/>
      <c r="D23" s="157"/>
      <c r="E23" s="157"/>
      <c r="F23" s="157"/>
      <c r="G23" s="157"/>
      <c r="H23" s="157"/>
      <c r="I23" s="29"/>
      <c r="J23" s="29"/>
      <c r="K23" s="29"/>
      <c r="L23" s="29"/>
    </row>
    <row r="24" spans="2:12" ht="15">
      <c r="B24" s="23">
        <v>3</v>
      </c>
      <c r="C24" s="23"/>
      <c r="D24" s="157"/>
      <c r="E24" s="171" t="s">
        <v>404</v>
      </c>
      <c r="F24" s="157"/>
      <c r="G24" s="157">
        <v>0.04</v>
      </c>
      <c r="H24" s="157">
        <v>0.04</v>
      </c>
      <c r="I24" s="29"/>
      <c r="J24" s="29"/>
      <c r="K24" s="29"/>
      <c r="L24" s="29"/>
    </row>
    <row r="25" spans="2:12">
      <c r="B25" s="29"/>
      <c r="C25" s="29" t="s">
        <v>9</v>
      </c>
      <c r="D25" s="157"/>
      <c r="E25" s="157"/>
      <c r="F25" s="157"/>
      <c r="G25" s="157">
        <v>11</v>
      </c>
      <c r="H25" s="157">
        <v>11</v>
      </c>
      <c r="I25" s="29"/>
      <c r="J25" s="29"/>
      <c r="K25" s="29"/>
      <c r="L25" s="29"/>
    </row>
    <row r="26" spans="2:12">
      <c r="B26" s="29"/>
      <c r="C26" s="29"/>
      <c r="D26" s="157"/>
      <c r="E26" s="157"/>
      <c r="F26" s="157"/>
      <c r="G26" s="157"/>
      <c r="H26" s="157"/>
      <c r="I26" s="29"/>
      <c r="J26" s="29"/>
      <c r="K26" s="29"/>
      <c r="L26" s="29"/>
    </row>
    <row r="27" spans="2:12">
      <c r="B27" s="29"/>
      <c r="C27" s="29"/>
      <c r="D27" s="157"/>
      <c r="E27" s="157"/>
      <c r="F27" s="157">
        <v>0</v>
      </c>
      <c r="G27" s="157">
        <v>11.04</v>
      </c>
      <c r="H27" s="157">
        <v>11.04</v>
      </c>
      <c r="I27" s="29"/>
      <c r="J27" s="29"/>
      <c r="K27" s="29"/>
      <c r="L27" s="29"/>
    </row>
    <row r="28" spans="2:12" ht="15">
      <c r="B28" s="29"/>
      <c r="C28" s="25" t="s">
        <v>127</v>
      </c>
      <c r="D28" s="171"/>
      <c r="E28" s="157"/>
      <c r="F28" s="134">
        <f>F27</f>
        <v>0</v>
      </c>
      <c r="G28" s="134">
        <f t="shared" ref="G28:H28" si="1">G27</f>
        <v>11.04</v>
      </c>
      <c r="H28" s="134">
        <f t="shared" si="1"/>
        <v>11.04</v>
      </c>
      <c r="I28" s="29"/>
      <c r="J28" s="29"/>
      <c r="K28" s="29"/>
      <c r="L28" s="29"/>
    </row>
    <row r="29" spans="2:12" ht="15">
      <c r="B29" s="23"/>
      <c r="C29" s="33" t="s">
        <v>386</v>
      </c>
      <c r="D29" s="157"/>
      <c r="E29" s="157"/>
      <c r="F29" s="157"/>
      <c r="G29" s="157"/>
      <c r="H29" s="157"/>
      <c r="I29" s="29"/>
      <c r="J29" s="29"/>
      <c r="K29" s="29"/>
      <c r="L29" s="29"/>
    </row>
    <row r="30" spans="2:12">
      <c r="B30" s="23">
        <v>1</v>
      </c>
      <c r="C30" s="23"/>
      <c r="D30" s="157"/>
      <c r="E30" s="157"/>
      <c r="F30" s="157"/>
      <c r="G30" s="157"/>
      <c r="H30" s="157"/>
      <c r="I30" s="29"/>
      <c r="J30" s="29"/>
      <c r="K30" s="29"/>
      <c r="L30" s="29"/>
    </row>
    <row r="31" spans="2:12">
      <c r="B31" s="23">
        <v>2</v>
      </c>
      <c r="C31" s="23"/>
      <c r="D31" s="157"/>
      <c r="E31" s="157"/>
      <c r="F31" s="157"/>
      <c r="G31" s="157"/>
      <c r="H31" s="157"/>
      <c r="I31" s="29"/>
      <c r="J31" s="29"/>
      <c r="K31" s="29"/>
      <c r="L31" s="29"/>
    </row>
    <row r="32" spans="2:12">
      <c r="B32" s="23">
        <v>3</v>
      </c>
      <c r="C32" s="23"/>
      <c r="D32" s="157"/>
      <c r="E32" s="157"/>
      <c r="F32" s="157"/>
      <c r="G32" s="157"/>
      <c r="H32" s="157"/>
      <c r="I32" s="29"/>
      <c r="J32" s="29"/>
      <c r="K32" s="29"/>
      <c r="L32" s="29"/>
    </row>
    <row r="33" spans="2:12">
      <c r="B33" s="29"/>
      <c r="C33" s="29" t="s">
        <v>9</v>
      </c>
      <c r="D33" s="157"/>
      <c r="E33" s="157"/>
      <c r="F33" s="157"/>
      <c r="G33" s="157">
        <v>13.26</v>
      </c>
      <c r="H33" s="157">
        <v>13.26</v>
      </c>
      <c r="I33" s="29"/>
      <c r="J33" s="29"/>
      <c r="K33" s="29"/>
      <c r="L33" s="29"/>
    </row>
    <row r="34" spans="2:12" ht="15">
      <c r="B34" s="29"/>
      <c r="C34" s="25" t="s">
        <v>127</v>
      </c>
      <c r="D34" s="171"/>
      <c r="E34" s="157"/>
      <c r="F34" s="134">
        <f>F33</f>
        <v>0</v>
      </c>
      <c r="G34" s="134">
        <f t="shared" ref="G34:H34" si="2">G33</f>
        <v>13.26</v>
      </c>
      <c r="H34" s="134">
        <f t="shared" si="2"/>
        <v>13.26</v>
      </c>
      <c r="I34" s="29"/>
      <c r="J34" s="29"/>
      <c r="K34" s="29"/>
      <c r="L34" s="29"/>
    </row>
    <row r="35" spans="2:12" ht="15">
      <c r="B35" s="23"/>
      <c r="C35" s="33" t="s">
        <v>387</v>
      </c>
      <c r="D35" s="157"/>
      <c r="E35" s="157"/>
      <c r="F35" s="157"/>
      <c r="G35" s="157"/>
      <c r="H35" s="157"/>
      <c r="J35" s="29"/>
      <c r="K35" s="29"/>
      <c r="L35" s="29"/>
    </row>
    <row r="36" spans="2:12">
      <c r="B36" s="23">
        <v>1</v>
      </c>
      <c r="C36" s="23"/>
      <c r="D36" s="157"/>
      <c r="E36" s="157"/>
      <c r="F36" s="157"/>
      <c r="G36" s="157"/>
      <c r="H36" s="157"/>
      <c r="I36" s="29"/>
      <c r="J36" s="29"/>
      <c r="K36" s="29"/>
      <c r="L36" s="29"/>
    </row>
    <row r="37" spans="2:12">
      <c r="B37" s="23">
        <v>2</v>
      </c>
      <c r="C37" s="23"/>
      <c r="D37" s="157"/>
      <c r="E37" s="157"/>
      <c r="F37" s="157"/>
      <c r="G37" s="157"/>
      <c r="H37" s="157"/>
      <c r="I37" s="29"/>
      <c r="J37" s="29"/>
      <c r="K37" s="29"/>
      <c r="L37" s="29"/>
    </row>
    <row r="38" spans="2:12">
      <c r="B38" s="23">
        <v>3</v>
      </c>
      <c r="C38" s="23"/>
      <c r="D38" s="157"/>
      <c r="E38" s="157"/>
      <c r="F38" s="157"/>
      <c r="G38" s="157"/>
      <c r="H38" s="157"/>
      <c r="I38" s="29"/>
      <c r="J38" s="29"/>
      <c r="K38" s="29"/>
      <c r="L38" s="29"/>
    </row>
    <row r="39" spans="2:12">
      <c r="B39" s="29"/>
      <c r="C39" s="29" t="s">
        <v>9</v>
      </c>
      <c r="D39" s="157"/>
      <c r="E39" s="157"/>
      <c r="F39" s="157"/>
      <c r="G39" s="157"/>
      <c r="H39" s="157"/>
      <c r="I39" s="29"/>
      <c r="J39" s="29"/>
      <c r="K39" s="29"/>
      <c r="L39" s="29"/>
    </row>
    <row r="40" spans="2:12" ht="15">
      <c r="B40" s="29"/>
      <c r="C40" s="25" t="s">
        <v>127</v>
      </c>
      <c r="D40" s="171"/>
      <c r="E40" s="157"/>
      <c r="F40" s="134">
        <f>F39</f>
        <v>0</v>
      </c>
      <c r="G40" s="134">
        <f t="shared" ref="G40:H40" si="3">G39</f>
        <v>0</v>
      </c>
      <c r="H40" s="134">
        <f t="shared" si="3"/>
        <v>0</v>
      </c>
      <c r="I40" s="29"/>
      <c r="J40" s="29"/>
      <c r="K40" s="29"/>
      <c r="L40" s="29"/>
    </row>
    <row r="41" spans="2:12" ht="15">
      <c r="B41" s="23"/>
      <c r="C41" s="33" t="s">
        <v>388</v>
      </c>
      <c r="D41" s="157"/>
      <c r="E41" s="157"/>
      <c r="F41" s="157"/>
      <c r="G41" s="157"/>
      <c r="H41" s="157"/>
      <c r="I41" s="29"/>
      <c r="J41" s="29"/>
      <c r="K41" s="29"/>
      <c r="L41" s="29"/>
    </row>
    <row r="42" spans="2:12">
      <c r="B42" s="23">
        <v>1</v>
      </c>
      <c r="C42" s="23"/>
      <c r="D42" s="157"/>
      <c r="E42" s="157"/>
      <c r="F42" s="157"/>
      <c r="G42" s="157"/>
      <c r="H42" s="157"/>
      <c r="I42" s="29"/>
      <c r="J42" s="29"/>
      <c r="K42" s="29"/>
      <c r="L42" s="29"/>
    </row>
    <row r="43" spans="2:12">
      <c r="B43" s="23">
        <v>2</v>
      </c>
      <c r="C43" s="23"/>
      <c r="D43" s="157"/>
      <c r="E43" s="157"/>
      <c r="F43" s="157"/>
      <c r="G43" s="157"/>
      <c r="H43" s="157"/>
      <c r="I43" s="29"/>
      <c r="J43" s="29"/>
      <c r="K43" s="29"/>
      <c r="L43" s="29"/>
    </row>
    <row r="44" spans="2:12">
      <c r="B44" s="23">
        <v>3</v>
      </c>
      <c r="C44" s="23"/>
      <c r="D44" s="157"/>
      <c r="E44" s="157"/>
      <c r="F44" s="157"/>
      <c r="G44" s="157"/>
      <c r="H44" s="157"/>
      <c r="I44" s="29"/>
      <c r="J44" s="29"/>
      <c r="K44" s="29"/>
      <c r="L44" s="29"/>
    </row>
    <row r="45" spans="2:12">
      <c r="B45" s="29"/>
      <c r="C45" s="29" t="s">
        <v>9</v>
      </c>
      <c r="D45" s="157"/>
      <c r="E45" s="157"/>
      <c r="F45" s="157"/>
      <c r="G45" s="157"/>
      <c r="H45" s="157"/>
      <c r="I45" s="29"/>
      <c r="J45" s="29"/>
      <c r="K45" s="29"/>
      <c r="L45" s="29"/>
    </row>
    <row r="46" spans="2:12" ht="15">
      <c r="B46" s="29"/>
      <c r="C46" s="25" t="s">
        <v>127</v>
      </c>
      <c r="D46" s="171"/>
      <c r="E46" s="157"/>
      <c r="F46" s="134">
        <f>F45</f>
        <v>0</v>
      </c>
      <c r="G46" s="134">
        <f t="shared" ref="G46:H46" si="4">G45</f>
        <v>0</v>
      </c>
      <c r="H46" s="134">
        <f t="shared" si="4"/>
        <v>0</v>
      </c>
      <c r="I46" s="29"/>
      <c r="J46" s="29"/>
      <c r="K46" s="29"/>
      <c r="L46" s="29"/>
    </row>
    <row r="47" spans="2:12" ht="15">
      <c r="B47" s="23"/>
      <c r="C47" s="33" t="s">
        <v>389</v>
      </c>
      <c r="D47" s="157"/>
      <c r="E47" s="157"/>
      <c r="F47" s="157"/>
      <c r="G47" s="157"/>
      <c r="H47" s="157"/>
      <c r="I47" s="29"/>
      <c r="J47" s="29"/>
      <c r="K47" s="29"/>
      <c r="L47" s="29"/>
    </row>
    <row r="48" spans="2:12">
      <c r="B48" s="23">
        <v>1</v>
      </c>
      <c r="C48" s="23"/>
      <c r="D48" s="157"/>
      <c r="E48" s="157"/>
      <c r="F48" s="157"/>
      <c r="G48" s="157"/>
      <c r="H48" s="157"/>
      <c r="I48" s="29"/>
      <c r="J48" s="29"/>
      <c r="K48" s="29"/>
      <c r="L48" s="29"/>
    </row>
    <row r="49" spans="2:12">
      <c r="B49" s="23">
        <v>2</v>
      </c>
      <c r="C49" s="23"/>
      <c r="D49" s="157"/>
      <c r="E49" s="157"/>
      <c r="F49" s="157"/>
      <c r="G49" s="157"/>
      <c r="H49" s="157"/>
      <c r="I49" s="29"/>
      <c r="J49" s="29"/>
      <c r="K49" s="29"/>
      <c r="L49" s="29"/>
    </row>
    <row r="50" spans="2:12">
      <c r="B50" s="23">
        <v>3</v>
      </c>
      <c r="C50" s="23"/>
      <c r="D50" s="157"/>
      <c r="E50" s="157"/>
      <c r="F50" s="157"/>
      <c r="G50" s="157"/>
      <c r="H50" s="157"/>
      <c r="I50" s="29"/>
      <c r="J50" s="29"/>
      <c r="K50" s="29"/>
      <c r="L50" s="29"/>
    </row>
    <row r="51" spans="2:12">
      <c r="B51" s="29"/>
      <c r="C51" s="29" t="s">
        <v>9</v>
      </c>
      <c r="D51" s="157"/>
      <c r="E51" s="157"/>
      <c r="F51" s="157"/>
      <c r="G51" s="157"/>
      <c r="H51" s="157"/>
      <c r="I51" s="29"/>
      <c r="J51" s="29"/>
      <c r="K51" s="29"/>
      <c r="L51" s="29"/>
    </row>
    <row r="52" spans="2:12" ht="15">
      <c r="B52" s="29"/>
      <c r="C52" s="25" t="s">
        <v>127</v>
      </c>
      <c r="D52" s="134">
        <f>SUM(D48:D51)</f>
        <v>0</v>
      </c>
      <c r="E52" s="157"/>
      <c r="F52" s="134">
        <f>F51</f>
        <v>0</v>
      </c>
      <c r="G52" s="134">
        <f t="shared" ref="G52:H52" si="5">G51</f>
        <v>0</v>
      </c>
      <c r="H52" s="134">
        <f t="shared" si="5"/>
        <v>0</v>
      </c>
      <c r="I52" s="29"/>
      <c r="J52" s="29"/>
      <c r="K52" s="29"/>
      <c r="L52" s="29"/>
    </row>
    <row r="53" spans="2:12">
      <c r="B53" s="63" t="s">
        <v>256</v>
      </c>
      <c r="C53" s="52" t="s">
        <v>257</v>
      </c>
    </row>
  </sheetData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</vt:i4>
      </vt:variant>
    </vt:vector>
  </HeadingPairs>
  <TitlesOfParts>
    <vt:vector size="21" baseType="lpstr">
      <vt:lpstr>Title</vt:lpstr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  <vt:lpstr>'F4'!Print_Area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2024-09-21T05:54:13Z</cp:lastPrinted>
  <dcterms:created xsi:type="dcterms:W3CDTF">2004-07-28T05:30:50Z</dcterms:created>
  <dcterms:modified xsi:type="dcterms:W3CDTF">2024-09-22T12:40:06Z</dcterms:modified>
</cp:coreProperties>
</file>