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0140" yWindow="0" windowWidth="10455" windowHeight="10905" tabRatio="926" activeTab="8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4" sheetId="72" r:id="rId17"/>
    <sheet name="F15" sheetId="91" r:id="rId18"/>
  </sheets>
  <externalReferences>
    <externalReference r:id="rId19"/>
    <externalReference r:id="rId20"/>
    <externalReference r:id="rId21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Checklist!$A$1:$E$41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24519" iterate="1" iterateCount="10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09"/>
  <c r="G18"/>
  <c r="H18"/>
  <c r="I18"/>
  <c r="J18"/>
  <c r="J9"/>
  <c r="I9"/>
  <c r="H9"/>
  <c r="G9"/>
  <c r="F9"/>
  <c r="E9"/>
  <c r="D9"/>
  <c r="E18"/>
  <c r="E21" s="1"/>
  <c r="F21"/>
  <c r="E15"/>
  <c r="G12" i="103"/>
  <c r="H12"/>
  <c r="H20" s="1"/>
  <c r="I12"/>
  <c r="I20" s="1"/>
  <c r="I22" s="1"/>
  <c r="G15"/>
  <c r="G16"/>
  <c r="G18" s="1"/>
  <c r="G17"/>
  <c r="H56" i="101"/>
  <c r="M12" i="93" s="1"/>
  <c r="G56" i="101"/>
  <c r="M11" i="93" s="1"/>
  <c r="F56" i="101"/>
  <c r="D56"/>
  <c r="H50"/>
  <c r="L12" i="93" s="1"/>
  <c r="G50" i="101"/>
  <c r="L11" i="93" s="1"/>
  <c r="F50" i="101"/>
  <c r="H44"/>
  <c r="K12" i="93" s="1"/>
  <c r="G44" i="101"/>
  <c r="K11" i="93" s="1"/>
  <c r="F44" i="101"/>
  <c r="H38"/>
  <c r="J12" i="93" s="1"/>
  <c r="G38" i="101"/>
  <c r="J11" i="93" s="1"/>
  <c r="F38" i="101"/>
  <c r="H32"/>
  <c r="I12" i="93" s="1"/>
  <c r="G32" i="101"/>
  <c r="I11" i="93" s="1"/>
  <c r="F32" i="101"/>
  <c r="H24"/>
  <c r="G24"/>
  <c r="F24"/>
  <c r="H15"/>
  <c r="G15"/>
  <c r="F15"/>
  <c r="I11" i="105" l="1"/>
  <c r="I12" s="1"/>
  <c r="K14" i="103"/>
  <c r="J11" i="105"/>
  <c r="J12" s="1"/>
  <c r="L14" i="103"/>
  <c r="K11" i="105"/>
  <c r="K12" s="1"/>
  <c r="M14" i="103"/>
  <c r="L11" i="105"/>
  <c r="L12" s="1"/>
  <c r="N14" i="103"/>
  <c r="M11" i="105"/>
  <c r="M12" s="1"/>
  <c r="O14" i="103"/>
  <c r="D72" i="71"/>
  <c r="E72"/>
  <c r="F72"/>
  <c r="G72"/>
  <c r="H72"/>
  <c r="I72"/>
  <c r="J72"/>
  <c r="K72"/>
  <c r="L72"/>
  <c r="M72"/>
  <c r="N72"/>
  <c r="C72"/>
  <c r="D62"/>
  <c r="E62"/>
  <c r="F62"/>
  <c r="G62"/>
  <c r="H62"/>
  <c r="I62"/>
  <c r="J62"/>
  <c r="K62"/>
  <c r="L62"/>
  <c r="M62"/>
  <c r="N62"/>
  <c r="C62"/>
  <c r="D52"/>
  <c r="E52"/>
  <c r="F52"/>
  <c r="G52"/>
  <c r="H52"/>
  <c r="I52"/>
  <c r="J52"/>
  <c r="K52"/>
  <c r="L52"/>
  <c r="M52"/>
  <c r="N52"/>
  <c r="C52"/>
  <c r="D42"/>
  <c r="E42"/>
  <c r="F42"/>
  <c r="G42"/>
  <c r="H42"/>
  <c r="I42"/>
  <c r="J42"/>
  <c r="K42"/>
  <c r="L42"/>
  <c r="M42"/>
  <c r="N42"/>
  <c r="C42"/>
  <c r="D32"/>
  <c r="E32"/>
  <c r="F32"/>
  <c r="G32"/>
  <c r="H32"/>
  <c r="I32"/>
  <c r="J32"/>
  <c r="K32"/>
  <c r="L32"/>
  <c r="M32"/>
  <c r="N32"/>
  <c r="C32"/>
  <c r="D22"/>
  <c r="E22"/>
  <c r="F22"/>
  <c r="G22"/>
  <c r="H22"/>
  <c r="C22"/>
  <c r="D12"/>
  <c r="E12"/>
  <c r="F12"/>
  <c r="G12"/>
  <c r="H12"/>
  <c r="I12"/>
  <c r="J12"/>
  <c r="K12"/>
  <c r="L12"/>
  <c r="M12"/>
  <c r="N12"/>
  <c r="C12"/>
  <c r="N20" l="1"/>
  <c r="M20"/>
  <c r="L20"/>
  <c r="K20"/>
  <c r="J20"/>
  <c r="I20"/>
  <c r="N18"/>
  <c r="M18"/>
  <c r="M22" s="1"/>
  <c r="L18"/>
  <c r="L22" s="1"/>
  <c r="K18"/>
  <c r="I18"/>
  <c r="J18"/>
  <c r="F19" i="104"/>
  <c r="O70" i="71"/>
  <c r="O68"/>
  <c r="O60"/>
  <c r="O58"/>
  <c r="O50"/>
  <c r="O48"/>
  <c r="O40"/>
  <c r="O38"/>
  <c r="O30"/>
  <c r="O28"/>
  <c r="O10"/>
  <c r="O8"/>
  <c r="O32" l="1"/>
  <c r="O52"/>
  <c r="O72"/>
  <c r="O62"/>
  <c r="O42"/>
  <c r="J22"/>
  <c r="K22"/>
  <c r="O12"/>
  <c r="I22"/>
  <c r="N22"/>
  <c r="O20"/>
  <c r="O18"/>
  <c r="O22" l="1"/>
  <c r="J12" i="102"/>
  <c r="I16"/>
  <c r="K16" s="1"/>
  <c r="F12"/>
  <c r="I12" l="1"/>
  <c r="K12" s="1"/>
  <c r="G14" i="104"/>
  <c r="D14"/>
  <c r="G13"/>
  <c r="D13"/>
  <c r="I17" i="58"/>
  <c r="I23" s="1"/>
  <c r="F17"/>
  <c r="F23" s="1"/>
  <c r="L38" i="102" l="1"/>
  <c r="H38"/>
  <c r="G17" i="105" l="1"/>
  <c r="F17"/>
  <c r="J21" i="102" l="1"/>
  <c r="L21"/>
  <c r="F21"/>
  <c r="N12"/>
  <c r="F29"/>
  <c r="N11"/>
  <c r="I11"/>
  <c r="N10"/>
  <c r="I10"/>
  <c r="N9"/>
  <c r="I9"/>
  <c r="N16"/>
  <c r="F33"/>
  <c r="N15"/>
  <c r="I15"/>
  <c r="N14"/>
  <c r="I14"/>
  <c r="N13"/>
  <c r="I13"/>
  <c r="K13" l="1"/>
  <c r="M13" s="1"/>
  <c r="O13" s="1"/>
  <c r="K14"/>
  <c r="M14" s="1"/>
  <c r="O14" s="1"/>
  <c r="F32"/>
  <c r="I32" s="1"/>
  <c r="K32" s="1"/>
  <c r="K15"/>
  <c r="F26"/>
  <c r="I26" s="1"/>
  <c r="K26" s="1"/>
  <c r="M26" s="1"/>
  <c r="O26" s="1"/>
  <c r="K9"/>
  <c r="K10"/>
  <c r="M10" s="1"/>
  <c r="O10" s="1"/>
  <c r="F28"/>
  <c r="K11"/>
  <c r="M11" s="1"/>
  <c r="O11" s="1"/>
  <c r="N32"/>
  <c r="N33"/>
  <c r="N29"/>
  <c r="Q21"/>
  <c r="N21"/>
  <c r="I21"/>
  <c r="Q20"/>
  <c r="D11" i="103"/>
  <c r="E11"/>
  <c r="F11" s="1"/>
  <c r="D10"/>
  <c r="D10" i="105"/>
  <c r="E10"/>
  <c r="F10" s="1"/>
  <c r="F27" i="102"/>
  <c r="N28"/>
  <c r="F31"/>
  <c r="F30"/>
  <c r="I27"/>
  <c r="I29"/>
  <c r="K29" s="1"/>
  <c r="I28"/>
  <c r="K28" s="1"/>
  <c r="I31"/>
  <c r="I33"/>
  <c r="K33" s="1"/>
  <c r="M12"/>
  <c r="O12" s="1"/>
  <c r="M15"/>
  <c r="O15" s="1"/>
  <c r="M16"/>
  <c r="O16" s="1"/>
  <c r="N26" l="1"/>
  <c r="M9"/>
  <c r="O9" s="1"/>
  <c r="I30"/>
  <c r="K30" s="1"/>
  <c r="M30" s="1"/>
  <c r="O30" s="1"/>
  <c r="N31"/>
  <c r="K31"/>
  <c r="M31" s="1"/>
  <c r="O31" s="1"/>
  <c r="N27"/>
  <c r="K27"/>
  <c r="M27" s="1"/>
  <c r="O27" s="1"/>
  <c r="F38"/>
  <c r="F10" i="103"/>
  <c r="E10"/>
  <c r="N30" i="102"/>
  <c r="M28"/>
  <c r="M29"/>
  <c r="O29" s="1"/>
  <c r="M33"/>
  <c r="O33" s="1"/>
  <c r="M32"/>
  <c r="O32" s="1"/>
  <c r="O28" l="1"/>
  <c r="E14" i="103"/>
  <c r="E34" i="67" l="1"/>
  <c r="F34"/>
  <c r="G34"/>
  <c r="D34"/>
  <c r="H34" l="1"/>
  <c r="P25" i="91" l="1"/>
  <c r="O25"/>
  <c r="N25"/>
  <c r="M25"/>
  <c r="L25"/>
  <c r="K25"/>
  <c r="J25"/>
  <c r="I25"/>
  <c r="H25"/>
  <c r="G25"/>
  <c r="F25"/>
  <c r="E25"/>
  <c r="Q21"/>
  <c r="Q25" s="1"/>
  <c r="Q30" s="1"/>
  <c r="Q19"/>
  <c r="G12" i="105" l="1"/>
  <c r="D12"/>
  <c r="D38" i="68" l="1"/>
  <c r="D40" s="1"/>
  <c r="D18" i="69"/>
  <c r="D21" s="1"/>
  <c r="D15" i="109"/>
  <c r="D21" s="1"/>
  <c r="D15" i="103"/>
  <c r="D17" s="1"/>
  <c r="D14" i="105"/>
  <c r="D12" i="103"/>
  <c r="N17" i="102"/>
  <c r="I17"/>
  <c r="K17" s="1"/>
  <c r="D22" i="106"/>
  <c r="N18" i="72"/>
  <c r="J18"/>
  <c r="G18"/>
  <c r="C18"/>
  <c r="E30" i="91"/>
  <c r="E16"/>
  <c r="M17" i="102" l="1"/>
  <c r="O17" s="1"/>
  <c r="F34"/>
  <c r="D16" i="103"/>
  <c r="D18" s="1"/>
  <c r="D20" s="1"/>
  <c r="H14" i="66" l="1"/>
  <c r="E14"/>
  <c r="M34" i="67"/>
  <c r="M36" s="1"/>
  <c r="N11" i="66" s="1"/>
  <c r="L34" i="67"/>
  <c r="L36" s="1"/>
  <c r="M11" i="66" s="1"/>
  <c r="K34" i="67"/>
  <c r="K36" s="1"/>
  <c r="L11" i="66" s="1"/>
  <c r="J34" i="67"/>
  <c r="J36" s="1"/>
  <c r="K11" i="66" s="1"/>
  <c r="I34" i="67"/>
  <c r="I36" s="1"/>
  <c r="J11" i="66" s="1"/>
  <c r="H36" i="67"/>
  <c r="I11" i="66" s="1"/>
  <c r="G36" i="67"/>
  <c r="F11" i="66" s="1"/>
  <c r="G11" s="1"/>
  <c r="M38" i="68"/>
  <c r="M40" s="1"/>
  <c r="N12" i="66" s="1"/>
  <c r="L38" i="68"/>
  <c r="L40" s="1"/>
  <c r="K38"/>
  <c r="K40" s="1"/>
  <c r="L12" i="66" s="1"/>
  <c r="J38" i="68"/>
  <c r="J40" s="1"/>
  <c r="K12" i="66" s="1"/>
  <c r="I38" i="68"/>
  <c r="I40" s="1"/>
  <c r="J12" i="66" s="1"/>
  <c r="H38" i="68"/>
  <c r="H40" s="1"/>
  <c r="I12" i="66" s="1"/>
  <c r="G38" i="68"/>
  <c r="G40" s="1"/>
  <c r="F12" i="66" s="1"/>
  <c r="G12" s="1"/>
  <c r="F38" i="68"/>
  <c r="F40" s="1"/>
  <c r="E38"/>
  <c r="E40" s="1"/>
  <c r="M18" i="69"/>
  <c r="N13" i="66" s="1"/>
  <c r="L18" i="69"/>
  <c r="M13" i="66" s="1"/>
  <c r="K18" i="69"/>
  <c r="L13" i="66" s="1"/>
  <c r="J18" i="69"/>
  <c r="K13" i="66" s="1"/>
  <c r="I18" i="69"/>
  <c r="J13" i="66" s="1"/>
  <c r="H18" i="69"/>
  <c r="I13" i="66" s="1"/>
  <c r="G18" i="69"/>
  <c r="F13" i="66" s="1"/>
  <c r="G13" s="1"/>
  <c r="F18" i="69"/>
  <c r="F21" s="1"/>
  <c r="E18"/>
  <c r="E21" s="1"/>
  <c r="D13" i="93"/>
  <c r="G13"/>
  <c r="E11"/>
  <c r="J14" i="103"/>
  <c r="H11" i="93"/>
  <c r="J15" i="109"/>
  <c r="J21" s="1"/>
  <c r="I15"/>
  <c r="I21" s="1"/>
  <c r="H15"/>
  <c r="H21" s="1"/>
  <c r="G15"/>
  <c r="G21" s="1"/>
  <c r="F15"/>
  <c r="F46" i="103"/>
  <c r="F47" s="1"/>
  <c r="F49" s="1"/>
  <c r="F51" s="1"/>
  <c r="E46"/>
  <c r="E47" s="1"/>
  <c r="E49" s="1"/>
  <c r="E51" s="1"/>
  <c r="F36"/>
  <c r="F37" s="1"/>
  <c r="F39" s="1"/>
  <c r="E36"/>
  <c r="E37" s="1"/>
  <c r="E39" s="1"/>
  <c r="F12"/>
  <c r="E12"/>
  <c r="D18" i="105"/>
  <c r="M18"/>
  <c r="L18"/>
  <c r="K18"/>
  <c r="J18"/>
  <c r="I18"/>
  <c r="H18"/>
  <c r="G18"/>
  <c r="F18"/>
  <c r="E18"/>
  <c r="G14"/>
  <c r="L83" i="102"/>
  <c r="H83"/>
  <c r="L74"/>
  <c r="H74"/>
  <c r="L65"/>
  <c r="H65"/>
  <c r="L56"/>
  <c r="H56"/>
  <c r="L47"/>
  <c r="H47"/>
  <c r="N20"/>
  <c r="I20"/>
  <c r="N19"/>
  <c r="I19"/>
  <c r="K19" s="1"/>
  <c r="N18"/>
  <c r="I18"/>
  <c r="K18" s="1"/>
  <c r="K20" l="1"/>
  <c r="L14" i="66"/>
  <c r="M11" i="58" s="1"/>
  <c r="K13" i="104" s="1"/>
  <c r="M18" i="102"/>
  <c r="O18" s="1"/>
  <c r="F35"/>
  <c r="I14" i="66"/>
  <c r="G56" i="102"/>
  <c r="E12" i="93"/>
  <c r="E11" i="105"/>
  <c r="F14" i="66"/>
  <c r="G47" i="102"/>
  <c r="G83"/>
  <c r="D20" i="105"/>
  <c r="D21" s="1"/>
  <c r="D22" s="1"/>
  <c r="H12" i="93"/>
  <c r="G38" i="102" s="1"/>
  <c r="I38" s="1"/>
  <c r="F47" s="1"/>
  <c r="H11" i="105"/>
  <c r="H12" s="1"/>
  <c r="G74" i="102"/>
  <c r="M12" i="66"/>
  <c r="M14" s="1"/>
  <c r="G14"/>
  <c r="G65" i="102"/>
  <c r="F11" i="93"/>
  <c r="J14" i="66"/>
  <c r="N14"/>
  <c r="K14"/>
  <c r="F36" i="102"/>
  <c r="M19"/>
  <c r="O19" s="1"/>
  <c r="F37"/>
  <c r="G20" i="69"/>
  <c r="I10" i="93"/>
  <c r="F41" i="103"/>
  <c r="E41"/>
  <c r="E20" i="105"/>
  <c r="F20"/>
  <c r="G20"/>
  <c r="N34" i="102"/>
  <c r="I34"/>
  <c r="K34" s="1"/>
  <c r="I36"/>
  <c r="F45" s="1"/>
  <c r="I45" s="1"/>
  <c r="F54" s="1"/>
  <c r="I54" s="1"/>
  <c r="F63" s="1"/>
  <c r="K21" l="1"/>
  <c r="M20"/>
  <c r="O20" s="1"/>
  <c r="N36"/>
  <c r="K36"/>
  <c r="F12" i="93"/>
  <c r="F13" s="1"/>
  <c r="F11" i="105"/>
  <c r="N35" i="102"/>
  <c r="J10" i="103"/>
  <c r="K10" s="1"/>
  <c r="L10" s="1"/>
  <c r="M10" s="1"/>
  <c r="N10" s="1"/>
  <c r="O10" s="1"/>
  <c r="I13" i="93"/>
  <c r="J10" s="1"/>
  <c r="J13" s="1"/>
  <c r="K10" s="1"/>
  <c r="K13" s="1"/>
  <c r="I35" i="102"/>
  <c r="H11" i="58"/>
  <c r="J11"/>
  <c r="N11"/>
  <c r="L13" i="104" s="1"/>
  <c r="F14" i="103"/>
  <c r="G11" i="58"/>
  <c r="E13" i="93"/>
  <c r="H10" s="1"/>
  <c r="E12" i="105"/>
  <c r="I63" i="102"/>
  <c r="F72" s="1"/>
  <c r="N63"/>
  <c r="K45"/>
  <c r="M45" s="1"/>
  <c r="O45" s="1"/>
  <c r="G21" i="69"/>
  <c r="L11" i="58"/>
  <c r="J13" i="104" s="1"/>
  <c r="N54" i="102"/>
  <c r="N37"/>
  <c r="I37"/>
  <c r="K37" s="1"/>
  <c r="N45"/>
  <c r="K11" i="58"/>
  <c r="F43" i="102"/>
  <c r="O11" i="58"/>
  <c r="M13" i="104" s="1"/>
  <c r="G21" i="105"/>
  <c r="G22" s="1"/>
  <c r="K54" i="102"/>
  <c r="M54" s="1"/>
  <c r="O54" s="1"/>
  <c r="M36"/>
  <c r="O36" s="1"/>
  <c r="I13" i="104" l="1"/>
  <c r="Q11" i="58"/>
  <c r="Q19" i="102"/>
  <c r="M21"/>
  <c r="K35"/>
  <c r="E14" i="105"/>
  <c r="H10" s="1"/>
  <c r="F12"/>
  <c r="F14" s="1"/>
  <c r="F21" s="1"/>
  <c r="F22" s="1"/>
  <c r="H15" i="58" s="1"/>
  <c r="E14" i="104"/>
  <c r="E13"/>
  <c r="H14"/>
  <c r="H13"/>
  <c r="F14"/>
  <c r="F13"/>
  <c r="M34" i="102"/>
  <c r="F44"/>
  <c r="N44" s="1"/>
  <c r="H20" i="69"/>
  <c r="H21" s="1"/>
  <c r="K63" i="102"/>
  <c r="M63" s="1"/>
  <c r="O63" s="1"/>
  <c r="L10" i="93"/>
  <c r="L13" s="1"/>
  <c r="E21" i="102"/>
  <c r="H12" i="58"/>
  <c r="N72" i="102"/>
  <c r="I72"/>
  <c r="F81" s="1"/>
  <c r="I43"/>
  <c r="N43"/>
  <c r="F46"/>
  <c r="M37"/>
  <c r="O37" s="1"/>
  <c r="I44" l="1"/>
  <c r="F53" s="1"/>
  <c r="N53" s="1"/>
  <c r="J38"/>
  <c r="N38" s="1"/>
  <c r="O21"/>
  <c r="K38"/>
  <c r="M35"/>
  <c r="O35" s="1"/>
  <c r="E21" i="105"/>
  <c r="E22" s="1"/>
  <c r="G15" i="58" s="1"/>
  <c r="I14" i="104"/>
  <c r="F15" i="103"/>
  <c r="F17" s="1"/>
  <c r="G12" i="58"/>
  <c r="E15" i="103" s="1"/>
  <c r="H20" i="105"/>
  <c r="H14"/>
  <c r="I10" s="1"/>
  <c r="I47" i="102"/>
  <c r="O34"/>
  <c r="E38"/>
  <c r="M10" i="93"/>
  <c r="M13" s="1"/>
  <c r="J12" i="58"/>
  <c r="J15" i="103" s="1"/>
  <c r="K44" i="102"/>
  <c r="M44" s="1"/>
  <c r="O44" s="1"/>
  <c r="F52"/>
  <c r="K43"/>
  <c r="N46"/>
  <c r="I46"/>
  <c r="K72"/>
  <c r="M72" s="1"/>
  <c r="O72" s="1"/>
  <c r="I81"/>
  <c r="N81"/>
  <c r="I53" l="1"/>
  <c r="F62" s="1"/>
  <c r="N62" s="1"/>
  <c r="M38"/>
  <c r="F56"/>
  <c r="J14" i="104" s="1"/>
  <c r="I20" i="105"/>
  <c r="I14"/>
  <c r="J10" s="1"/>
  <c r="J14" s="1"/>
  <c r="K10" s="1"/>
  <c r="H21"/>
  <c r="H22" s="1"/>
  <c r="J15" i="58" s="1"/>
  <c r="F16" i="103"/>
  <c r="F18" s="1"/>
  <c r="F20" s="1"/>
  <c r="F22" s="1"/>
  <c r="H13" i="58" s="1"/>
  <c r="J11" i="103"/>
  <c r="E17"/>
  <c r="E16"/>
  <c r="E18" s="1"/>
  <c r="E20" s="1"/>
  <c r="E22" s="1"/>
  <c r="G13" i="58" s="1"/>
  <c r="I20" i="69"/>
  <c r="I21" s="1"/>
  <c r="J17" i="103"/>
  <c r="K53" i="102"/>
  <c r="M53" s="1"/>
  <c r="O53" s="1"/>
  <c r="M43"/>
  <c r="I62"/>
  <c r="N52"/>
  <c r="I52"/>
  <c r="K52" s="1"/>
  <c r="F55"/>
  <c r="K81"/>
  <c r="M81" s="1"/>
  <c r="O81" s="1"/>
  <c r="K46"/>
  <c r="M46" s="1"/>
  <c r="O46" s="1"/>
  <c r="M22" i="106"/>
  <c r="O16" i="58" s="1"/>
  <c r="L22" i="106"/>
  <c r="N16" i="58" s="1"/>
  <c r="K22" i="106"/>
  <c r="M16" i="58" s="1"/>
  <c r="J22" i="106"/>
  <c r="L16" i="58" s="1"/>
  <c r="I22" i="106"/>
  <c r="K16" i="58" s="1"/>
  <c r="Q16" s="1"/>
  <c r="H22" i="106"/>
  <c r="J16" i="58" s="1"/>
  <c r="F22" i="106"/>
  <c r="H16" i="58" s="1"/>
  <c r="E22" i="106"/>
  <c r="G16" i="58" s="1"/>
  <c r="M17" i="104"/>
  <c r="L17"/>
  <c r="K17"/>
  <c r="J17"/>
  <c r="I17"/>
  <c r="H17"/>
  <c r="G17"/>
  <c r="F17"/>
  <c r="E17"/>
  <c r="M18" i="72"/>
  <c r="L18"/>
  <c r="K18"/>
  <c r="F18"/>
  <c r="E18"/>
  <c r="D18"/>
  <c r="Q16" i="91"/>
  <c r="P16"/>
  <c r="O16"/>
  <c r="N16"/>
  <c r="M16"/>
  <c r="L16"/>
  <c r="K16"/>
  <c r="J16"/>
  <c r="I16"/>
  <c r="H16"/>
  <c r="G16"/>
  <c r="F16"/>
  <c r="P30"/>
  <c r="O30"/>
  <c r="N30"/>
  <c r="M30"/>
  <c r="L30"/>
  <c r="K30"/>
  <c r="J30"/>
  <c r="I30"/>
  <c r="H30"/>
  <c r="G30"/>
  <c r="F30"/>
  <c r="J20" i="105" l="1"/>
  <c r="J21" s="1"/>
  <c r="J22" s="1"/>
  <c r="L15" i="58" s="1"/>
  <c r="I56" i="102"/>
  <c r="F65" s="1"/>
  <c r="K14" i="104" s="1"/>
  <c r="O38" i="102"/>
  <c r="J47"/>
  <c r="I21" i="105"/>
  <c r="I22" s="1"/>
  <c r="K15" i="58" s="1"/>
  <c r="K11" i="103"/>
  <c r="J12"/>
  <c r="J16" s="1"/>
  <c r="J18" s="1"/>
  <c r="J20" s="1"/>
  <c r="J22" s="1"/>
  <c r="J13" i="58" s="1"/>
  <c r="K20" i="105"/>
  <c r="K14"/>
  <c r="L10" s="1"/>
  <c r="J20" i="69"/>
  <c r="J21" s="1"/>
  <c r="D17" i="104"/>
  <c r="O43" i="102"/>
  <c r="M52"/>
  <c r="O52" s="1"/>
  <c r="K62"/>
  <c r="M62" s="1"/>
  <c r="O62" s="1"/>
  <c r="F71"/>
  <c r="N55"/>
  <c r="I55"/>
  <c r="F64" s="1"/>
  <c r="F61"/>
  <c r="I65" l="1"/>
  <c r="F74" s="1"/>
  <c r="P47"/>
  <c r="M47"/>
  <c r="N47"/>
  <c r="K12" i="103"/>
  <c r="K21" i="105"/>
  <c r="K22" s="1"/>
  <c r="M15" i="58" s="1"/>
  <c r="L20" i="105"/>
  <c r="L14"/>
  <c r="M10" s="1"/>
  <c r="E47" i="102"/>
  <c r="K12" i="58"/>
  <c r="K55" i="102"/>
  <c r="M55" s="1"/>
  <c r="O55" s="1"/>
  <c r="I61"/>
  <c r="N61"/>
  <c r="N64"/>
  <c r="I64"/>
  <c r="F73" s="1"/>
  <c r="I71"/>
  <c r="F80" s="1"/>
  <c r="N71"/>
  <c r="K15" i="103" l="1"/>
  <c r="L11" s="1"/>
  <c r="L12" s="1"/>
  <c r="O47" i="102"/>
  <c r="J56"/>
  <c r="L21" i="105"/>
  <c r="L22" s="1"/>
  <c r="N15" i="58" s="1"/>
  <c r="M20" i="105"/>
  <c r="M14"/>
  <c r="K71" i="102"/>
  <c r="M71" s="1"/>
  <c r="O71" s="1"/>
  <c r="K17" i="103"/>
  <c r="K20" i="69"/>
  <c r="K21" s="1"/>
  <c r="I73" i="102"/>
  <c r="N73"/>
  <c r="F70"/>
  <c r="N80"/>
  <c r="I80"/>
  <c r="K80" s="1"/>
  <c r="M80" s="1"/>
  <c r="O80" s="1"/>
  <c r="K64"/>
  <c r="M64" s="1"/>
  <c r="O64" s="1"/>
  <c r="K61"/>
  <c r="B20" i="58"/>
  <c r="B21" s="1"/>
  <c r="K16" i="103" l="1"/>
  <c r="K18" s="1"/>
  <c r="K20" s="1"/>
  <c r="K22" s="1"/>
  <c r="K13" i="58" s="1"/>
  <c r="M56" i="102"/>
  <c r="O56" s="1"/>
  <c r="N56"/>
  <c r="P56"/>
  <c r="M21" i="105"/>
  <c r="M22" s="1"/>
  <c r="O15" i="58" s="1"/>
  <c r="Q15" s="1"/>
  <c r="L12"/>
  <c r="E56" i="102"/>
  <c r="M61"/>
  <c r="F82"/>
  <c r="N70"/>
  <c r="I70"/>
  <c r="K70" s="1"/>
  <c r="K73"/>
  <c r="M73" s="1"/>
  <c r="O73" s="1"/>
  <c r="L15" i="103" l="1"/>
  <c r="L16" s="1"/>
  <c r="L18" s="1"/>
  <c r="L20" s="1"/>
  <c r="J65" i="102"/>
  <c r="M11" i="103" s="1"/>
  <c r="M12" s="1"/>
  <c r="L14" i="104"/>
  <c r="E65" i="102"/>
  <c r="M12" i="58"/>
  <c r="M70" i="102"/>
  <c r="F79"/>
  <c r="N82"/>
  <c r="I82"/>
  <c r="K82" s="1"/>
  <c r="M82" s="1"/>
  <c r="O61"/>
  <c r="L17" i="103" l="1"/>
  <c r="M15"/>
  <c r="L22"/>
  <c r="L13" i="58" s="1"/>
  <c r="P65" i="102"/>
  <c r="N65"/>
  <c r="M65"/>
  <c r="O65" s="1"/>
  <c r="I74"/>
  <c r="L20" i="69"/>
  <c r="L21" s="1"/>
  <c r="M17" i="103"/>
  <c r="M18"/>
  <c r="N12" i="58"/>
  <c r="O82" i="102"/>
  <c r="N79"/>
  <c r="I79"/>
  <c r="O70"/>
  <c r="B11" i="106"/>
  <c r="B12" s="1"/>
  <c r="B13" s="1"/>
  <c r="B14" s="1"/>
  <c r="B15" s="1"/>
  <c r="B16" s="1"/>
  <c r="B17" s="1"/>
  <c r="B18" s="1"/>
  <c r="B19" s="1"/>
  <c r="B20" s="1"/>
  <c r="B21" s="1"/>
  <c r="B11" i="105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N15" l="1"/>
  <c r="N17" s="1"/>
  <c r="J74" i="102"/>
  <c r="N74" s="1"/>
  <c r="F83"/>
  <c r="I83" s="1"/>
  <c r="M20" i="103"/>
  <c r="E74" i="102"/>
  <c r="M20" i="69"/>
  <c r="M21" s="1"/>
  <c r="K79" i="102"/>
  <c r="B21" i="105"/>
  <c r="B22" s="1"/>
  <c r="B12" i="58"/>
  <c r="B13" s="1"/>
  <c r="B14" s="1"/>
  <c r="B15" s="1"/>
  <c r="B16" s="1"/>
  <c r="B17" s="1"/>
  <c r="M22" i="103" l="1"/>
  <c r="M13" i="58" s="1"/>
  <c r="Q13" s="1"/>
  <c r="N11" i="103"/>
  <c r="N12" s="1"/>
  <c r="N18" s="1"/>
  <c r="N20" s="1"/>
  <c r="P74" i="102"/>
  <c r="M74"/>
  <c r="M14" i="104"/>
  <c r="M79" i="102"/>
  <c r="B9" i="9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0" s="1"/>
  <c r="B31" s="1"/>
  <c r="J83" i="102" l="1"/>
  <c r="O74"/>
  <c r="E83"/>
  <c r="O12" i="58"/>
  <c r="O79" i="102"/>
  <c r="B9" i="57"/>
  <c r="B10" s="1"/>
  <c r="B11" s="1"/>
  <c r="B12" s="1"/>
  <c r="O15" i="103" l="1"/>
  <c r="O17" s="1"/>
  <c r="Q12" i="58"/>
  <c r="M83" i="102"/>
  <c r="O83" s="1"/>
  <c r="P83"/>
  <c r="N83"/>
  <c r="O11" i="103"/>
  <c r="O12" s="1"/>
  <c r="O18" s="1"/>
  <c r="O20" s="1"/>
  <c r="B13" i="57"/>
  <c r="B14" s="1"/>
  <c r="B15" s="1"/>
  <c r="B12" i="66"/>
  <c r="B13" s="1"/>
  <c r="B14" s="1"/>
  <c r="B28" i="67"/>
  <c r="B29" s="1"/>
  <c r="B30" s="1"/>
  <c r="B31" s="1"/>
  <c r="B16" i="57" l="1"/>
  <c r="B17" s="1"/>
  <c r="B18" s="1"/>
  <c r="B19" s="1"/>
  <c r="B20" s="1"/>
  <c r="B21" s="1"/>
  <c r="B22" s="1"/>
  <c r="B23" l="1"/>
  <c r="B24" s="1"/>
  <c r="B25" s="1"/>
  <c r="B26" s="1"/>
  <c r="B27" s="1"/>
  <c r="B28" s="1"/>
  <c r="B30" s="1"/>
  <c r="B31" s="1"/>
  <c r="B32" s="1"/>
  <c r="B33" l="1"/>
  <c r="B34" s="1"/>
  <c r="B35" s="1"/>
  <c r="B36" s="1"/>
  <c r="B37" s="1"/>
  <c r="B38" s="1"/>
  <c r="B39" s="1"/>
  <c r="F22" i="58" l="1"/>
  <c r="I22"/>
  <c r="D15" i="104" l="1"/>
  <c r="D18" s="1"/>
  <c r="G15"/>
  <c r="G18" s="1"/>
  <c r="G14" i="58"/>
  <c r="H14"/>
  <c r="J14"/>
  <c r="K14"/>
  <c r="L14"/>
  <c r="M14"/>
  <c r="N14"/>
  <c r="O14"/>
  <c r="Q14"/>
  <c r="G17"/>
  <c r="H17"/>
  <c r="J17"/>
  <c r="K17"/>
  <c r="L17"/>
  <c r="M17"/>
  <c r="N17"/>
  <c r="O17"/>
  <c r="Q17"/>
  <c r="G22"/>
  <c r="H22"/>
  <c r="J22"/>
  <c r="K22"/>
  <c r="L22"/>
  <c r="M22"/>
  <c r="N22"/>
  <c r="O22"/>
  <c r="G23"/>
  <c r="H23"/>
  <c r="J23"/>
  <c r="K23"/>
  <c r="L23"/>
  <c r="M23"/>
  <c r="N23"/>
  <c r="O23"/>
  <c r="Q23"/>
  <c r="E15" i="104"/>
  <c r="F15"/>
  <c r="H15"/>
  <c r="I15"/>
  <c r="J15"/>
  <c r="K15"/>
  <c r="L15"/>
  <c r="M15"/>
  <c r="E18"/>
  <c r="F18"/>
  <c r="H18"/>
  <c r="I18"/>
  <c r="J18"/>
  <c r="K18"/>
  <c r="L18"/>
  <c r="M18"/>
  <c r="E20"/>
  <c r="F20"/>
  <c r="H20"/>
  <c r="I20"/>
  <c r="J20"/>
  <c r="K20"/>
  <c r="L20"/>
  <c r="M20"/>
</calcChain>
</file>

<file path=xl/sharedStrings.xml><?xml version="1.0" encoding="utf-8"?>
<sst xmlns="http://schemas.openxmlformats.org/spreadsheetml/2006/main" count="1151" uniqueCount="418">
  <si>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</si>
  <si>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</si>
  <si>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</si>
  <si>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</si>
  <si>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</si>
  <si>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</si>
  <si>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</si>
  <si>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</si>
  <si>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</si>
  <si>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</si>
  <si>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</si>
  <si>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</si>
  <si>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</si>
  <si>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</si>
  <si>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</si>
  <si>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</si>
  <si>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</si>
  <si>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</si>
  <si>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</si>
  <si>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</si>
  <si>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</si>
  <si>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</si>
  <si>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</si>
  <si>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</si>
  <si>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</si>
  <si>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</si>
  <si>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</si>
  <si>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</si>
  <si>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</si>
  <si>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</si>
  <si>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</si>
  <si>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</si>
  <si>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</si>
  <si>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</si>
  <si>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</si>
  <si>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</si>
  <si>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</si>
  <si>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</si>
  <si>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</si>
  <si>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</si>
  <si>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</si>
  <si>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</si>
  <si>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</si>
  <si>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</si>
  <si>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</si>
  <si>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</si>
  <si>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</si>
  <si>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</si>
  <si>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</si>
  <si>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</si>
  <si>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</si>
  <si>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</si>
  <si>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</si>
  <si>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</si>
  <si>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</si>
  <si>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</si>
  <si>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</si>
  <si>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</si>
  <si>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</si>
  <si>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</si>
  <si>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</si>
  <si>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</si>
  <si>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</si>
  <si>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</si>
  <si>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</si>
  <si>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</si>
  <si>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</si>
  <si>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</si>
  <si>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</si>
  <si>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</si>
  <si>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</si>
  <si>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</si>
  <si>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</si>
  <si>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</si>
  <si>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</si>
  <si>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</si>
  <si>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</si>
  <si>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</si>
  <si>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</si>
  <si>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</si>
  <si>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</si>
  <si>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</si>
  <si>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</si>
  <si>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</si>
  <si>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</si>
  <si>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</si>
  <si>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</si>
  <si>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</si>
  <si>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</si>
  <si>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</si>
  <si>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</si>
  <si>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</si>
  <si>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</si>
  <si>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</si>
  <si>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</si>
  <si>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</si>
  <si>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</si>
  <si>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</si>
  <si>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</si>
  <si>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</si>
  <si>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</si>
  <si>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</si>
  <si>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</si>
  <si>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</si>
  <si>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</si>
  <si>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</si>
  <si>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</si>
  <si>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</si>
  <si>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</si>
  <si>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</si>
  <si>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</si>
  <si>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</si>
  <si>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</si>
  <si>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</si>
  <si>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</si>
  <si>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</si>
  <si>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</si>
  <si>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</si>
  <si>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</si>
  <si>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</si>
  <si>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</si>
  <si>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</si>
  <si>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</si>
  <si>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</si>
  <si>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</si>
  <si>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</si>
  <si>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</si>
  <si>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</si>
  <si>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</si>
  <si>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</si>
  <si>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</si>
  <si>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</si>
  <si>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</si>
  <si>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</si>
  <si>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</si>
  <si>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</si>
  <si>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</si>
  <si>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</si>
  <si>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</si>
  <si>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</si>
  <si>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</si>
  <si>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</si>
  <si>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</si>
  <si>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 xml:space="preserve">Components of tariff </t>
  </si>
  <si>
    <t>Relevant sales &amp; load/demand data for revenue calculation</t>
  </si>
  <si>
    <t>Full year revenue (Rs. Crore)</t>
  </si>
  <si>
    <t>Sales in MU</t>
  </si>
  <si>
    <t>Item 3 (specify)</t>
  </si>
  <si>
    <t xml:space="preserve">Revenue from Fixed / Capacity Charges </t>
  </si>
  <si>
    <t>Revenue from Energy Charges</t>
  </si>
  <si>
    <t>Income from sale of ash/rejected coal</t>
  </si>
  <si>
    <t>Revenue from sale of electricity</t>
  </si>
  <si>
    <t>Non-Tariff Income</t>
  </si>
  <si>
    <t>Form 12</t>
  </si>
  <si>
    <t>Income from sale of tender documents</t>
  </si>
  <si>
    <t>Unit 1 / Station 1</t>
  </si>
  <si>
    <t>Unit 2 / Station 2</t>
  </si>
  <si>
    <t xml:space="preserve">Depreciation </t>
  </si>
  <si>
    <t>Addition of Loan during the year</t>
  </si>
  <si>
    <t>Energy Charges (Rs./kWh)</t>
  </si>
  <si>
    <t>Fuel surcharge per unit, if any (Rs./kWh)</t>
  </si>
  <si>
    <t>Fixed / Capacity Charges (Rs. Crore / year)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</si>
  <si>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</si>
  <si>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</si>
  <si>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</si>
  <si>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</si>
  <si>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</si>
  <si>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</si>
  <si>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</si>
  <si>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</si>
  <si>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</si>
  <si>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</si>
  <si>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</si>
  <si>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</si>
  <si>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</si>
  <si>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</si>
  <si>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</si>
  <si>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</si>
  <si>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Project Schedule</t>
  </si>
  <si>
    <t>Abstract of Capital Cost</t>
  </si>
  <si>
    <t>Breakup of Capital Cost</t>
  </si>
  <si>
    <t>Breakup of Construction/Supply/Services/Packages</t>
  </si>
  <si>
    <t>Details of Loans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</si>
  <si>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</si>
  <si>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</si>
  <si>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</si>
  <si>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</si>
  <si>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</si>
  <si>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</si>
  <si>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</si>
  <si>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</si>
  <si>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</si>
  <si>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</si>
  <si>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</si>
  <si>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</si>
  <si>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</si>
  <si>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</si>
  <si>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</si>
  <si>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</si>
  <si>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</si>
  <si>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Financial Package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</si>
  <si>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</si>
  <si>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</si>
  <si>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</si>
  <si>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</si>
  <si>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</si>
  <si>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</si>
  <si>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</si>
  <si>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</si>
  <si>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</si>
  <si>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</si>
  <si>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</si>
  <si>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Land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</si>
  <si>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</si>
  <si>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</si>
  <si>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</si>
  <si>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</si>
  <si>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</si>
  <si>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</si>
  <si>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Capital Cost Approval*</t>
  </si>
  <si>
    <t>Revenue from Sale of Electricity</t>
  </si>
  <si>
    <t xml:space="preserve">Any Other Charges (specify part name and unit) </t>
  </si>
  <si>
    <t>Share of Capacity (MW/%)</t>
  </si>
  <si>
    <t>Revenue from Any Other Charge (specify part name)</t>
  </si>
  <si>
    <t>Revenue from Fuel Surcharge</t>
  </si>
  <si>
    <t>Control Period</t>
  </si>
  <si>
    <t>n+1</t>
  </si>
  <si>
    <t>n+2</t>
  </si>
  <si>
    <t>n+3</t>
  </si>
  <si>
    <t>n+4</t>
  </si>
  <si>
    <t>n+5</t>
  </si>
  <si>
    <t>Current Year 'n'</t>
  </si>
  <si>
    <t>Year (n-1)</t>
  </si>
  <si>
    <t xml:space="preserve">April-March     </t>
  </si>
  <si>
    <t>Claimed</t>
  </si>
  <si>
    <t>Apr-Sep</t>
  </si>
  <si>
    <t xml:space="preserve">Oct-Mar        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</si>
  <si>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</si>
  <si>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</si>
  <si>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</si>
  <si>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</si>
  <si>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</si>
  <si>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</si>
  <si>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</si>
  <si>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</si>
  <si>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</si>
  <si>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</si>
  <si>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</si>
  <si>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</si>
  <si>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</si>
  <si>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</si>
  <si>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</si>
  <si>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</si>
  <si>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</si>
  <si>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</si>
  <si>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</si>
  <si>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</si>
  <si>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</si>
  <si>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</si>
  <si>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</si>
  <si>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</si>
  <si>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</si>
  <si>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</si>
  <si>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</si>
  <si>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</si>
  <si>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</si>
  <si>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</si>
  <si>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</si>
  <si>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</si>
  <si>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</si>
  <si>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</si>
  <si>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</si>
  <si>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</si>
  <si>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>Civil works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</si>
  <si>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</si>
  <si>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</si>
  <si>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</si>
  <si>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</si>
  <si>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</si>
  <si>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</si>
  <si>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</si>
  <si>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</si>
  <si>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</si>
  <si>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</si>
  <si>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Finance charges</t>
  </si>
  <si>
    <t>Total Interest &amp; Finance charges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</si>
  <si>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</si>
  <si>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</si>
  <si>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</si>
  <si>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</si>
  <si>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</si>
  <si>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</si>
  <si>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</si>
  <si>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</si>
  <si>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Rate of Return on Equity</t>
  </si>
  <si>
    <t>Base rate of Return on Equity</t>
  </si>
  <si>
    <t>Effective Income Tax rate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</si>
  <si>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</si>
  <si>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</si>
  <si>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</si>
  <si>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</si>
  <si>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 contractors</t>
  </si>
  <si>
    <t>Income from rental from staff quarters</t>
  </si>
  <si>
    <t>Income from rental from contractors</t>
  </si>
  <si>
    <t>Income from hire charges from contactors and others</t>
  </si>
  <si>
    <t>Income from advertisements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</si>
  <si>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</si>
  <si>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</si>
  <si>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</si>
  <si>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</si>
  <si>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</si>
  <si>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</si>
  <si>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</si>
  <si>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</si>
  <si>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</si>
  <si>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Beneficiary 1</t>
  </si>
  <si>
    <t>Beneficiary 2</t>
  </si>
  <si>
    <t>Beneficiary 3</t>
  </si>
  <si>
    <t>Ensuing Year (n+1)</t>
  </si>
  <si>
    <t>Ensuing Year (n+2)</t>
  </si>
  <si>
    <t>Ensuing Year (n+3)</t>
  </si>
  <si>
    <t>Ensuing Year (n+4)</t>
  </si>
  <si>
    <t>Ensuing Year (n+5)</t>
  </si>
  <si>
    <t>Form 14: Revenue from Sale of Electricity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</si>
  <si>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</si>
  <si>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</si>
  <si>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</si>
  <si>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</si>
  <si>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</si>
  <si>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</si>
  <si>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</si>
  <si>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</si>
  <si>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</si>
  <si>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</si>
  <si>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</si>
  <si>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</si>
  <si>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</si>
  <si>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</si>
  <si>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</si>
  <si>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</si>
  <si>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</si>
  <si>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</si>
  <si>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</si>
  <si>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</si>
  <si>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</si>
  <si>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</si>
  <si>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Phasing of Expenditure, Debt and Equity upto COD</t>
  </si>
  <si>
    <t>Interest During Construction and Finance Charges upto COD</t>
  </si>
  <si>
    <r>
      <rPr>
        <b/>
        <sz val="12"/>
        <rFont val="Arial"/>
        <family val="2"/>
      </rPr>
      <t>Note</t>
    </r>
    <r>
      <rPr>
        <sz val="12"/>
        <rFont val="Arial"/>
        <family val="2"/>
      </rPr>
      <t>: * Applicable only for new Generating Station/Unit for which Provisional/Final tariff approval is being sought</t>
    </r>
  </si>
  <si>
    <t>Form 19.1</t>
  </si>
  <si>
    <t>Form 19.2</t>
  </si>
  <si>
    <t>Form 17</t>
  </si>
  <si>
    <t>Form 18</t>
  </si>
  <si>
    <t>Form 19.3</t>
  </si>
  <si>
    <t>Form 19.4</t>
  </si>
  <si>
    <t>Form 19.5</t>
  </si>
  <si>
    <t>Form 19.6</t>
  </si>
  <si>
    <t>Form 19.7</t>
  </si>
  <si>
    <t>Form 19.8</t>
  </si>
  <si>
    <t>Plant Characteristics (Thermal)</t>
  </si>
  <si>
    <t>Plant Characteristics (Hydel)</t>
  </si>
  <si>
    <t>Unfunded past liabilities of pension &amp; gratuity</t>
  </si>
  <si>
    <t>AFC +Energy Charges</t>
  </si>
  <si>
    <t>1 In case actual availability is less or more than normative value, the modification in the formula need to be done accordingly.</t>
  </si>
  <si>
    <t>1 In case actual loan is more than 75%, the modification in the formula need to be done accordingly.</t>
  </si>
  <si>
    <t>Year end adjustment of fixed charges as per availability</t>
  </si>
  <si>
    <t>Difference bill issued after MTR order</t>
  </si>
  <si>
    <t>2022-2023</t>
  </si>
  <si>
    <t>2023-2024</t>
  </si>
  <si>
    <t>2024-2025</t>
  </si>
  <si>
    <t>2025-2026</t>
  </si>
  <si>
    <t>2026-2027</t>
  </si>
  <si>
    <t>2027-2028</t>
  </si>
  <si>
    <t>2028-2029</t>
  </si>
  <si>
    <t>TSSPDCL(70.55%)</t>
  </si>
  <si>
    <t>TSNPDCL(29.45%)</t>
  </si>
  <si>
    <t>Nagarjuna Sagar HES Complex</t>
  </si>
  <si>
    <t>FY 2022-23</t>
  </si>
  <si>
    <t>FY 2023-24</t>
  </si>
  <si>
    <t>FY 2024-25</t>
  </si>
  <si>
    <t>FY 2025-26</t>
  </si>
  <si>
    <t>FY 2026-27</t>
  </si>
  <si>
    <t>FY 2027-28</t>
  </si>
  <si>
    <t>FY 2028-29</t>
  </si>
  <si>
    <t>FY 2019-20</t>
  </si>
  <si>
    <t>FY 2020-21</t>
  </si>
  <si>
    <t>FY 2021-22</t>
  </si>
  <si>
    <t>PLANT AND MACHINERY</t>
  </si>
  <si>
    <t>VEHICLES</t>
  </si>
  <si>
    <t>OFFICE EQUIPMENT</t>
  </si>
  <si>
    <t>Land &amp; Land Rights</t>
  </si>
  <si>
    <t>Capital Spares</t>
  </si>
  <si>
    <t>Hydralic Works</t>
  </si>
  <si>
    <t>Other Civil Works</t>
  </si>
  <si>
    <t>Furniture&amp; Fixtures</t>
  </si>
  <si>
    <t>Computers</t>
  </si>
  <si>
    <t>Intangible Assets</t>
  </si>
  <si>
    <t>Lines &amp; Cables</t>
  </si>
  <si>
    <t>Intangible assets</t>
  </si>
  <si>
    <t xml:space="preserve">IT Initiatives </t>
  </si>
  <si>
    <t>Lines &amp; Cable Network</t>
  </si>
  <si>
    <t>Receivables1</t>
  </si>
  <si>
    <t>Payables for Fuels2</t>
  </si>
  <si>
    <t>Addition of Normative Loan due to capitalisation during the year1</t>
  </si>
  <si>
    <t>TGGENCO</t>
  </si>
  <si>
    <t>&lt;TGGENCO&gt;</t>
  </si>
  <si>
    <t>2.2  Administration &amp; General Expenses</t>
  </si>
  <si>
    <t>Form 2.3: Repair &amp; Maintenance Expenses</t>
  </si>
  <si>
    <t>Form 3:  Summary of Capital Expenditure and Capitalisation</t>
  </si>
  <si>
    <t>NSHES Complex</t>
  </si>
  <si>
    <t>&lt;NSHES Complex&gt;</t>
  </si>
  <si>
    <t xml:space="preserve">NSHES Complex </t>
  </si>
  <si>
    <t>&lt;NSHES Complex &gt;</t>
  </si>
  <si>
    <t xml:space="preserve">1. SFC Bay,                                    2. Replacement of exisitng Governor,                                      3. Replacement of Governor at Unit-2 </t>
  </si>
  <si>
    <t>Approved in BP &amp; CIP 2024-29 Order, Dt.29.12.2023</t>
  </si>
  <si>
    <t>The details are attached as Annexure</t>
  </si>
  <si>
    <t>2.1 Employee Expenses</t>
  </si>
  <si>
    <t>Loan 1-PFC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</si>
</sst>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"/>
    <numFmt numFmtId="170" formatCode="0.0000000"/>
  </numFmts>
  <fonts count="2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vertAlign val="superscript"/>
      <sz val="1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72">
    <xf numFmtId="0" fontId="0" fillId="0" borderId="0"/>
    <xf numFmtId="0" fontId="8" fillId="0" borderId="0" applyNumberFormat="0" applyFill="0" applyBorder="0" applyAlignment="0" applyProtection="0"/>
    <xf numFmtId="0" fontId="9" fillId="0" borderId="1"/>
    <xf numFmtId="0" fontId="9" fillId="0" borderId="1"/>
    <xf numFmtId="38" fontId="10" fillId="2" borderId="0" applyNumberFormat="0" applyBorder="0" applyAlignment="0" applyProtection="0"/>
    <xf numFmtId="0" fontId="11" fillId="0" borderId="2" applyNumberFormat="0" applyAlignment="0" applyProtection="0">
      <alignment horizontal="left" vertical="center"/>
    </xf>
    <xf numFmtId="0" fontId="11" fillId="0" borderId="3">
      <alignment horizontal="left" vertical="center"/>
    </xf>
    <xf numFmtId="10" fontId="10" fillId="3" borderId="4" applyNumberFormat="0" applyBorder="0" applyAlignment="0" applyProtection="0"/>
    <xf numFmtId="37" fontId="12" fillId="0" borderId="0"/>
    <xf numFmtId="166" fontId="13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>
      <alignment vertical="center"/>
    </xf>
    <xf numFmtId="167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0" fontId="7" fillId="0" borderId="0"/>
    <xf numFmtId="0" fontId="15" fillId="0" borderId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17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6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5" fillId="0" borderId="0"/>
    <xf numFmtId="0" fontId="7" fillId="0" borderId="0" applyBorder="0" applyProtection="0"/>
    <xf numFmtId="167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" fillId="0" borderId="0"/>
    <xf numFmtId="43" fontId="24" fillId="0" borderId="0" applyFont="0" applyFill="0" applyBorder="0" applyAlignment="0" applyProtection="0"/>
  </cellStyleXfs>
  <cellXfs count="315">
    <xf numFmtId="0" fontId="0" fillId="0" borderId="0" xfId="0"/>
    <xf numFmtId="0" fontId="6" fillId="0" borderId="0" xfId="10" applyFont="1" applyAlignment="1">
      <alignment horizontal="center" vertical="center"/>
    </xf>
    <xf numFmtId="0" fontId="14" fillId="0" borderId="4" xfId="14" applyFont="1" applyBorder="1" applyAlignment="1">
      <alignment horizontal="center" vertical="center"/>
    </xf>
    <xf numFmtId="0" fontId="14" fillId="0" borderId="4" xfId="14" applyFont="1" applyBorder="1">
      <alignment vertical="center"/>
    </xf>
    <xf numFmtId="0" fontId="14" fillId="0" borderId="0" xfId="10" applyFont="1"/>
    <xf numFmtId="0" fontId="14" fillId="0" borderId="0" xfId="10" applyFont="1" applyAlignment="1">
      <alignment vertical="center"/>
    </xf>
    <xf numFmtId="0" fontId="6" fillId="0" borderId="0" xfId="14" applyFont="1">
      <alignment vertical="center"/>
    </xf>
    <xf numFmtId="0" fontId="11" fillId="0" borderId="0" xfId="14" applyFont="1" applyAlignment="1">
      <alignment horizontal="right" vertical="center"/>
    </xf>
    <xf numFmtId="0" fontId="6" fillId="0" borderId="4" xfId="14" applyFont="1" applyBorder="1" applyAlignment="1">
      <alignment horizontal="center" vertical="center"/>
    </xf>
    <xf numFmtId="0" fontId="6" fillId="0" borderId="4" xfId="14" applyFont="1" applyBorder="1">
      <alignment vertical="center"/>
    </xf>
    <xf numFmtId="0" fontId="6" fillId="0" borderId="4" xfId="14" applyFont="1" applyBorder="1" applyAlignment="1">
      <alignment horizontal="left" vertical="center"/>
    </xf>
    <xf numFmtId="0" fontId="6" fillId="0" borderId="4" xfId="14" applyFont="1" applyBorder="1" applyAlignment="1">
      <alignment vertical="top" wrapText="1"/>
    </xf>
    <xf numFmtId="0" fontId="6" fillId="6" borderId="4" xfId="14" applyFont="1" applyFill="1" applyBorder="1" applyAlignment="1">
      <alignment horizontal="center" vertical="center"/>
    </xf>
    <xf numFmtId="0" fontId="11" fillId="6" borderId="4" xfId="14" applyFont="1" applyFill="1" applyBorder="1">
      <alignment vertical="center"/>
    </xf>
    <xf numFmtId="0" fontId="6" fillId="6" borderId="4" xfId="14" applyFont="1" applyFill="1" applyBorder="1" applyAlignment="1">
      <alignment horizontal="left" vertical="center"/>
    </xf>
    <xf numFmtId="0" fontId="6" fillId="0" borderId="0" xfId="10" applyFont="1"/>
    <xf numFmtId="0" fontId="6" fillId="5" borderId="0" xfId="14" applyFont="1" applyFill="1">
      <alignment vertical="center"/>
    </xf>
    <xf numFmtId="0" fontId="11" fillId="0" borderId="8" xfId="14" applyFont="1" applyBorder="1" applyAlignment="1">
      <alignment horizontal="center" vertical="center"/>
    </xf>
    <xf numFmtId="0" fontId="11" fillId="0" borderId="4" xfId="14" applyFont="1" applyBorder="1" applyAlignment="1">
      <alignment horizontal="center" vertical="center"/>
    </xf>
    <xf numFmtId="0" fontId="14" fillId="0" borderId="0" xfId="14" applyFont="1">
      <alignment vertical="center"/>
    </xf>
    <xf numFmtId="0" fontId="19" fillId="0" borderId="4" xfId="14" applyFont="1" applyBorder="1" applyAlignment="1">
      <alignment horizontal="center" vertical="center"/>
    </xf>
    <xf numFmtId="0" fontId="19" fillId="0" borderId="4" xfId="14" applyFont="1" applyBorder="1" applyAlignment="1">
      <alignment horizontal="center" vertical="center" wrapText="1"/>
    </xf>
    <xf numFmtId="0" fontId="19" fillId="0" borderId="4" xfId="14" applyFont="1" applyBorder="1">
      <alignment vertical="center"/>
    </xf>
    <xf numFmtId="0" fontId="14" fillId="0" borderId="4" xfId="10" applyFont="1" applyBorder="1" applyAlignment="1">
      <alignment horizontal="center" vertical="center"/>
    </xf>
    <xf numFmtId="0" fontId="14" fillId="0" borderId="4" xfId="10" applyFont="1" applyBorder="1" applyAlignment="1">
      <alignment horizontal="center" vertical="center" wrapText="1"/>
    </xf>
    <xf numFmtId="0" fontId="19" fillId="0" borderId="4" xfId="10" applyFont="1" applyBorder="1" applyAlignment="1">
      <alignment horizontal="center" vertical="center"/>
    </xf>
    <xf numFmtId="0" fontId="19" fillId="0" borderId="0" xfId="10" applyFont="1" applyAlignment="1">
      <alignment horizontal="left" vertical="center"/>
    </xf>
    <xf numFmtId="0" fontId="19" fillId="0" borderId="0" xfId="10" applyFont="1" applyAlignment="1">
      <alignment horizontal="right" vertical="center"/>
    </xf>
    <xf numFmtId="0" fontId="19" fillId="0" borderId="0" xfId="14" applyFont="1" applyAlignment="1">
      <alignment horizontal="right" vertical="center"/>
    </xf>
    <xf numFmtId="0" fontId="14" fillId="0" borderId="4" xfId="1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4" fillId="0" borderId="4" xfId="10" applyFont="1" applyBorder="1" applyAlignment="1">
      <alignment horizontal="left" vertical="center"/>
    </xf>
    <xf numFmtId="0" fontId="19" fillId="0" borderId="4" xfId="10" applyFont="1" applyBorder="1" applyAlignment="1">
      <alignment horizontal="left" vertical="center" wrapText="1"/>
    </xf>
    <xf numFmtId="0" fontId="19" fillId="0" borderId="4" xfId="10" applyFont="1" applyBorder="1" applyAlignment="1">
      <alignment horizontal="center" vertical="center" wrapText="1"/>
    </xf>
    <xf numFmtId="0" fontId="19" fillId="0" borderId="4" xfId="10" applyFont="1" applyBorder="1" applyAlignment="1">
      <alignment horizontal="left" vertical="center"/>
    </xf>
    <xf numFmtId="0" fontId="19" fillId="0" borderId="0" xfId="10" applyFont="1" applyAlignment="1">
      <alignment vertical="center"/>
    </xf>
    <xf numFmtId="0" fontId="19" fillId="0" borderId="0" xfId="14" applyFont="1" applyAlignment="1">
      <alignment horizontal="center" vertical="center"/>
    </xf>
    <xf numFmtId="0" fontId="14" fillId="0" borderId="0" xfId="10" applyFont="1" applyAlignment="1">
      <alignment horizontal="center" vertical="center"/>
    </xf>
    <xf numFmtId="0" fontId="19" fillId="0" borderId="0" xfId="10" applyFont="1" applyAlignment="1">
      <alignment horizontal="center" vertical="center"/>
    </xf>
    <xf numFmtId="0" fontId="19" fillId="0" borderId="0" xfId="14" applyFont="1">
      <alignment vertical="center"/>
    </xf>
    <xf numFmtId="0" fontId="14" fillId="0" borderId="4" xfId="10" applyFont="1" applyBorder="1" applyAlignment="1">
      <alignment horizontal="left" vertical="center" wrapText="1"/>
    </xf>
    <xf numFmtId="0" fontId="19" fillId="0" borderId="4" xfId="10" applyFont="1" applyBorder="1" applyAlignment="1">
      <alignment vertical="center"/>
    </xf>
    <xf numFmtId="0" fontId="19" fillId="0" borderId="0" xfId="10" applyFont="1" applyAlignment="1">
      <alignment horizontal="centerContinuous"/>
    </xf>
    <xf numFmtId="0" fontId="14" fillId="0" borderId="0" xfId="10" applyFont="1" applyAlignment="1">
      <alignment horizontal="centerContinuous"/>
    </xf>
    <xf numFmtId="0" fontId="14" fillId="0" borderId="4" xfId="10" applyFont="1" applyBorder="1"/>
    <xf numFmtId="0" fontId="19" fillId="0" borderId="4" xfId="10" applyFont="1" applyBorder="1"/>
    <xf numFmtId="0" fontId="19" fillId="0" borderId="0" xfId="10" applyFont="1" applyAlignment="1">
      <alignment horizontal="justify" vertical="top" wrapText="1"/>
    </xf>
    <xf numFmtId="0" fontId="14" fillId="0" borderId="0" xfId="10" applyFont="1" applyAlignment="1">
      <alignment horizontal="left"/>
    </xf>
    <xf numFmtId="0" fontId="14" fillId="0" borderId="4" xfId="10" applyFont="1" applyBorder="1" applyAlignment="1">
      <alignment wrapText="1"/>
    </xf>
    <xf numFmtId="0" fontId="14" fillId="0" borderId="0" xfId="10" applyFont="1" applyAlignment="1">
      <alignment horizontal="left" vertical="center"/>
    </xf>
    <xf numFmtId="0" fontId="14" fillId="0" borderId="0" xfId="10" applyFont="1" applyAlignment="1">
      <alignment horizontal="right" vertical="center"/>
    </xf>
    <xf numFmtId="0" fontId="20" fillId="0" borderId="0" xfId="10" applyFont="1" applyAlignment="1">
      <alignment horizontal="left" vertical="center"/>
    </xf>
    <xf numFmtId="0" fontId="20" fillId="0" borderId="0" xfId="10" applyFont="1" applyAlignment="1">
      <alignment vertical="center"/>
    </xf>
    <xf numFmtId="0" fontId="20" fillId="0" borderId="0" xfId="10" applyFont="1" applyAlignment="1">
      <alignment horizontal="center" vertical="center"/>
    </xf>
    <xf numFmtId="0" fontId="14" fillId="0" borderId="4" xfId="10" quotePrefix="1" applyFont="1" applyBorder="1" applyAlignment="1">
      <alignment horizontal="left" vertical="top" wrapText="1"/>
    </xf>
    <xf numFmtId="0" fontId="14" fillId="0" borderId="4" xfId="10" applyFont="1" applyBorder="1" applyAlignment="1">
      <alignment horizontal="left"/>
    </xf>
    <xf numFmtId="0" fontId="19" fillId="0" borderId="4" xfId="10" applyFont="1" applyBorder="1" applyAlignment="1">
      <alignment horizontal="left"/>
    </xf>
    <xf numFmtId="0" fontId="14" fillId="0" borderId="0" xfId="14" applyFont="1" applyAlignment="1">
      <alignment horizontal="center" vertical="center"/>
    </xf>
    <xf numFmtId="0" fontId="14" fillId="0" borderId="4" xfId="10" applyFont="1" applyBorder="1" applyAlignment="1">
      <alignment horizontal="left" vertical="top" wrapText="1"/>
    </xf>
    <xf numFmtId="0" fontId="19" fillId="0" borderId="0" xfId="10" applyFont="1" applyAlignment="1">
      <alignment horizontal="left"/>
    </xf>
    <xf numFmtId="0" fontId="19" fillId="0" borderId="0" xfId="10" applyFont="1" applyAlignment="1">
      <alignment horizontal="right"/>
    </xf>
    <xf numFmtId="0" fontId="19" fillId="0" borderId="0" xfId="10" applyFont="1" applyAlignment="1">
      <alignment horizontal="left" vertical="center" wrapText="1"/>
    </xf>
    <xf numFmtId="0" fontId="19" fillId="0" borderId="0" xfId="10" applyFont="1" applyAlignment="1">
      <alignment horizontal="center" vertical="center" wrapText="1"/>
    </xf>
    <xf numFmtId="0" fontId="14" fillId="0" borderId="7" xfId="10" applyFont="1" applyBorder="1" applyAlignment="1">
      <alignment horizontal="center" vertical="center"/>
    </xf>
    <xf numFmtId="0" fontId="20" fillId="0" borderId="0" xfId="10" applyFont="1" applyAlignment="1">
      <alignment horizontal="right" vertical="center"/>
    </xf>
    <xf numFmtId="0" fontId="14" fillId="0" borderId="0" xfId="10" applyFont="1" applyAlignment="1">
      <alignment horizontal="center"/>
    </xf>
    <xf numFmtId="0" fontId="14" fillId="4" borderId="15" xfId="68" applyFont="1" applyFill="1" applyBorder="1" applyAlignment="1">
      <alignment horizontal="center" vertical="center"/>
    </xf>
    <xf numFmtId="0" fontId="19" fillId="4" borderId="13" xfId="68" applyFont="1" applyFill="1" applyBorder="1" applyAlignment="1">
      <alignment horizontal="center" vertical="center" wrapText="1"/>
    </xf>
    <xf numFmtId="0" fontId="19" fillId="4" borderId="14" xfId="68" applyFont="1" applyFill="1" applyBorder="1" applyAlignment="1">
      <alignment horizontal="center" vertical="center" wrapText="1"/>
    </xf>
    <xf numFmtId="0" fontId="14" fillId="4" borderId="16" xfId="68" applyFont="1" applyFill="1" applyBorder="1" applyAlignment="1">
      <alignment horizontal="left" vertical="center"/>
    </xf>
    <xf numFmtId="0" fontId="19" fillId="4" borderId="16" xfId="68" applyFont="1" applyFill="1" applyBorder="1" applyAlignment="1">
      <alignment horizontal="center" vertical="center"/>
    </xf>
    <xf numFmtId="10" fontId="14" fillId="4" borderId="16" xfId="68" applyNumberFormat="1" applyFont="1" applyFill="1" applyBorder="1" applyAlignment="1">
      <alignment horizontal="center" vertical="center"/>
    </xf>
    <xf numFmtId="2" fontId="14" fillId="4" borderId="16" xfId="68" applyNumberFormat="1" applyFont="1" applyFill="1" applyBorder="1" applyAlignment="1">
      <alignment horizontal="center" vertical="center"/>
    </xf>
    <xf numFmtId="2" fontId="14" fillId="0" borderId="16" xfId="68" applyNumberFormat="1" applyFont="1" applyBorder="1" applyAlignment="1">
      <alignment horizontal="center" vertical="center"/>
    </xf>
    <xf numFmtId="0" fontId="14" fillId="4" borderId="5" xfId="68" applyFont="1" applyFill="1" applyBorder="1" applyAlignment="1">
      <alignment horizontal="center" vertical="center"/>
    </xf>
    <xf numFmtId="0" fontId="14" fillId="4" borderId="4" xfId="68" applyFont="1" applyFill="1" applyBorder="1" applyAlignment="1">
      <alignment horizontal="left" vertical="center" wrapText="1"/>
    </xf>
    <xf numFmtId="0" fontId="19" fillId="4" borderId="4" xfId="68" applyFont="1" applyFill="1" applyBorder="1" applyAlignment="1">
      <alignment horizontal="center" vertical="center"/>
    </xf>
    <xf numFmtId="10" fontId="14" fillId="4" borderId="4" xfId="39" applyNumberFormat="1" applyFont="1" applyFill="1" applyBorder="1" applyAlignment="1">
      <alignment horizontal="center" vertical="center"/>
    </xf>
    <xf numFmtId="2" fontId="14" fillId="4" borderId="4" xfId="68" applyNumberFormat="1" applyFont="1" applyFill="1" applyBorder="1" applyAlignment="1">
      <alignment horizontal="center" vertical="center"/>
    </xf>
    <xf numFmtId="2" fontId="14" fillId="0" borderId="4" xfId="68" applyNumberFormat="1" applyFont="1" applyBorder="1" applyAlignment="1">
      <alignment horizontal="center" vertical="center"/>
    </xf>
    <xf numFmtId="2" fontId="14" fillId="4" borderId="4" xfId="19" applyNumberFormat="1" applyFont="1" applyFill="1" applyBorder="1" applyAlignment="1">
      <alignment horizontal="center" vertical="center"/>
    </xf>
    <xf numFmtId="0" fontId="14" fillId="4" borderId="4" xfId="68" applyFont="1" applyFill="1" applyBorder="1" applyAlignment="1">
      <alignment horizontal="left" vertical="center"/>
    </xf>
    <xf numFmtId="10" fontId="21" fillId="0" borderId="4" xfId="39" applyNumberFormat="1" applyFont="1" applyFill="1" applyBorder="1" applyAlignment="1">
      <alignment horizontal="center" vertical="center"/>
    </xf>
    <xf numFmtId="0" fontId="14" fillId="4" borderId="12" xfId="68" applyFont="1" applyFill="1" applyBorder="1" applyAlignment="1">
      <alignment horizontal="center" vertical="center"/>
    </xf>
    <xf numFmtId="0" fontId="19" fillId="4" borderId="13" xfId="68" applyFont="1" applyFill="1" applyBorder="1" applyAlignment="1">
      <alignment horizontal="center" vertical="center"/>
    </xf>
    <xf numFmtId="0" fontId="11" fillId="0" borderId="0" xfId="14" applyFont="1" applyAlignment="1">
      <alignment horizontal="center" vertical="center"/>
    </xf>
    <xf numFmtId="0" fontId="14" fillId="0" borderId="4" xfId="10" applyFont="1" applyBorder="1" applyAlignment="1">
      <alignment vertical="center" wrapText="1"/>
    </xf>
    <xf numFmtId="0" fontId="14" fillId="0" borderId="9" xfId="14" applyFont="1" applyBorder="1">
      <alignment vertical="center"/>
    </xf>
    <xf numFmtId="0" fontId="19" fillId="0" borderId="4" xfId="10" applyFont="1" applyBorder="1" applyAlignment="1">
      <alignment vertical="center" wrapText="1"/>
    </xf>
    <xf numFmtId="0" fontId="19" fillId="4" borderId="4" xfId="14" applyFont="1" applyFill="1" applyBorder="1" applyAlignment="1">
      <alignment horizontal="center" vertical="center" wrapText="1"/>
    </xf>
    <xf numFmtId="0" fontId="19" fillId="0" borderId="0" xfId="10" applyFont="1" applyAlignment="1">
      <alignment horizontal="centerContinuous" vertical="center"/>
    </xf>
    <xf numFmtId="0" fontId="14" fillId="0" borderId="0" xfId="10" applyFont="1" applyAlignment="1">
      <alignment horizontal="centerContinuous" vertical="center"/>
    </xf>
    <xf numFmtId="0" fontId="19" fillId="4" borderId="4" xfId="10" quotePrefix="1" applyFont="1" applyFill="1" applyBorder="1" applyAlignment="1">
      <alignment horizontal="center" vertical="center" wrapText="1"/>
    </xf>
    <xf numFmtId="0" fontId="19" fillId="4" borderId="4" xfId="10" applyFont="1" applyFill="1" applyBorder="1" applyAlignment="1">
      <alignment horizontal="left" vertical="center" wrapText="1"/>
    </xf>
    <xf numFmtId="0" fontId="19" fillId="4" borderId="4" xfId="10" applyFont="1" applyFill="1" applyBorder="1" applyAlignment="1">
      <alignment horizontal="center" vertical="center"/>
    </xf>
    <xf numFmtId="0" fontId="14" fillId="4" borderId="4" xfId="14" applyFont="1" applyFill="1" applyBorder="1">
      <alignment vertical="center"/>
    </xf>
    <xf numFmtId="0" fontId="14" fillId="4" borderId="4" xfId="10" applyFont="1" applyFill="1" applyBorder="1" applyAlignment="1">
      <alignment horizontal="center" vertical="center"/>
    </xf>
    <xf numFmtId="0" fontId="14" fillId="4" borderId="4" xfId="10" applyFont="1" applyFill="1" applyBorder="1" applyAlignment="1">
      <alignment vertical="center" wrapText="1"/>
    </xf>
    <xf numFmtId="0" fontId="19" fillId="4" borderId="4" xfId="10" applyFont="1" applyFill="1" applyBorder="1" applyAlignment="1">
      <alignment vertical="center" wrapText="1"/>
    </xf>
    <xf numFmtId="0" fontId="14" fillId="4" borderId="4" xfId="10" applyFont="1" applyFill="1" applyBorder="1" applyAlignment="1">
      <alignment vertical="center"/>
    </xf>
    <xf numFmtId="0" fontId="19" fillId="4" borderId="0" xfId="10" applyFont="1" applyFill="1" applyAlignment="1">
      <alignment vertical="center"/>
    </xf>
    <xf numFmtId="0" fontId="14" fillId="4" borderId="0" xfId="10" applyFont="1" applyFill="1" applyAlignment="1">
      <alignment vertical="center"/>
    </xf>
    <xf numFmtId="166" fontId="14" fillId="0" borderId="0" xfId="10" applyNumberFormat="1" applyFont="1" applyAlignment="1">
      <alignment vertical="center"/>
    </xf>
    <xf numFmtId="0" fontId="22" fillId="0" borderId="0" xfId="10" applyFont="1" applyAlignment="1">
      <alignment horizontal="left" vertical="center"/>
    </xf>
    <xf numFmtId="0" fontId="14" fillId="0" borderId="0" xfId="0" applyFont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vertical="center"/>
    </xf>
    <xf numFmtId="0" fontId="14" fillId="0" borderId="4" xfId="0" applyFont="1" applyBorder="1" applyAlignment="1">
      <alignment vertical="center" wrapText="1"/>
    </xf>
    <xf numFmtId="0" fontId="23" fillId="0" borderId="0" xfId="10" applyFont="1" applyAlignment="1">
      <alignment vertical="center"/>
    </xf>
    <xf numFmtId="16" fontId="19" fillId="0" borderId="4" xfId="1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2" fontId="14" fillId="0" borderId="4" xfId="0" applyNumberFormat="1" applyFont="1" applyBorder="1" applyAlignment="1">
      <alignment horizontal="center" vertical="center"/>
    </xf>
    <xf numFmtId="2" fontId="14" fillId="0" borderId="4" xfId="0" applyNumberFormat="1" applyFont="1" applyBorder="1" applyAlignment="1">
      <alignment vertical="center"/>
    </xf>
    <xf numFmtId="0" fontId="14" fillId="0" borderId="4" xfId="0" applyFont="1" applyBorder="1" applyAlignment="1">
      <alignment horizontal="center" vertical="center" wrapText="1"/>
    </xf>
    <xf numFmtId="169" fontId="14" fillId="0" borderId="4" xfId="0" applyNumberFormat="1" applyFont="1" applyBorder="1" applyAlignment="1">
      <alignment horizontal="center" vertical="center"/>
    </xf>
    <xf numFmtId="169" fontId="14" fillId="0" borderId="4" xfId="0" applyNumberFormat="1" applyFont="1" applyBorder="1" applyAlignment="1">
      <alignment vertical="center"/>
    </xf>
    <xf numFmtId="168" fontId="14" fillId="0" borderId="4" xfId="0" applyNumberFormat="1" applyFont="1" applyBorder="1" applyAlignment="1">
      <alignment horizontal="center" vertical="center"/>
    </xf>
    <xf numFmtId="2" fontId="14" fillId="0" borderId="4" xfId="0" applyNumberFormat="1" applyFont="1" applyBorder="1" applyAlignment="1">
      <alignment horizontal="right" vertical="center"/>
    </xf>
    <xf numFmtId="0" fontId="19" fillId="0" borderId="9" xfId="0" applyFont="1" applyBorder="1" applyAlignment="1">
      <alignment vertical="center" wrapText="1"/>
    </xf>
    <xf numFmtId="2" fontId="19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vertical="center" wrapText="1"/>
    </xf>
    <xf numFmtId="2" fontId="19" fillId="0" borderId="4" xfId="0" applyNumberFormat="1" applyFont="1" applyBorder="1" applyAlignment="1">
      <alignment horizontal="right" vertical="center"/>
    </xf>
    <xf numFmtId="2" fontId="14" fillId="0" borderId="4" xfId="10" applyNumberFormat="1" applyFont="1" applyBorder="1" applyAlignment="1">
      <alignment horizontal="center" vertical="center"/>
    </xf>
    <xf numFmtId="2" fontId="19" fillId="6" borderId="4" xfId="0" applyNumberFormat="1" applyFont="1" applyFill="1" applyBorder="1" applyAlignment="1">
      <alignment vertical="center"/>
    </xf>
    <xf numFmtId="2" fontId="14" fillId="0" borderId="4" xfId="10" applyNumberFormat="1" applyFont="1" applyBorder="1" applyAlignment="1">
      <alignment horizontal="center" vertical="center" wrapText="1"/>
    </xf>
    <xf numFmtId="2" fontId="19" fillId="6" borderId="4" xfId="10" applyNumberFormat="1" applyFont="1" applyFill="1" applyBorder="1" applyAlignment="1">
      <alignment horizontal="center" vertical="center"/>
    </xf>
    <xf numFmtId="2" fontId="19" fillId="6" borderId="4" xfId="0" applyNumberFormat="1" applyFont="1" applyFill="1" applyBorder="1" applyAlignment="1">
      <alignment horizontal="right" vertical="center"/>
    </xf>
    <xf numFmtId="2" fontId="19" fillId="6" borderId="4" xfId="14" applyNumberFormat="1" applyFont="1" applyFill="1" applyBorder="1">
      <alignment vertical="center"/>
    </xf>
    <xf numFmtId="2" fontId="19" fillId="6" borderId="4" xfId="10" applyNumberFormat="1" applyFont="1" applyFill="1" applyBorder="1" applyAlignment="1">
      <alignment vertical="center"/>
    </xf>
    <xf numFmtId="2" fontId="19" fillId="6" borderId="9" xfId="14" applyNumberFormat="1" applyFont="1" applyFill="1" applyBorder="1">
      <alignment vertical="center"/>
    </xf>
    <xf numFmtId="2" fontId="19" fillId="6" borderId="16" xfId="68" applyNumberFormat="1" applyFont="1" applyFill="1" applyBorder="1" applyAlignment="1">
      <alignment horizontal="center" vertical="center"/>
    </xf>
    <xf numFmtId="2" fontId="14" fillId="4" borderId="22" xfId="68" applyNumberFormat="1" applyFont="1" applyFill="1" applyBorder="1" applyAlignment="1">
      <alignment horizontal="center" vertical="center"/>
    </xf>
    <xf numFmtId="2" fontId="19" fillId="6" borderId="7" xfId="19" applyNumberFormat="1" applyFont="1" applyFill="1" applyBorder="1" applyAlignment="1">
      <alignment horizontal="center" vertical="center"/>
    </xf>
    <xf numFmtId="2" fontId="14" fillId="4" borderId="18" xfId="68" applyNumberFormat="1" applyFont="1" applyFill="1" applyBorder="1" applyAlignment="1">
      <alignment horizontal="center" vertical="center"/>
    </xf>
    <xf numFmtId="2" fontId="19" fillId="6" borderId="21" xfId="68" applyNumberFormat="1" applyFont="1" applyFill="1" applyBorder="1" applyAlignment="1">
      <alignment horizontal="center" vertical="center"/>
    </xf>
    <xf numFmtId="2" fontId="19" fillId="6" borderId="7" xfId="68" applyNumberFormat="1" applyFont="1" applyFill="1" applyBorder="1" applyAlignment="1">
      <alignment horizontal="center" vertical="center"/>
    </xf>
    <xf numFmtId="2" fontId="19" fillId="6" borderId="4" xfId="68" applyNumberFormat="1" applyFont="1" applyFill="1" applyBorder="1" applyAlignment="1">
      <alignment horizontal="center" vertical="center"/>
    </xf>
    <xf numFmtId="2" fontId="14" fillId="4" borderId="6" xfId="68" applyNumberFormat="1" applyFont="1" applyFill="1" applyBorder="1" applyAlignment="1">
      <alignment horizontal="center" vertical="center"/>
    </xf>
    <xf numFmtId="2" fontId="19" fillId="6" borderId="4" xfId="19" applyNumberFormat="1" applyFont="1" applyFill="1" applyBorder="1" applyAlignment="1">
      <alignment horizontal="center" vertical="center"/>
    </xf>
    <xf numFmtId="2" fontId="14" fillId="4" borderId="3" xfId="68" applyNumberFormat="1" applyFont="1" applyFill="1" applyBorder="1" applyAlignment="1">
      <alignment horizontal="center" vertical="center"/>
    </xf>
    <xf numFmtId="2" fontId="19" fillId="6" borderId="6" xfId="68" applyNumberFormat="1" applyFont="1" applyFill="1" applyBorder="1" applyAlignment="1">
      <alignment horizontal="center" vertical="center"/>
    </xf>
    <xf numFmtId="10" fontId="19" fillId="6" borderId="13" xfId="68" applyNumberFormat="1" applyFont="1" applyFill="1" applyBorder="1" applyAlignment="1">
      <alignment horizontal="center" vertical="center"/>
    </xf>
    <xf numFmtId="2" fontId="19" fillId="6" borderId="13" xfId="19" applyNumberFormat="1" applyFont="1" applyFill="1" applyBorder="1" applyAlignment="1">
      <alignment horizontal="center" vertical="center"/>
    </xf>
    <xf numFmtId="2" fontId="19" fillId="6" borderId="23" xfId="19" applyNumberFormat="1" applyFont="1" applyFill="1" applyBorder="1" applyAlignment="1">
      <alignment horizontal="center" vertical="center"/>
    </xf>
    <xf numFmtId="2" fontId="19" fillId="6" borderId="20" xfId="19" applyNumberFormat="1" applyFont="1" applyFill="1" applyBorder="1" applyAlignment="1">
      <alignment horizontal="center" vertical="center"/>
    </xf>
    <xf numFmtId="2" fontId="14" fillId="0" borderId="4" xfId="10" applyNumberFormat="1" applyFont="1" applyBorder="1" applyAlignment="1">
      <alignment vertical="center"/>
    </xf>
    <xf numFmtId="2" fontId="14" fillId="0" borderId="4" xfId="14" applyNumberFormat="1" applyFont="1" applyBorder="1" applyAlignment="1">
      <alignment horizontal="center" vertical="center"/>
    </xf>
    <xf numFmtId="2" fontId="19" fillId="6" borderId="4" xfId="10" applyNumberFormat="1" applyFont="1" applyFill="1" applyBorder="1" applyAlignment="1">
      <alignment horizontal="center" vertical="center" wrapText="1"/>
    </xf>
    <xf numFmtId="2" fontId="19" fillId="6" borderId="4" xfId="14" applyNumberFormat="1" applyFont="1" applyFill="1" applyBorder="1" applyAlignment="1">
      <alignment horizontal="center" vertical="center"/>
    </xf>
    <xf numFmtId="2" fontId="14" fillId="0" borderId="4" xfId="14" applyNumberFormat="1" applyFont="1" applyBorder="1">
      <alignment vertical="center"/>
    </xf>
    <xf numFmtId="10" fontId="19" fillId="6" borderId="4" xfId="14" applyNumberFormat="1" applyFont="1" applyFill="1" applyBorder="1">
      <alignment vertical="center"/>
    </xf>
    <xf numFmtId="2" fontId="19" fillId="6" borderId="4" xfId="10" applyNumberFormat="1" applyFont="1" applyFill="1" applyBorder="1"/>
    <xf numFmtId="2" fontId="14" fillId="0" borderId="4" xfId="10" applyNumberFormat="1" applyFont="1" applyBorder="1"/>
    <xf numFmtId="2" fontId="14" fillId="0" borderId="4" xfId="10" applyNumberFormat="1" applyFont="1" applyBorder="1" applyAlignment="1">
      <alignment horizontal="left" vertical="center"/>
    </xf>
    <xf numFmtId="2" fontId="14" fillId="0" borderId="4" xfId="10" applyNumberFormat="1" applyFont="1" applyBorder="1" applyAlignment="1">
      <alignment horizontal="right" vertical="center"/>
    </xf>
    <xf numFmtId="2" fontId="14" fillId="0" borderId="4" xfId="10" applyNumberFormat="1" applyFont="1" applyBorder="1" applyAlignment="1">
      <alignment horizontal="left" vertical="center" wrapText="1"/>
    </xf>
    <xf numFmtId="2" fontId="19" fillId="0" borderId="4" xfId="14" applyNumberFormat="1" applyFont="1" applyBorder="1" applyAlignment="1">
      <alignment horizontal="center" vertical="center"/>
    </xf>
    <xf numFmtId="2" fontId="19" fillId="0" borderId="4" xfId="10" applyNumberFormat="1" applyFont="1" applyBorder="1" applyAlignment="1">
      <alignment horizontal="center" vertical="center" wrapText="1"/>
    </xf>
    <xf numFmtId="2" fontId="19" fillId="0" borderId="4" xfId="10" applyNumberFormat="1" applyFont="1" applyBorder="1" applyAlignment="1">
      <alignment vertical="center"/>
    </xf>
    <xf numFmtId="2" fontId="14" fillId="0" borderId="4" xfId="14" applyNumberFormat="1" applyFont="1" applyBorder="1" applyAlignment="1">
      <alignment horizontal="right" vertical="center"/>
    </xf>
    <xf numFmtId="2" fontId="14" fillId="0" borderId="4" xfId="10" applyNumberFormat="1" applyFont="1" applyBorder="1" applyAlignment="1">
      <alignment horizontal="right" vertical="center" wrapText="1"/>
    </xf>
    <xf numFmtId="2" fontId="14" fillId="6" borderId="4" xfId="10" applyNumberFormat="1" applyFont="1" applyFill="1" applyBorder="1" applyAlignment="1">
      <alignment horizontal="center" vertical="center"/>
    </xf>
    <xf numFmtId="2" fontId="14" fillId="6" borderId="4" xfId="10" applyNumberFormat="1" applyFont="1" applyFill="1" applyBorder="1" applyAlignment="1">
      <alignment horizontal="center" vertical="center" wrapText="1"/>
    </xf>
    <xf numFmtId="2" fontId="25" fillId="0" borderId="4" xfId="10" applyNumberFormat="1" applyFont="1" applyBorder="1" applyAlignment="1">
      <alignment horizontal="center" vertical="center"/>
    </xf>
    <xf numFmtId="2" fontId="25" fillId="0" borderId="4" xfId="10" applyNumberFormat="1" applyFont="1" applyBorder="1" applyAlignment="1">
      <alignment vertical="center"/>
    </xf>
    <xf numFmtId="164" fontId="25" fillId="0" borderId="4" xfId="71" applyNumberFormat="1" applyFont="1" applyBorder="1" applyAlignment="1">
      <alignment horizontal="center" vertical="center"/>
    </xf>
    <xf numFmtId="2" fontId="26" fillId="0" borderId="4" xfId="10" applyNumberFormat="1" applyFont="1" applyBorder="1" applyAlignment="1">
      <alignment horizontal="right" vertical="center"/>
    </xf>
    <xf numFmtId="0" fontId="25" fillId="0" borderId="8" xfId="10" applyFont="1" applyBorder="1" applyAlignment="1">
      <alignment horizontal="center" vertical="center" wrapText="1"/>
    </xf>
    <xf numFmtId="0" fontId="25" fillId="0" borderId="4" xfId="10" applyFont="1" applyBorder="1" applyAlignment="1">
      <alignment vertical="center" wrapText="1"/>
    </xf>
    <xf numFmtId="0" fontId="25" fillId="0" borderId="4" xfId="10" applyFont="1" applyBorder="1" applyAlignment="1">
      <alignment horizontal="center" vertical="center" wrapText="1"/>
    </xf>
    <xf numFmtId="2" fontId="25" fillId="0" borderId="4" xfId="10" applyNumberFormat="1" applyFont="1" applyBorder="1" applyAlignment="1">
      <alignment horizontal="right" vertical="center"/>
    </xf>
    <xf numFmtId="2" fontId="26" fillId="0" borderId="4" xfId="10" applyNumberFormat="1" applyFont="1" applyBorder="1" applyAlignment="1">
      <alignment vertical="center"/>
    </xf>
    <xf numFmtId="2" fontId="14" fillId="0" borderId="0" xfId="10" applyNumberFormat="1" applyFont="1" applyAlignment="1">
      <alignment vertical="center"/>
    </xf>
    <xf numFmtId="2" fontId="19" fillId="0" borderId="0" xfId="10" applyNumberFormat="1" applyFont="1" applyAlignment="1">
      <alignment horizontal="centerContinuous" vertical="center"/>
    </xf>
    <xf numFmtId="2" fontId="19" fillId="0" borderId="0" xfId="10" applyNumberFormat="1" applyFont="1" applyAlignment="1">
      <alignment horizontal="center" vertical="center"/>
    </xf>
    <xf numFmtId="2" fontId="19" fillId="0" borderId="0" xfId="10" applyNumberFormat="1" applyFont="1" applyAlignment="1">
      <alignment horizontal="left" vertical="center"/>
    </xf>
    <xf numFmtId="2" fontId="19" fillId="0" borderId="0" xfId="10" applyNumberFormat="1" applyFont="1" applyAlignment="1">
      <alignment horizontal="right" vertical="center"/>
    </xf>
    <xf numFmtId="2" fontId="19" fillId="0" borderId="0" xfId="10" applyNumberFormat="1" applyFont="1" applyAlignment="1">
      <alignment vertical="center"/>
    </xf>
    <xf numFmtId="2" fontId="22" fillId="0" borderId="0" xfId="10" applyNumberFormat="1" applyFont="1" applyAlignment="1">
      <alignment horizontal="left" vertical="center"/>
    </xf>
    <xf numFmtId="2" fontId="19" fillId="0" borderId="4" xfId="10" applyNumberFormat="1" applyFont="1" applyBorder="1" applyAlignment="1">
      <alignment horizontal="right" vertical="center"/>
    </xf>
    <xf numFmtId="0" fontId="19" fillId="0" borderId="9" xfId="14" applyFont="1" applyBorder="1" applyAlignment="1">
      <alignment horizontal="center" vertical="center" wrapText="1"/>
    </xf>
    <xf numFmtId="2" fontId="14" fillId="0" borderId="4" xfId="10" applyNumberFormat="1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0" fillId="0" borderId="10" xfId="0" applyBorder="1" applyAlignment="1">
      <alignment wrapText="1"/>
    </xf>
    <xf numFmtId="0" fontId="14" fillId="4" borderId="24" xfId="68" applyFont="1" applyFill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14" fillId="0" borderId="5" xfId="68" applyFont="1" applyBorder="1" applyAlignment="1">
      <alignment horizontal="center" vertical="center"/>
    </xf>
    <xf numFmtId="0" fontId="14" fillId="0" borderId="4" xfId="68" applyFont="1" applyBorder="1" applyAlignment="1">
      <alignment horizontal="left" vertical="center"/>
    </xf>
    <xf numFmtId="0" fontId="19" fillId="0" borderId="4" xfId="68" applyFont="1" applyBorder="1" applyAlignment="1">
      <alignment horizontal="center" vertical="center"/>
    </xf>
    <xf numFmtId="2" fontId="14" fillId="0" borderId="4" xfId="19" applyNumberFormat="1" applyFont="1" applyFill="1" applyBorder="1" applyAlignment="1">
      <alignment horizontal="center" vertical="center"/>
    </xf>
    <xf numFmtId="2" fontId="19" fillId="0" borderId="4" xfId="68" applyNumberFormat="1" applyFont="1" applyBorder="1" applyAlignment="1">
      <alignment horizontal="center" vertical="center"/>
    </xf>
    <xf numFmtId="2" fontId="14" fillId="0" borderId="6" xfId="68" applyNumberFormat="1" applyFont="1" applyBorder="1" applyAlignment="1">
      <alignment horizontal="center" vertical="center"/>
    </xf>
    <xf numFmtId="2" fontId="14" fillId="0" borderId="3" xfId="68" applyNumberFormat="1" applyFont="1" applyBorder="1" applyAlignment="1">
      <alignment horizontal="center" vertical="center"/>
    </xf>
    <xf numFmtId="2" fontId="19" fillId="0" borderId="6" xfId="68" applyNumberFormat="1" applyFont="1" applyBorder="1" applyAlignment="1">
      <alignment horizontal="center" vertical="center"/>
    </xf>
    <xf numFmtId="0" fontId="11" fillId="0" borderId="0" xfId="10" applyFont="1" applyAlignment="1">
      <alignment horizontal="left" vertical="center"/>
    </xf>
    <xf numFmtId="0" fontId="6" fillId="0" borderId="0" xfId="10" applyFont="1" applyAlignment="1">
      <alignment vertical="center"/>
    </xf>
    <xf numFmtId="0" fontId="11" fillId="0" borderId="0" xfId="10" applyFont="1" applyAlignment="1">
      <alignment horizontal="right" vertical="center"/>
    </xf>
    <xf numFmtId="0" fontId="11" fillId="0" borderId="4" xfId="14" applyFont="1" applyBorder="1" applyAlignment="1">
      <alignment horizontal="center" vertical="center" wrapText="1"/>
    </xf>
    <xf numFmtId="0" fontId="6" fillId="0" borderId="7" xfId="10" applyFont="1" applyBorder="1" applyAlignment="1">
      <alignment horizontal="center" vertical="center"/>
    </xf>
    <xf numFmtId="0" fontId="6" fillId="0" borderId="4" xfId="10" applyFont="1" applyBorder="1" applyAlignment="1">
      <alignment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4" xfId="10" applyFont="1" applyBorder="1" applyAlignment="1">
      <alignment horizontal="center" vertical="center"/>
    </xf>
    <xf numFmtId="0" fontId="6" fillId="0" borderId="4" xfId="10" applyFont="1" applyBorder="1" applyAlignment="1">
      <alignment horizontal="left" vertical="center"/>
    </xf>
    <xf numFmtId="0" fontId="6" fillId="0" borderId="4" xfId="10" applyFont="1" applyBorder="1" applyAlignment="1">
      <alignment vertical="center" wrapText="1"/>
    </xf>
    <xf numFmtId="2" fontId="6" fillId="0" borderId="9" xfId="14" applyNumberFormat="1" applyFont="1" applyBorder="1">
      <alignment vertical="center"/>
    </xf>
    <xf numFmtId="0" fontId="6" fillId="0" borderId="4" xfId="10" applyFont="1" applyBorder="1" applyAlignment="1">
      <alignment horizontal="left" vertical="center" wrapText="1"/>
    </xf>
    <xf numFmtId="0" fontId="11" fillId="0" borderId="0" xfId="10" applyFont="1" applyAlignment="1">
      <alignment vertical="center"/>
    </xf>
    <xf numFmtId="0" fontId="6" fillId="0" borderId="9" xfId="14" applyFont="1" applyBorder="1">
      <alignment vertical="center"/>
    </xf>
    <xf numFmtId="2" fontId="11" fillId="6" borderId="9" xfId="14" applyNumberFormat="1" applyFont="1" applyFill="1" applyBorder="1">
      <alignment vertical="center"/>
    </xf>
    <xf numFmtId="10" fontId="6" fillId="0" borderId="9" xfId="14" applyNumberFormat="1" applyFont="1" applyBorder="1">
      <alignment vertical="center"/>
    </xf>
    <xf numFmtId="2" fontId="19" fillId="7" borderId="13" xfId="19" applyNumberFormat="1" applyFont="1" applyFill="1" applyBorder="1" applyAlignment="1">
      <alignment horizontal="center" vertical="center"/>
    </xf>
    <xf numFmtId="2" fontId="6" fillId="0" borderId="4" xfId="14" applyNumberFormat="1" applyFont="1" applyBorder="1" applyAlignment="1">
      <alignment horizontal="right" vertical="center"/>
    </xf>
    <xf numFmtId="2" fontId="6" fillId="0" borderId="4" xfId="10" applyNumberFormat="1" applyFont="1" applyBorder="1" applyAlignment="1">
      <alignment horizontal="right" vertical="center"/>
    </xf>
    <xf numFmtId="0" fontId="6" fillId="0" borderId="4" xfId="10" applyFont="1" applyBorder="1" applyAlignment="1">
      <alignment horizontal="right" vertical="center" wrapText="1"/>
    </xf>
    <xf numFmtId="2" fontId="6" fillId="0" borderId="4" xfId="10" applyNumberFormat="1" applyFont="1" applyBorder="1" applyAlignment="1">
      <alignment horizontal="right" vertical="center" wrapText="1"/>
    </xf>
    <xf numFmtId="0" fontId="6" fillId="0" borderId="4" xfId="14" applyFont="1" applyBorder="1" applyAlignment="1">
      <alignment horizontal="right" vertical="center"/>
    </xf>
    <xf numFmtId="0" fontId="6" fillId="0" borderId="9" xfId="14" applyFont="1" applyBorder="1" applyAlignment="1">
      <alignment horizontal="right" vertical="center"/>
    </xf>
    <xf numFmtId="0" fontId="6" fillId="0" borderId="4" xfId="10" applyFont="1" applyBorder="1" applyAlignment="1">
      <alignment horizontal="right" vertical="center"/>
    </xf>
    <xf numFmtId="2" fontId="11" fillId="6" borderId="9" xfId="14" applyNumberFormat="1" applyFont="1" applyFill="1" applyBorder="1" applyAlignment="1">
      <alignment horizontal="right" vertical="center"/>
    </xf>
    <xf numFmtId="0" fontId="11" fillId="0" borderId="4" xfId="10" applyFont="1" applyBorder="1" applyAlignment="1">
      <alignment vertical="center" wrapText="1"/>
    </xf>
    <xf numFmtId="10" fontId="6" fillId="0" borderId="9" xfId="39" applyNumberFormat="1" applyFont="1" applyBorder="1" applyAlignment="1">
      <alignment vertical="center"/>
    </xf>
    <xf numFmtId="0" fontId="11" fillId="0" borderId="4" xfId="10" applyFont="1" applyBorder="1" applyAlignment="1">
      <alignment horizontal="left" vertical="center" wrapText="1"/>
    </xf>
    <xf numFmtId="10" fontId="11" fillId="6" borderId="9" xfId="14" applyNumberFormat="1" applyFont="1" applyFill="1" applyBorder="1">
      <alignment vertical="center"/>
    </xf>
    <xf numFmtId="0" fontId="11" fillId="0" borderId="9" xfId="14" applyFont="1" applyBorder="1">
      <alignment vertical="center"/>
    </xf>
    <xf numFmtId="0" fontId="11" fillId="0" borderId="4" xfId="10" applyFont="1" applyBorder="1" applyAlignment="1">
      <alignment vertical="center"/>
    </xf>
    <xf numFmtId="0" fontId="11" fillId="0" borderId="7" xfId="10" applyFont="1" applyBorder="1" applyAlignment="1">
      <alignment horizontal="center" vertical="center" wrapText="1"/>
    </xf>
    <xf numFmtId="0" fontId="11" fillId="0" borderId="4" xfId="10" applyFont="1" applyBorder="1" applyAlignment="1">
      <alignment horizontal="center" vertical="center"/>
    </xf>
    <xf numFmtId="0" fontId="6" fillId="5" borderId="4" xfId="14" applyFont="1" applyFill="1" applyBorder="1" applyAlignment="1">
      <alignment horizontal="left" vertical="center"/>
    </xf>
    <xf numFmtId="2" fontId="11" fillId="6" borderId="4" xfId="14" applyNumberFormat="1" applyFont="1" applyFill="1" applyBorder="1" applyAlignment="1">
      <alignment horizontal="center" vertical="center"/>
    </xf>
    <xf numFmtId="2" fontId="11" fillId="0" borderId="4" xfId="14" applyNumberFormat="1" applyFont="1" applyBorder="1" applyAlignment="1">
      <alignment horizontal="center" vertical="center"/>
    </xf>
    <xf numFmtId="2" fontId="11" fillId="5" borderId="4" xfId="14" applyNumberFormat="1" applyFont="1" applyFill="1" applyBorder="1" applyAlignment="1">
      <alignment horizontal="center" vertical="center"/>
    </xf>
    <xf numFmtId="0" fontId="11" fillId="0" borderId="4" xfId="14" applyFont="1" applyBorder="1">
      <alignment vertical="center"/>
    </xf>
    <xf numFmtId="0" fontId="11" fillId="0" borderId="6" xfId="14" applyFont="1" applyBorder="1" applyAlignment="1">
      <alignment horizontal="center" vertical="center" wrapText="1"/>
    </xf>
    <xf numFmtId="2" fontId="6" fillId="0" borderId="4" xfId="14" applyNumberFormat="1" applyFont="1" applyBorder="1" applyAlignment="1">
      <alignment horizontal="center" vertical="center"/>
    </xf>
    <xf numFmtId="2" fontId="6" fillId="0" borderId="4" xfId="10" applyNumberFormat="1" applyFont="1" applyBorder="1" applyAlignment="1">
      <alignment horizontal="center" vertical="center" wrapText="1"/>
    </xf>
    <xf numFmtId="2" fontId="6" fillId="0" borderId="4" xfId="10" applyNumberFormat="1" applyFont="1" applyBorder="1" applyAlignment="1">
      <alignment vertical="center"/>
    </xf>
    <xf numFmtId="2" fontId="6" fillId="6" borderId="9" xfId="14" applyNumberFormat="1" applyFont="1" applyFill="1" applyBorder="1">
      <alignment vertical="center"/>
    </xf>
    <xf numFmtId="2" fontId="11" fillId="6" borderId="4" xfId="10" applyNumberFormat="1" applyFont="1" applyFill="1" applyBorder="1" applyAlignment="1">
      <alignment vertical="center"/>
    </xf>
    <xf numFmtId="10" fontId="14" fillId="0" borderId="9" xfId="14" applyNumberFormat="1" applyFont="1" applyBorder="1">
      <alignment vertical="center"/>
    </xf>
    <xf numFmtId="43" fontId="14" fillId="5" borderId="4" xfId="10" applyNumberFormat="1" applyFont="1" applyFill="1" applyBorder="1"/>
    <xf numFmtId="43" fontId="19" fillId="5" borderId="4" xfId="10" applyNumberFormat="1" applyFont="1" applyFill="1" applyBorder="1"/>
    <xf numFmtId="43" fontId="14" fillId="5" borderId="4" xfId="14" applyNumberFormat="1" applyFont="1" applyFill="1" applyBorder="1">
      <alignment vertical="center"/>
    </xf>
    <xf numFmtId="43" fontId="27" fillId="0" borderId="9" xfId="71" applyFont="1" applyBorder="1"/>
    <xf numFmtId="43" fontId="27" fillId="0" borderId="9" xfId="71" applyFont="1" applyFill="1" applyBorder="1"/>
    <xf numFmtId="2" fontId="14" fillId="7" borderId="4" xfId="10" applyNumberFormat="1" applyFont="1" applyFill="1" applyBorder="1" applyAlignment="1">
      <alignment vertical="center"/>
    </xf>
    <xf numFmtId="2" fontId="6" fillId="0" borderId="0" xfId="14" applyNumberFormat="1" applyFont="1">
      <alignment vertical="center"/>
    </xf>
    <xf numFmtId="0" fontId="19" fillId="0" borderId="3" xfId="14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/>
    </xf>
    <xf numFmtId="0" fontId="11" fillId="0" borderId="0" xfId="14" applyFont="1">
      <alignment vertical="center"/>
    </xf>
    <xf numFmtId="0" fontId="19" fillId="0" borderId="4" xfId="10" applyFont="1" applyBorder="1" applyAlignment="1">
      <alignment horizontal="left" vertical="top" wrapText="1"/>
    </xf>
    <xf numFmtId="2" fontId="19" fillId="0" borderId="4" xfId="10" applyNumberFormat="1" applyFont="1" applyBorder="1" applyAlignment="1">
      <alignment vertical="center" wrapText="1"/>
    </xf>
    <xf numFmtId="170" fontId="6" fillId="0" borderId="0" xfId="14" applyNumberFormat="1" applyFont="1">
      <alignment vertical="center"/>
    </xf>
    <xf numFmtId="0" fontId="11" fillId="0" borderId="0" xfId="14" applyFont="1" applyAlignment="1">
      <alignment horizontal="center" vertical="center"/>
    </xf>
    <xf numFmtId="0" fontId="6" fillId="0" borderId="0" xfId="10" applyFont="1" applyAlignment="1">
      <alignment horizontal="center" vertical="center"/>
    </xf>
    <xf numFmtId="0" fontId="11" fillId="0" borderId="0" xfId="10" applyFont="1" applyAlignment="1">
      <alignment horizontal="center" vertical="center" wrapText="1"/>
    </xf>
    <xf numFmtId="0" fontId="6" fillId="0" borderId="0" xfId="10" applyFont="1" applyAlignment="1">
      <alignment horizontal="center" vertical="center" wrapText="1"/>
    </xf>
    <xf numFmtId="0" fontId="11" fillId="0" borderId="8" xfId="14" applyFont="1" applyBorder="1" applyAlignment="1">
      <alignment horizontal="center" vertical="center"/>
    </xf>
    <xf numFmtId="0" fontId="11" fillId="0" borderId="10" xfId="14" applyFont="1" applyBorder="1" applyAlignment="1">
      <alignment horizontal="center" vertical="center"/>
    </xf>
    <xf numFmtId="0" fontId="11" fillId="0" borderId="7" xfId="14" applyFont="1" applyBorder="1" applyAlignment="1">
      <alignment horizontal="center" vertical="center"/>
    </xf>
    <xf numFmtId="0" fontId="11" fillId="0" borderId="8" xfId="14" applyFont="1" applyBorder="1" applyAlignment="1">
      <alignment horizontal="center" vertical="center" wrapText="1"/>
    </xf>
    <xf numFmtId="0" fontId="11" fillId="0" borderId="10" xfId="14" applyFont="1" applyBorder="1" applyAlignment="1">
      <alignment horizontal="center" vertical="center" wrapText="1"/>
    </xf>
    <xf numFmtId="0" fontId="6" fillId="0" borderId="7" xfId="10" applyFont="1" applyBorder="1" applyAlignment="1">
      <alignment horizontal="center" vertical="center" wrapText="1"/>
    </xf>
    <xf numFmtId="0" fontId="11" fillId="0" borderId="4" xfId="14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11" fillId="0" borderId="4" xfId="14" applyFont="1" applyBorder="1" applyAlignment="1">
      <alignment horizontal="center" vertical="center" wrapText="1"/>
    </xf>
    <xf numFmtId="0" fontId="6" fillId="0" borderId="4" xfId="10" applyFont="1" applyBorder="1" applyAlignment="1">
      <alignment horizontal="center" vertical="center" wrapText="1"/>
    </xf>
    <xf numFmtId="0" fontId="11" fillId="0" borderId="6" xfId="14" applyFont="1" applyBorder="1" applyAlignment="1">
      <alignment horizontal="center" vertical="center" wrapText="1"/>
    </xf>
    <xf numFmtId="0" fontId="11" fillId="0" borderId="3" xfId="14" applyFont="1" applyBorder="1" applyAlignment="1">
      <alignment horizontal="center" vertical="center" wrapText="1"/>
    </xf>
    <xf numFmtId="0" fontId="11" fillId="0" borderId="9" xfId="14" applyFont="1" applyBorder="1" applyAlignment="1">
      <alignment horizontal="center" vertical="center" wrapText="1"/>
    </xf>
    <xf numFmtId="0" fontId="19" fillId="0" borderId="0" xfId="10" applyFont="1" applyAlignment="1">
      <alignment horizontal="center" vertical="center"/>
    </xf>
    <xf numFmtId="0" fontId="19" fillId="0" borderId="6" xfId="14" applyFont="1" applyBorder="1" applyAlignment="1">
      <alignment horizontal="center" vertical="center" wrapText="1"/>
    </xf>
    <xf numFmtId="0" fontId="19" fillId="0" borderId="3" xfId="14" applyFont="1" applyBorder="1" applyAlignment="1">
      <alignment horizontal="center" vertical="center" wrapText="1"/>
    </xf>
    <xf numFmtId="0" fontId="19" fillId="0" borderId="9" xfId="14" applyFont="1" applyBorder="1" applyAlignment="1">
      <alignment horizontal="center" vertical="center" wrapText="1"/>
    </xf>
    <xf numFmtId="0" fontId="19" fillId="0" borderId="8" xfId="10" applyFont="1" applyBorder="1" applyAlignment="1">
      <alignment horizontal="center" vertical="center" wrapText="1"/>
    </xf>
    <xf numFmtId="0" fontId="19" fillId="0" borderId="10" xfId="10" applyFont="1" applyBorder="1" applyAlignment="1">
      <alignment horizontal="center" vertical="center" wrapText="1"/>
    </xf>
    <xf numFmtId="0" fontId="19" fillId="0" borderId="7" xfId="10" applyFont="1" applyBorder="1" applyAlignment="1">
      <alignment horizontal="center" vertical="center" wrapText="1"/>
    </xf>
    <xf numFmtId="0" fontId="19" fillId="0" borderId="0" xfId="10" applyFont="1" applyAlignment="1">
      <alignment horizontal="left" vertical="center"/>
    </xf>
    <xf numFmtId="0" fontId="19" fillId="0" borderId="4" xfId="10" applyFont="1" applyBorder="1" applyAlignment="1">
      <alignment horizontal="center" vertical="center" wrapText="1"/>
    </xf>
    <xf numFmtId="0" fontId="19" fillId="0" borderId="4" xfId="10" applyFont="1" applyBorder="1" applyAlignment="1">
      <alignment horizontal="center" vertical="center"/>
    </xf>
    <xf numFmtId="0" fontId="19" fillId="0" borderId="4" xfId="14" applyFont="1" applyBorder="1" applyAlignment="1">
      <alignment horizontal="center" vertical="center"/>
    </xf>
    <xf numFmtId="0" fontId="14" fillId="0" borderId="4" xfId="10" applyFont="1" applyBorder="1" applyAlignment="1">
      <alignment vertical="center"/>
    </xf>
    <xf numFmtId="0" fontId="19" fillId="0" borderId="0" xfId="14" applyFont="1" applyAlignment="1">
      <alignment horizontal="center" vertical="center"/>
    </xf>
    <xf numFmtId="0" fontId="19" fillId="0" borderId="0" xfId="10" applyFont="1" applyAlignment="1">
      <alignment horizontal="center"/>
    </xf>
    <xf numFmtId="0" fontId="19" fillId="0" borderId="4" xfId="14" applyFont="1" applyBorder="1" applyAlignment="1">
      <alignment horizontal="center" vertical="center" wrapText="1"/>
    </xf>
    <xf numFmtId="0" fontId="19" fillId="0" borderId="8" xfId="14" applyFont="1" applyBorder="1" applyAlignment="1">
      <alignment horizontal="center" vertical="center" wrapText="1"/>
    </xf>
    <xf numFmtId="0" fontId="19" fillId="0" borderId="10" xfId="14" applyFont="1" applyBorder="1" applyAlignment="1">
      <alignment horizontal="center" vertical="center" wrapText="1"/>
    </xf>
    <xf numFmtId="0" fontId="14" fillId="0" borderId="7" xfId="10" applyFont="1" applyBorder="1" applyAlignment="1">
      <alignment horizontal="center" vertical="center" wrapText="1"/>
    </xf>
    <xf numFmtId="0" fontId="14" fillId="0" borderId="4" xfId="10" applyFont="1" applyBorder="1" applyAlignment="1">
      <alignment horizontal="center" vertical="center"/>
    </xf>
    <xf numFmtId="0" fontId="19" fillId="4" borderId="17" xfId="68" applyFont="1" applyFill="1" applyBorder="1" applyAlignment="1">
      <alignment horizontal="center" vertical="center"/>
    </xf>
    <xf numFmtId="0" fontId="19" fillId="4" borderId="18" xfId="68" applyFont="1" applyFill="1" applyBorder="1" applyAlignment="1">
      <alignment horizontal="center" vertical="center"/>
    </xf>
    <xf numFmtId="0" fontId="19" fillId="4" borderId="19" xfId="68" applyFont="1" applyFill="1" applyBorder="1" applyAlignment="1">
      <alignment horizontal="center" vertical="center"/>
    </xf>
    <xf numFmtId="0" fontId="19" fillId="4" borderId="5" xfId="68" applyFont="1" applyFill="1" applyBorder="1" applyAlignment="1">
      <alignment horizontal="center" vertical="center" wrapText="1"/>
    </xf>
    <xf numFmtId="0" fontId="19" fillId="4" borderId="12" xfId="68" applyFont="1" applyFill="1" applyBorder="1" applyAlignment="1">
      <alignment horizontal="center" vertical="center" wrapText="1"/>
    </xf>
    <xf numFmtId="0" fontId="19" fillId="4" borderId="4" xfId="68" quotePrefix="1" applyFont="1" applyFill="1" applyBorder="1" applyAlignment="1">
      <alignment horizontal="center" vertical="center" wrapText="1"/>
    </xf>
    <xf numFmtId="0" fontId="19" fillId="4" borderId="13" xfId="68" quotePrefix="1" applyFont="1" applyFill="1" applyBorder="1" applyAlignment="1">
      <alignment horizontal="center" vertical="center" wrapText="1"/>
    </xf>
    <xf numFmtId="0" fontId="19" fillId="4" borderId="4" xfId="68" applyFont="1" applyFill="1" applyBorder="1" applyAlignment="1">
      <alignment horizontal="center" vertical="center" wrapText="1"/>
    </xf>
    <xf numFmtId="0" fontId="19" fillId="4" borderId="13" xfId="68" applyFont="1" applyFill="1" applyBorder="1" applyAlignment="1">
      <alignment horizontal="center" vertical="center" wrapText="1"/>
    </xf>
    <xf numFmtId="0" fontId="19" fillId="4" borderId="11" xfId="68" applyFont="1" applyFill="1" applyBorder="1" applyAlignment="1">
      <alignment horizontal="center" vertical="center" wrapText="1"/>
    </xf>
    <xf numFmtId="0" fontId="11" fillId="0" borderId="0" xfId="10" applyFont="1" applyAlignment="1">
      <alignment horizontal="center" vertical="center"/>
    </xf>
    <xf numFmtId="0" fontId="11" fillId="0" borderId="6" xfId="10" applyFont="1" applyBorder="1" applyAlignment="1">
      <alignment horizontal="center" vertical="center"/>
    </xf>
    <xf numFmtId="0" fontId="11" fillId="0" borderId="3" xfId="10" applyFont="1" applyBorder="1" applyAlignment="1">
      <alignment horizontal="center" vertical="center"/>
    </xf>
    <xf numFmtId="0" fontId="11" fillId="0" borderId="9" xfId="10" applyFont="1" applyBorder="1" applyAlignment="1">
      <alignment horizontal="center" vertical="center"/>
    </xf>
    <xf numFmtId="0" fontId="11" fillId="0" borderId="4" xfId="10" applyFont="1" applyBorder="1" applyAlignment="1">
      <alignment horizontal="center" vertical="center"/>
    </xf>
    <xf numFmtId="0" fontId="11" fillId="0" borderId="0" xfId="14" applyFont="1" applyAlignment="1">
      <alignment horizontal="center" vertical="top"/>
    </xf>
    <xf numFmtId="0" fontId="7" fillId="0" borderId="4" xfId="10" applyBorder="1" applyAlignment="1">
      <alignment horizontal="center" vertical="center" wrapText="1"/>
    </xf>
    <xf numFmtId="0" fontId="7" fillId="0" borderId="4" xfId="10" applyBorder="1" applyAlignment="1">
      <alignment horizontal="center" vertical="center"/>
    </xf>
    <xf numFmtId="2" fontId="19" fillId="0" borderId="6" xfId="10" applyNumberFormat="1" applyFont="1" applyBorder="1" applyAlignment="1">
      <alignment horizontal="center" vertical="center"/>
    </xf>
    <xf numFmtId="2" fontId="19" fillId="0" borderId="3" xfId="10" applyNumberFormat="1" applyFont="1" applyBorder="1" applyAlignment="1">
      <alignment horizontal="center" vertical="center"/>
    </xf>
    <xf numFmtId="2" fontId="19" fillId="0" borderId="9" xfId="10" applyNumberFormat="1" applyFont="1" applyBorder="1" applyAlignment="1">
      <alignment horizontal="center" vertical="center"/>
    </xf>
    <xf numFmtId="2" fontId="19" fillId="0" borderId="0" xfId="14" applyNumberFormat="1" applyFont="1" applyAlignment="1">
      <alignment horizontal="center" vertical="center"/>
    </xf>
    <xf numFmtId="2" fontId="19" fillId="0" borderId="0" xfId="10" applyNumberFormat="1" applyFont="1" applyAlignment="1">
      <alignment horizontal="center" vertical="center"/>
    </xf>
  </cellXfs>
  <cellStyles count="72">
    <cellStyle name="Body" xfId="1"/>
    <cellStyle name="Comma" xfId="71" builtinId="3"/>
    <cellStyle name="Comma  - Style1" xfId="2"/>
    <cellStyle name="Comma 11 2" xfId="19"/>
    <cellStyle name="Comma 2" xfId="24"/>
    <cellStyle name="Comma 2 2" xfId="25"/>
    <cellStyle name="Comma 2 2 2" xfId="63"/>
    <cellStyle name="Comma 2 3" xfId="26"/>
    <cellStyle name="Comma 2 4" xfId="56"/>
    <cellStyle name="Comma 3" xfId="27"/>
    <cellStyle name="Comma 3 2" xfId="62"/>
    <cellStyle name="Comma 4" xfId="28"/>
    <cellStyle name="Comma 4 2" xfId="64"/>
    <cellStyle name="Comma 5" xfId="29"/>
    <cellStyle name="Comma 6" xfId="48"/>
    <cellStyle name="Comma 6 2" xfId="49"/>
    <cellStyle name="Comma 6 3" xfId="50"/>
    <cellStyle name="Comma 6 4" xfId="51"/>
    <cellStyle name="Comma 7" xfId="21"/>
    <cellStyle name="Comma 8" xfId="65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1" xfId="69"/>
    <cellStyle name="Normal 12" xfId="70"/>
    <cellStyle name="Normal 14 2" xfId="68"/>
    <cellStyle name="Normal 15" xfId="18"/>
    <cellStyle name="Normal 18" xfId="6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3" xfId="13"/>
    <cellStyle name="Normal 3 2" xfId="33"/>
    <cellStyle name="Normal 3 2 2" xfId="58"/>
    <cellStyle name="Normal 39" xfId="22"/>
    <cellStyle name="Normal 4" xfId="34"/>
    <cellStyle name="Normal 4 2" xfId="59"/>
    <cellStyle name="Normal 5" xfId="35"/>
    <cellStyle name="Normal 5 2" xfId="36"/>
    <cellStyle name="Normal 6" xfId="37"/>
    <cellStyle name="Normal 7" xfId="38"/>
    <cellStyle name="Normal 8" xfId="53"/>
    <cellStyle name="Normal 9" xfId="54"/>
    <cellStyle name="Normal_FORMATS 5 YEAR ALOKE 2" xfId="14"/>
    <cellStyle name="Percent [0]_#6 Temps &amp; Contractors" xfId="15"/>
    <cellStyle name="Percent [2]" xfId="16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1"/>
  <sheetViews>
    <sheetView showGridLines="0" zoomScale="80" zoomScaleNormal="80" zoomScaleSheetLayoutView="80" workbookViewId="0">
      <selection activeCell="J12" sqref="J12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15" width="18.7109375" style="6" customWidth="1"/>
    <col min="16" max="16384" width="9.28515625" style="6"/>
  </cols>
  <sheetData>
    <row r="2" spans="2:15" ht="15.75">
      <c r="B2" s="256" t="s">
        <v>404</v>
      </c>
      <c r="C2" s="256"/>
      <c r="D2" s="257"/>
      <c r="E2" s="257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ht="15.75">
      <c r="B3" s="256" t="s">
        <v>376</v>
      </c>
      <c r="C3" s="256"/>
      <c r="D3" s="257"/>
      <c r="E3" s="257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15" customFormat="1" ht="15.75">
      <c r="B4" s="258" t="s">
        <v>328</v>
      </c>
      <c r="C4" s="258"/>
      <c r="D4" s="259"/>
      <c r="E4" s="259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15.75">
      <c r="D5" s="85" t="s">
        <v>330</v>
      </c>
    </row>
    <row r="6" spans="2:15" ht="15.75">
      <c r="N6" s="7"/>
    </row>
    <row r="7" spans="2:15" ht="15.75">
      <c r="B7" s="17" t="s">
        <v>186</v>
      </c>
      <c r="C7" s="17" t="s">
        <v>329</v>
      </c>
      <c r="D7" s="18" t="s">
        <v>7</v>
      </c>
      <c r="E7" s="18" t="s">
        <v>331</v>
      </c>
    </row>
    <row r="8" spans="2:15">
      <c r="B8" s="8">
        <v>1</v>
      </c>
      <c r="C8" s="8" t="s">
        <v>6</v>
      </c>
      <c r="D8" s="9" t="s">
        <v>333</v>
      </c>
      <c r="E8" s="10"/>
    </row>
    <row r="9" spans="2:15">
      <c r="B9" s="8">
        <f>B8+1</f>
        <v>2</v>
      </c>
      <c r="C9" s="8" t="s">
        <v>275</v>
      </c>
      <c r="D9" s="9" t="s">
        <v>335</v>
      </c>
      <c r="E9" s="10"/>
    </row>
    <row r="10" spans="2:15">
      <c r="B10" s="8">
        <f>B9+1</f>
        <v>3</v>
      </c>
      <c r="C10" s="8" t="s">
        <v>24</v>
      </c>
      <c r="D10" s="9" t="s">
        <v>336</v>
      </c>
      <c r="E10" s="10"/>
    </row>
    <row r="11" spans="2:15">
      <c r="B11" s="8">
        <f>B10+1</f>
        <v>4</v>
      </c>
      <c r="C11" s="8" t="s">
        <v>25</v>
      </c>
      <c r="D11" s="9" t="s">
        <v>337</v>
      </c>
      <c r="E11" s="10"/>
    </row>
    <row r="12" spans="2:15">
      <c r="B12" s="8">
        <f>B11+1</f>
        <v>5</v>
      </c>
      <c r="C12" s="8" t="s">
        <v>276</v>
      </c>
      <c r="D12" s="9" t="s">
        <v>338</v>
      </c>
      <c r="E12" s="10"/>
    </row>
    <row r="13" spans="2:15">
      <c r="B13" s="8">
        <f t="shared" ref="B13:B39" si="0">B12+1</f>
        <v>6</v>
      </c>
      <c r="C13" s="8" t="s">
        <v>22</v>
      </c>
      <c r="D13" s="9" t="s">
        <v>211</v>
      </c>
      <c r="E13" s="10"/>
    </row>
    <row r="14" spans="2:15">
      <c r="B14" s="8">
        <f t="shared" si="0"/>
        <v>7</v>
      </c>
      <c r="C14" s="8" t="s">
        <v>27</v>
      </c>
      <c r="D14" s="9" t="s">
        <v>339</v>
      </c>
      <c r="E14" s="10"/>
    </row>
    <row r="15" spans="2:15">
      <c r="B15" s="8">
        <f t="shared" si="0"/>
        <v>8</v>
      </c>
      <c r="C15" s="8" t="s">
        <v>28</v>
      </c>
      <c r="D15" s="11" t="s">
        <v>183</v>
      </c>
      <c r="E15" s="10"/>
    </row>
    <row r="16" spans="2:15">
      <c r="B16" s="8">
        <f t="shared" si="0"/>
        <v>9</v>
      </c>
      <c r="C16" s="8" t="s">
        <v>23</v>
      </c>
      <c r="D16" s="11" t="s">
        <v>340</v>
      </c>
      <c r="E16" s="10"/>
    </row>
    <row r="17" spans="2:5">
      <c r="B17" s="8">
        <f t="shared" si="0"/>
        <v>10</v>
      </c>
      <c r="C17" s="8" t="s">
        <v>29</v>
      </c>
      <c r="D17" s="9" t="s">
        <v>238</v>
      </c>
      <c r="E17" s="10"/>
    </row>
    <row r="18" spans="2:5">
      <c r="B18" s="8">
        <f t="shared" si="0"/>
        <v>11</v>
      </c>
      <c r="C18" s="8" t="s">
        <v>30</v>
      </c>
      <c r="D18" s="11" t="s">
        <v>293</v>
      </c>
      <c r="E18" s="10"/>
    </row>
    <row r="19" spans="2:5">
      <c r="B19" s="8">
        <f t="shared" si="0"/>
        <v>12</v>
      </c>
      <c r="C19" s="8" t="s">
        <v>31</v>
      </c>
      <c r="D19" s="11" t="s">
        <v>239</v>
      </c>
      <c r="E19" s="10"/>
    </row>
    <row r="20" spans="2:5">
      <c r="B20" s="8">
        <f t="shared" si="0"/>
        <v>13</v>
      </c>
      <c r="C20" s="8" t="s">
        <v>32</v>
      </c>
      <c r="D20" s="11" t="s">
        <v>152</v>
      </c>
      <c r="E20" s="10"/>
    </row>
    <row r="21" spans="2:5">
      <c r="B21" s="8">
        <f t="shared" si="0"/>
        <v>14</v>
      </c>
      <c r="C21" s="8" t="s">
        <v>33</v>
      </c>
      <c r="D21" s="11" t="s">
        <v>26</v>
      </c>
      <c r="E21" s="10"/>
    </row>
    <row r="22" spans="2:5">
      <c r="B22" s="8">
        <f t="shared" si="0"/>
        <v>15</v>
      </c>
      <c r="C22" s="8" t="s">
        <v>34</v>
      </c>
      <c r="D22" s="9" t="s">
        <v>341</v>
      </c>
      <c r="E22" s="10"/>
    </row>
    <row r="23" spans="2:5">
      <c r="B23" s="8">
        <f t="shared" si="0"/>
        <v>16</v>
      </c>
      <c r="C23" s="8" t="s">
        <v>35</v>
      </c>
      <c r="D23" s="9" t="s">
        <v>342</v>
      </c>
      <c r="E23" s="10"/>
    </row>
    <row r="24" spans="2:5">
      <c r="B24" s="8">
        <f t="shared" si="0"/>
        <v>17</v>
      </c>
      <c r="C24" s="8" t="s">
        <v>153</v>
      </c>
      <c r="D24" s="9" t="s">
        <v>242</v>
      </c>
      <c r="E24" s="10"/>
    </row>
    <row r="25" spans="2:5">
      <c r="B25" s="8">
        <f t="shared" si="0"/>
        <v>18</v>
      </c>
      <c r="C25" s="8" t="s">
        <v>162</v>
      </c>
      <c r="D25" s="9" t="s">
        <v>343</v>
      </c>
      <c r="E25" s="10"/>
    </row>
    <row r="26" spans="2:5">
      <c r="B26" s="8">
        <f t="shared" si="0"/>
        <v>19</v>
      </c>
      <c r="C26" s="8" t="s">
        <v>332</v>
      </c>
      <c r="D26" s="9" t="s">
        <v>220</v>
      </c>
      <c r="E26" s="10"/>
    </row>
    <row r="27" spans="2:5">
      <c r="B27" s="8">
        <f t="shared" si="0"/>
        <v>20</v>
      </c>
      <c r="C27" s="8" t="s">
        <v>213</v>
      </c>
      <c r="D27" s="9" t="s">
        <v>344</v>
      </c>
      <c r="E27" s="10"/>
    </row>
    <row r="28" spans="2:5">
      <c r="B28" s="8">
        <f t="shared" si="0"/>
        <v>21</v>
      </c>
      <c r="C28" s="8" t="s">
        <v>214</v>
      </c>
      <c r="D28" s="11" t="s">
        <v>345</v>
      </c>
      <c r="E28" s="10"/>
    </row>
    <row r="29" spans="2:5" ht="15.75">
      <c r="B29" s="12"/>
      <c r="C29" s="12"/>
      <c r="D29" s="13" t="s">
        <v>219</v>
      </c>
      <c r="E29" s="14"/>
    </row>
    <row r="30" spans="2:5">
      <c r="B30" s="8">
        <f>B28+1</f>
        <v>22</v>
      </c>
      <c r="C30" s="8" t="s">
        <v>351</v>
      </c>
      <c r="D30" s="9" t="s">
        <v>359</v>
      </c>
      <c r="E30" s="10"/>
    </row>
    <row r="31" spans="2:5">
      <c r="B31" s="8">
        <f>B30+1</f>
        <v>23</v>
      </c>
      <c r="C31" s="8" t="s">
        <v>352</v>
      </c>
      <c r="D31" s="9" t="s">
        <v>360</v>
      </c>
      <c r="E31" s="10"/>
    </row>
    <row r="32" spans="2:5">
      <c r="B32" s="8">
        <f>B31+1</f>
        <v>24</v>
      </c>
      <c r="C32" s="8" t="s">
        <v>349</v>
      </c>
      <c r="D32" s="9" t="s">
        <v>178</v>
      </c>
      <c r="E32" s="10"/>
    </row>
    <row r="33" spans="2:5">
      <c r="B33" s="8">
        <f t="shared" si="0"/>
        <v>25</v>
      </c>
      <c r="C33" s="8" t="s">
        <v>350</v>
      </c>
      <c r="D33" s="9" t="s">
        <v>179</v>
      </c>
      <c r="E33" s="10"/>
    </row>
    <row r="34" spans="2:5">
      <c r="B34" s="8">
        <f t="shared" si="0"/>
        <v>26</v>
      </c>
      <c r="C34" s="8" t="s">
        <v>353</v>
      </c>
      <c r="D34" s="9" t="s">
        <v>180</v>
      </c>
      <c r="E34" s="10"/>
    </row>
    <row r="35" spans="2:5">
      <c r="B35" s="8">
        <f t="shared" si="0"/>
        <v>27</v>
      </c>
      <c r="C35" s="8" t="s">
        <v>354</v>
      </c>
      <c r="D35" s="9" t="s">
        <v>181</v>
      </c>
      <c r="E35" s="10"/>
    </row>
    <row r="36" spans="2:5">
      <c r="B36" s="8">
        <f t="shared" si="0"/>
        <v>28</v>
      </c>
      <c r="C36" s="8" t="s">
        <v>355</v>
      </c>
      <c r="D36" s="9" t="s">
        <v>200</v>
      </c>
      <c r="E36" s="10"/>
    </row>
    <row r="37" spans="2:5">
      <c r="B37" s="8">
        <f t="shared" si="0"/>
        <v>29</v>
      </c>
      <c r="C37" s="8" t="s">
        <v>356</v>
      </c>
      <c r="D37" s="9" t="s">
        <v>182</v>
      </c>
      <c r="E37" s="10"/>
    </row>
    <row r="38" spans="2:5">
      <c r="B38" s="8">
        <f t="shared" si="0"/>
        <v>30</v>
      </c>
      <c r="C38" s="8" t="s">
        <v>357</v>
      </c>
      <c r="D38" s="9" t="s">
        <v>346</v>
      </c>
      <c r="E38" s="10"/>
    </row>
    <row r="39" spans="2:5">
      <c r="B39" s="8">
        <f t="shared" si="0"/>
        <v>31</v>
      </c>
      <c r="C39" s="8" t="s">
        <v>358</v>
      </c>
      <c r="D39" s="9" t="s">
        <v>347</v>
      </c>
      <c r="E39" s="10"/>
    </row>
    <row r="41" spans="2:5" ht="15.75">
      <c r="B41" s="16" t="s">
        <v>348</v>
      </c>
      <c r="C41" s="16"/>
    </row>
  </sheetData>
  <mergeCells count="3">
    <mergeCell ref="B2:E2"/>
    <mergeCell ref="B4:E4"/>
    <mergeCell ref="B3:E3"/>
  </mergeCells>
  <phoneticPr fontId="10" type="noConversion"/>
  <pageMargins left="0.55000000000000004" right="0.23622047244094491" top="1.1023622047244095" bottom="0.98425196850393704" header="0.23622047244094491" footer="0.23622047244094491"/>
  <pageSetup paperSize="9" scale="7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83"/>
  <sheetViews>
    <sheetView showGridLines="0" topLeftCell="A88" zoomScale="90" zoomScaleNormal="90" zoomScaleSheetLayoutView="90" workbookViewId="0">
      <selection activeCell="Q7" sqref="Q1:Q1048576"/>
    </sheetView>
  </sheetViews>
  <sheetFormatPr defaultColWidth="9.28515625" defaultRowHeight="14.25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hidden="1" customWidth="1"/>
    <col min="17" max="17" width="11.7109375" style="5" hidden="1" customWidth="1"/>
    <col min="18" max="22" width="11.7109375" style="5" bestFit="1" customWidth="1"/>
    <col min="23" max="16384" width="9.28515625" style="5"/>
  </cols>
  <sheetData>
    <row r="1" spans="2:15" ht="15">
      <c r="B1" s="26"/>
    </row>
    <row r="2" spans="2:15" ht="15.75">
      <c r="H2" s="252" t="s">
        <v>404</v>
      </c>
      <c r="I2" s="252"/>
      <c r="J2" s="199"/>
      <c r="K2" s="199"/>
    </row>
    <row r="3" spans="2:15" ht="14.25" customHeight="1">
      <c r="B3" s="256" t="s">
        <v>376</v>
      </c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</row>
    <row r="4" spans="2:15" ht="15">
      <c r="B4" s="273" t="s">
        <v>278</v>
      </c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</row>
    <row r="5" spans="2:15" ht="15.75" thickBot="1">
      <c r="K5" s="38"/>
      <c r="O5" s="35" t="s">
        <v>4</v>
      </c>
    </row>
    <row r="6" spans="2:15" ht="15">
      <c r="B6" s="292" t="s">
        <v>377</v>
      </c>
      <c r="C6" s="293"/>
      <c r="D6" s="293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294"/>
    </row>
    <row r="7" spans="2:15" ht="14.25" customHeight="1">
      <c r="B7" s="295" t="s">
        <v>2</v>
      </c>
      <c r="C7" s="297" t="s">
        <v>274</v>
      </c>
      <c r="D7" s="299" t="s">
        <v>261</v>
      </c>
      <c r="E7" s="299" t="s">
        <v>262</v>
      </c>
      <c r="F7" s="299" t="s">
        <v>263</v>
      </c>
      <c r="G7" s="299"/>
      <c r="H7" s="299"/>
      <c r="I7" s="299"/>
      <c r="J7" s="299" t="s">
        <v>264</v>
      </c>
      <c r="K7" s="299"/>
      <c r="L7" s="299"/>
      <c r="M7" s="299"/>
      <c r="N7" s="299" t="s">
        <v>265</v>
      </c>
      <c r="O7" s="301"/>
    </row>
    <row r="8" spans="2:15" ht="60.75" thickBot="1">
      <c r="B8" s="296"/>
      <c r="C8" s="298"/>
      <c r="D8" s="300"/>
      <c r="E8" s="300"/>
      <c r="F8" s="67" t="s">
        <v>266</v>
      </c>
      <c r="G8" s="67" t="s">
        <v>126</v>
      </c>
      <c r="H8" s="67" t="s">
        <v>267</v>
      </c>
      <c r="I8" s="67" t="s">
        <v>268</v>
      </c>
      <c r="J8" s="67" t="s">
        <v>269</v>
      </c>
      <c r="K8" s="67" t="s">
        <v>126</v>
      </c>
      <c r="L8" s="67" t="s">
        <v>270</v>
      </c>
      <c r="M8" s="67" t="s">
        <v>271</v>
      </c>
      <c r="N8" s="67" t="s">
        <v>266</v>
      </c>
      <c r="O8" s="68" t="s">
        <v>268</v>
      </c>
    </row>
    <row r="9" spans="2:15" ht="15">
      <c r="B9" s="66">
        <v>1</v>
      </c>
      <c r="C9" s="69" t="s">
        <v>390</v>
      </c>
      <c r="D9" s="70">
        <v>1000</v>
      </c>
      <c r="E9" s="71">
        <v>0</v>
      </c>
      <c r="F9" s="72">
        <v>1.66503E-2</v>
      </c>
      <c r="G9" s="73">
        <v>0</v>
      </c>
      <c r="H9" s="72">
        <v>0</v>
      </c>
      <c r="I9" s="134">
        <f>F9+G9-H9</f>
        <v>1.66503E-2</v>
      </c>
      <c r="J9" s="135">
        <v>0</v>
      </c>
      <c r="K9" s="136">
        <f>AVERAGE(F9,I9)*E9</f>
        <v>0</v>
      </c>
      <c r="L9" s="137">
        <v>0</v>
      </c>
      <c r="M9" s="138">
        <f>J9+K9-L9</f>
        <v>0</v>
      </c>
      <c r="N9" s="139">
        <f>F9-J9</f>
        <v>1.66503E-2</v>
      </c>
      <c r="O9" s="139">
        <f>I9-M9</f>
        <v>1.66503E-2</v>
      </c>
    </row>
    <row r="10" spans="2:15" ht="15">
      <c r="B10" s="74">
        <v>2</v>
      </c>
      <c r="C10" s="75" t="s">
        <v>116</v>
      </c>
      <c r="D10" s="76">
        <v>1100</v>
      </c>
      <c r="E10" s="77">
        <v>3.3399999999999999E-2</v>
      </c>
      <c r="F10" s="78">
        <v>49.452357536999997</v>
      </c>
      <c r="G10" s="79">
        <v>0</v>
      </c>
      <c r="H10" s="78">
        <v>0</v>
      </c>
      <c r="I10" s="140">
        <f>F10+G10-H10</f>
        <v>49.452357536999997</v>
      </c>
      <c r="J10" s="141">
        <v>41.054268225999998</v>
      </c>
      <c r="K10" s="136">
        <f t="shared" ref="K10:K20" si="0">AVERAGE(F10,I10)*E10</f>
        <v>1.6517087417357998</v>
      </c>
      <c r="L10" s="143">
        <v>0</v>
      </c>
      <c r="M10" s="144">
        <f t="shared" ref="M10:M12" si="1">J10+K10-L10</f>
        <v>42.705976967735801</v>
      </c>
      <c r="N10" s="140">
        <f t="shared" ref="N10:N12" si="2">F10-J10</f>
        <v>8.3980893109999997</v>
      </c>
      <c r="O10" s="140">
        <f t="shared" ref="O10:O12" si="3">I10-M10</f>
        <v>6.7463805692641969</v>
      </c>
    </row>
    <row r="11" spans="2:15" ht="15">
      <c r="B11" s="74">
        <v>3</v>
      </c>
      <c r="C11" s="81" t="s">
        <v>400</v>
      </c>
      <c r="D11" s="76">
        <v>1200</v>
      </c>
      <c r="E11" s="77">
        <v>5.28E-2</v>
      </c>
      <c r="F11" s="78">
        <v>1.9820533370000002</v>
      </c>
      <c r="G11" s="79">
        <v>1.1635864999999999E-2</v>
      </c>
      <c r="H11" s="78">
        <v>0</v>
      </c>
      <c r="I11" s="140">
        <f t="shared" ref="I11" si="4">F11+G11-H11</f>
        <v>1.9936892020000001</v>
      </c>
      <c r="J11" s="141">
        <v>0.660197916</v>
      </c>
      <c r="K11" s="136">
        <f t="shared" si="0"/>
        <v>0.10495960302960002</v>
      </c>
      <c r="L11" s="143">
        <v>0</v>
      </c>
      <c r="M11" s="144">
        <f t="shared" si="1"/>
        <v>0.76515751902960005</v>
      </c>
      <c r="N11" s="140">
        <f t="shared" si="2"/>
        <v>1.3218554210000002</v>
      </c>
      <c r="O11" s="140">
        <f t="shared" si="3"/>
        <v>1.2285316829704001</v>
      </c>
    </row>
    <row r="12" spans="2:15" ht="15.75" thickBot="1">
      <c r="B12" s="190">
        <v>4</v>
      </c>
      <c r="C12" s="191" t="s">
        <v>115</v>
      </c>
      <c r="D12" s="192">
        <v>1300</v>
      </c>
      <c r="E12" s="82">
        <v>5.28E-2</v>
      </c>
      <c r="F12" s="79">
        <f>1010.546462935-28.49</f>
        <v>982.05646293500001</v>
      </c>
      <c r="G12" s="79">
        <v>0.16546388640000001</v>
      </c>
      <c r="H12" s="193">
        <v>0.27225389999999999</v>
      </c>
      <c r="I12" s="194">
        <f>F12+G12-H12</f>
        <v>981.94967292139995</v>
      </c>
      <c r="J12" s="195">
        <f>777.990842756-12.34</f>
        <v>765.65084275599997</v>
      </c>
      <c r="K12" s="136">
        <f t="shared" si="0"/>
        <v>51.849761986608954</v>
      </c>
      <c r="L12" s="196"/>
      <c r="M12" s="197">
        <f t="shared" si="1"/>
        <v>817.50060474260897</v>
      </c>
      <c r="N12" s="194">
        <f t="shared" si="2"/>
        <v>216.40562017900004</v>
      </c>
      <c r="O12" s="194">
        <f t="shared" si="3"/>
        <v>164.44906817879098</v>
      </c>
    </row>
    <row r="13" spans="2:15" ht="15">
      <c r="B13" s="66">
        <v>5</v>
      </c>
      <c r="C13" s="69" t="s">
        <v>391</v>
      </c>
      <c r="D13" s="70">
        <v>1400</v>
      </c>
      <c r="E13" s="71">
        <v>5.28E-2</v>
      </c>
      <c r="F13" s="72">
        <v>0.59076132300000006</v>
      </c>
      <c r="G13" s="73">
        <v>0</v>
      </c>
      <c r="H13" s="72">
        <v>0</v>
      </c>
      <c r="I13" s="134">
        <f>F13+G13-H13</f>
        <v>0.59076132300000006</v>
      </c>
      <c r="J13" s="135">
        <v>0.209649379</v>
      </c>
      <c r="K13" s="136">
        <f t="shared" si="0"/>
        <v>3.1192197854400004E-2</v>
      </c>
      <c r="L13" s="137">
        <v>0</v>
      </c>
      <c r="M13" s="138">
        <f>J13+K13-L13</f>
        <v>0.2408415768544</v>
      </c>
      <c r="N13" s="139">
        <f>F13-J13</f>
        <v>0.38111194400000004</v>
      </c>
      <c r="O13" s="139">
        <f>I13-M13</f>
        <v>0.34991974614560006</v>
      </c>
    </row>
    <row r="14" spans="2:15" ht="15">
      <c r="B14" s="74">
        <v>6</v>
      </c>
      <c r="C14" s="75" t="s">
        <v>392</v>
      </c>
      <c r="D14" s="76">
        <v>1500</v>
      </c>
      <c r="E14" s="77">
        <v>5.28E-2</v>
      </c>
      <c r="F14" s="78">
        <v>874.738613977</v>
      </c>
      <c r="G14" s="79">
        <v>0</v>
      </c>
      <c r="H14" s="78">
        <v>0</v>
      </c>
      <c r="I14" s="140">
        <f>F14+G14-H14</f>
        <v>874.738613977</v>
      </c>
      <c r="J14" s="141">
        <v>264.25024824400003</v>
      </c>
      <c r="K14" s="136">
        <f t="shared" si="0"/>
        <v>46.186198817985598</v>
      </c>
      <c r="L14" s="143">
        <v>0</v>
      </c>
      <c r="M14" s="144">
        <f t="shared" ref="M14:M16" si="5">J14+K14-L14</f>
        <v>310.43644706198563</v>
      </c>
      <c r="N14" s="140">
        <f t="shared" ref="N14:N16" si="6">F14-J14</f>
        <v>610.48836573299991</v>
      </c>
      <c r="O14" s="140">
        <f t="shared" ref="O14:O16" si="7">I14-M14</f>
        <v>564.30216691501437</v>
      </c>
    </row>
    <row r="15" spans="2:15" ht="15">
      <c r="B15" s="74">
        <v>7</v>
      </c>
      <c r="C15" s="81" t="s">
        <v>393</v>
      </c>
      <c r="D15" s="76">
        <v>1600</v>
      </c>
      <c r="E15" s="77">
        <v>3.3399999999999999E-2</v>
      </c>
      <c r="F15" s="78">
        <v>8.8920160920000004</v>
      </c>
      <c r="G15" s="79">
        <v>0</v>
      </c>
      <c r="H15" s="78">
        <v>0</v>
      </c>
      <c r="I15" s="140">
        <f t="shared" ref="I15" si="8">F15+G15-H15</f>
        <v>8.8920160920000004</v>
      </c>
      <c r="J15" s="141">
        <v>5.6431243960000002</v>
      </c>
      <c r="K15" s="136">
        <f t="shared" si="0"/>
        <v>0.29699333747279999</v>
      </c>
      <c r="L15" s="143">
        <v>0</v>
      </c>
      <c r="M15" s="144">
        <f t="shared" si="5"/>
        <v>5.9401177334727997</v>
      </c>
      <c r="N15" s="140">
        <f t="shared" si="6"/>
        <v>3.2488916960000003</v>
      </c>
      <c r="O15" s="140">
        <f t="shared" si="7"/>
        <v>2.9518983585272007</v>
      </c>
    </row>
    <row r="16" spans="2:15" ht="15.75" thickBot="1">
      <c r="B16" s="190">
        <v>8</v>
      </c>
      <c r="C16" s="191" t="s">
        <v>120</v>
      </c>
      <c r="D16" s="192">
        <v>1700</v>
      </c>
      <c r="E16" s="82">
        <v>9.5000000000000001E-2</v>
      </c>
      <c r="F16" s="79">
        <v>0.28892329300000003</v>
      </c>
      <c r="G16" s="79">
        <v>0</v>
      </c>
      <c r="H16" s="193">
        <v>1.4340123999999999E-2</v>
      </c>
      <c r="I16" s="194">
        <f>F16+G16-H16+0.01</f>
        <v>0.28458316900000002</v>
      </c>
      <c r="J16" s="195">
        <v>0.15360494499999999</v>
      </c>
      <c r="K16" s="136">
        <f t="shared" si="0"/>
        <v>2.7241556945000005E-2</v>
      </c>
      <c r="L16" s="196"/>
      <c r="M16" s="197">
        <f t="shared" si="5"/>
        <v>0.18084650194499999</v>
      </c>
      <c r="N16" s="194">
        <f t="shared" si="6"/>
        <v>0.13531834800000003</v>
      </c>
      <c r="O16" s="194">
        <f t="shared" si="7"/>
        <v>0.10373666705500004</v>
      </c>
    </row>
    <row r="17" spans="2:17" ht="15">
      <c r="B17" s="66">
        <v>9</v>
      </c>
      <c r="C17" s="69" t="s">
        <v>394</v>
      </c>
      <c r="D17" s="70">
        <v>1800</v>
      </c>
      <c r="E17" s="71">
        <v>6.3299999999999995E-2</v>
      </c>
      <c r="F17" s="72">
        <v>0.87260389399999994</v>
      </c>
      <c r="G17" s="73">
        <v>3.4031286000000001E-2</v>
      </c>
      <c r="H17" s="72">
        <v>1.9959999999999999E-3</v>
      </c>
      <c r="I17" s="134">
        <f>F17+G17-H17</f>
        <v>0.90463917999999999</v>
      </c>
      <c r="J17" s="135">
        <v>0.51701592200000002</v>
      </c>
      <c r="K17" s="136">
        <f t="shared" si="0"/>
        <v>5.6249743292099988E-2</v>
      </c>
      <c r="L17" s="137">
        <v>0</v>
      </c>
      <c r="M17" s="138">
        <f>J17+K17-L17</f>
        <v>0.57326566529209999</v>
      </c>
      <c r="N17" s="139">
        <f>F17-J17</f>
        <v>0.35558797199999992</v>
      </c>
      <c r="O17" s="139">
        <f>I17-M17</f>
        <v>0.3313735147079</v>
      </c>
    </row>
    <row r="18" spans="2:17" ht="15">
      <c r="B18" s="74">
        <v>10</v>
      </c>
      <c r="C18" s="75" t="s">
        <v>395</v>
      </c>
      <c r="D18" s="76">
        <v>1900</v>
      </c>
      <c r="E18" s="77">
        <v>0.15</v>
      </c>
      <c r="F18" s="78">
        <v>1.0096840699999998</v>
      </c>
      <c r="G18" s="79">
        <v>1.5339999999999999E-2</v>
      </c>
      <c r="H18" s="78">
        <v>0</v>
      </c>
      <c r="I18" s="140">
        <f>F18+G18-H18</f>
        <v>1.0250240699999997</v>
      </c>
      <c r="J18" s="141">
        <v>0.63792700199999997</v>
      </c>
      <c r="K18" s="136">
        <f t="shared" si="0"/>
        <v>0.15260311049999994</v>
      </c>
      <c r="L18" s="143">
        <v>0</v>
      </c>
      <c r="M18" s="144">
        <f t="shared" ref="M18:M20" si="9">J18+K18-L18</f>
        <v>0.79053011249999994</v>
      </c>
      <c r="N18" s="140">
        <f t="shared" ref="N18:N20" si="10">F18-J18</f>
        <v>0.37175706799999986</v>
      </c>
      <c r="O18" s="140">
        <f t="shared" ref="O18:O20" si="11">I18-M18</f>
        <v>0.23449395749999979</v>
      </c>
    </row>
    <row r="19" spans="2:17" ht="15">
      <c r="B19" s="74">
        <v>11</v>
      </c>
      <c r="C19" s="81" t="s">
        <v>122</v>
      </c>
      <c r="D19" s="76">
        <v>2100</v>
      </c>
      <c r="E19" s="77">
        <v>6.3299999999999995E-2</v>
      </c>
      <c r="F19" s="78">
        <v>0.87547269299999997</v>
      </c>
      <c r="G19" s="79">
        <v>5.9902749999999998E-2</v>
      </c>
      <c r="H19" s="78">
        <v>-1.9959999999999999E-3</v>
      </c>
      <c r="I19" s="140">
        <f t="shared" ref="I19:I20" si="12">F19+G19-H19</f>
        <v>0.93737144299999997</v>
      </c>
      <c r="J19" s="141">
        <v>0.52203124699999992</v>
      </c>
      <c r="K19" s="136">
        <f t="shared" si="0"/>
        <v>5.7376516904399988E-2</v>
      </c>
      <c r="L19" s="143">
        <v>0</v>
      </c>
      <c r="M19" s="144">
        <f t="shared" si="9"/>
        <v>0.57940776390439996</v>
      </c>
      <c r="N19" s="140">
        <f t="shared" si="10"/>
        <v>0.35344144600000005</v>
      </c>
      <c r="O19" s="140">
        <f t="shared" si="11"/>
        <v>0.35796367909560001</v>
      </c>
      <c r="Q19" s="176">
        <f>K21-P19</f>
        <v>100.41721809477866</v>
      </c>
    </row>
    <row r="20" spans="2:17" ht="15">
      <c r="B20" s="74">
        <v>12</v>
      </c>
      <c r="C20" s="81" t="s">
        <v>396</v>
      </c>
      <c r="D20" s="76">
        <v>2200</v>
      </c>
      <c r="E20" s="82">
        <v>0.15</v>
      </c>
      <c r="F20" s="78">
        <v>1.9549882999999997E-2</v>
      </c>
      <c r="G20" s="79">
        <v>0</v>
      </c>
      <c r="H20" s="80">
        <v>0</v>
      </c>
      <c r="I20" s="140">
        <f t="shared" si="12"/>
        <v>1.9549882999999997E-2</v>
      </c>
      <c r="J20" s="141">
        <v>1.9549882999999997E-2</v>
      </c>
      <c r="K20" s="136">
        <f t="shared" si="0"/>
        <v>2.9324824499999996E-3</v>
      </c>
      <c r="L20" s="143">
        <v>0</v>
      </c>
      <c r="M20" s="144">
        <f t="shared" si="9"/>
        <v>2.2482365449999996E-2</v>
      </c>
      <c r="N20" s="140">
        <f t="shared" si="10"/>
        <v>0</v>
      </c>
      <c r="O20" s="140">
        <f t="shared" si="11"/>
        <v>-2.9324824499999992E-3</v>
      </c>
      <c r="Q20" s="176">
        <f>J21-P20</f>
        <v>1079.3184599160002</v>
      </c>
    </row>
    <row r="21" spans="2:17" ht="15.75" thickBot="1">
      <c r="B21" s="83"/>
      <c r="C21" s="84" t="s">
        <v>127</v>
      </c>
      <c r="D21" s="84"/>
      <c r="E21" s="145">
        <f>IFERROR((K21-L21)/AVERAGE(F21,I21),0)</f>
        <v>5.2278983591559185E-2</v>
      </c>
      <c r="F21" s="146">
        <f>SUM(F9:F20)</f>
        <v>1920.7951493339999</v>
      </c>
      <c r="G21" s="146">
        <v>0.28999999999999998</v>
      </c>
      <c r="H21" s="146">
        <v>0.28999999999999998</v>
      </c>
      <c r="I21" s="146">
        <f>F21+G21-H21</f>
        <v>1920.7951493339999</v>
      </c>
      <c r="J21" s="146">
        <f t="shared" ref="J21:L21" si="13">SUM(J9:J20)</f>
        <v>1079.3184599160002</v>
      </c>
      <c r="K21" s="146">
        <f>SUM(K9:K20)</f>
        <v>100.41721809477866</v>
      </c>
      <c r="L21" s="146">
        <f t="shared" si="13"/>
        <v>0</v>
      </c>
      <c r="M21" s="146">
        <f>J21+K21-L21</f>
        <v>1179.7356780107789</v>
      </c>
      <c r="N21" s="146">
        <f>F21-J21</f>
        <v>841.47668941799975</v>
      </c>
      <c r="O21" s="146">
        <f>I21-M21</f>
        <v>741.05947132322103</v>
      </c>
      <c r="Q21" s="176">
        <f>F21-P21</f>
        <v>1920.7951493339999</v>
      </c>
    </row>
    <row r="22" spans="2:17" ht="15" thickBot="1">
      <c r="P22" s="176"/>
    </row>
    <row r="23" spans="2:17" ht="15">
      <c r="B23" s="292" t="s">
        <v>378</v>
      </c>
      <c r="C23" s="293"/>
      <c r="D23" s="293"/>
      <c r="E23" s="293"/>
      <c r="F23" s="293"/>
      <c r="G23" s="293"/>
      <c r="H23" s="293"/>
      <c r="I23" s="293"/>
      <c r="J23" s="293"/>
      <c r="K23" s="293"/>
      <c r="L23" s="293"/>
      <c r="M23" s="293"/>
      <c r="N23" s="293"/>
      <c r="O23" s="294"/>
    </row>
    <row r="24" spans="2:17" ht="14.25" customHeight="1">
      <c r="B24" s="295" t="s">
        <v>2</v>
      </c>
      <c r="C24" s="297" t="s">
        <v>274</v>
      </c>
      <c r="D24" s="299" t="s">
        <v>261</v>
      </c>
      <c r="E24" s="299" t="s">
        <v>262</v>
      </c>
      <c r="F24" s="299" t="s">
        <v>263</v>
      </c>
      <c r="G24" s="299"/>
      <c r="H24" s="299"/>
      <c r="I24" s="299"/>
      <c r="J24" s="299" t="s">
        <v>264</v>
      </c>
      <c r="K24" s="299"/>
      <c r="L24" s="299"/>
      <c r="M24" s="299"/>
      <c r="N24" s="299" t="s">
        <v>265</v>
      </c>
      <c r="O24" s="301"/>
    </row>
    <row r="25" spans="2:17" ht="60.75" thickBot="1">
      <c r="B25" s="296"/>
      <c r="C25" s="298"/>
      <c r="D25" s="300"/>
      <c r="E25" s="300"/>
      <c r="F25" s="67" t="s">
        <v>266</v>
      </c>
      <c r="G25" s="67" t="s">
        <v>126</v>
      </c>
      <c r="H25" s="67" t="s">
        <v>267</v>
      </c>
      <c r="I25" s="67" t="s">
        <v>268</v>
      </c>
      <c r="J25" s="67" t="s">
        <v>269</v>
      </c>
      <c r="K25" s="67" t="s">
        <v>126</v>
      </c>
      <c r="L25" s="67" t="s">
        <v>270</v>
      </c>
      <c r="M25" s="67" t="s">
        <v>271</v>
      </c>
      <c r="N25" s="67" t="s">
        <v>266</v>
      </c>
      <c r="O25" s="68" t="s">
        <v>268</v>
      </c>
    </row>
    <row r="26" spans="2:17" ht="15">
      <c r="B26" s="66">
        <v>1</v>
      </c>
      <c r="C26" s="186" t="s">
        <v>390</v>
      </c>
      <c r="D26" s="70"/>
      <c r="E26" s="71">
        <v>0</v>
      </c>
      <c r="F26" s="134">
        <f t="shared" ref="F26:F37" si="14">I9</f>
        <v>1.66503E-2</v>
      </c>
      <c r="G26" s="246">
        <v>0</v>
      </c>
      <c r="H26" s="72"/>
      <c r="I26" s="134">
        <f>F26+G26-H26</f>
        <v>1.66503E-2</v>
      </c>
      <c r="J26" s="135">
        <v>0</v>
      </c>
      <c r="K26" s="136">
        <f>AVERAGE(F26,I26)*E26</f>
        <v>0</v>
      </c>
      <c r="L26" s="137"/>
      <c r="M26" s="138">
        <f>J26+K26-L26</f>
        <v>0</v>
      </c>
      <c r="N26" s="139">
        <f>F26-J26</f>
        <v>1.66503E-2</v>
      </c>
      <c r="O26" s="139">
        <f>I26-M26</f>
        <v>1.66503E-2</v>
      </c>
    </row>
    <row r="27" spans="2:17" ht="15">
      <c r="B27" s="74">
        <v>2</v>
      </c>
      <c r="C27" s="186" t="s">
        <v>116</v>
      </c>
      <c r="D27" s="76"/>
      <c r="E27" s="77">
        <v>3.3399999999999999E-2</v>
      </c>
      <c r="F27" s="140">
        <f t="shared" si="14"/>
        <v>49.452357536999997</v>
      </c>
      <c r="G27" s="246">
        <v>0</v>
      </c>
      <c r="H27" s="78"/>
      <c r="I27" s="140">
        <f>F27+G27-H27</f>
        <v>49.452357536999997</v>
      </c>
      <c r="J27" s="141">
        <v>41.547533015999996</v>
      </c>
      <c r="K27" s="136">
        <f t="shared" ref="K27:K37" si="15">AVERAGE(F27,I27)*E27</f>
        <v>1.6517087417357998</v>
      </c>
      <c r="L27" s="143"/>
      <c r="M27" s="144">
        <f t="shared" ref="M27:M29" si="16">J27+K27-L27</f>
        <v>43.199241757735798</v>
      </c>
      <c r="N27" s="140">
        <f t="shared" ref="N27:N29" si="17">F27-J27</f>
        <v>7.9048245210000019</v>
      </c>
      <c r="O27" s="140">
        <f t="shared" ref="O27:O29" si="18">I27-M27</f>
        <v>6.2531157792641991</v>
      </c>
    </row>
    <row r="28" spans="2:17" ht="15">
      <c r="B28" s="74">
        <v>3</v>
      </c>
      <c r="C28" s="186" t="s">
        <v>397</v>
      </c>
      <c r="D28" s="76"/>
      <c r="E28" s="77">
        <v>5.28E-2</v>
      </c>
      <c r="F28" s="140">
        <f t="shared" si="14"/>
        <v>1.9936892020000001</v>
      </c>
      <c r="G28" s="246">
        <v>0</v>
      </c>
      <c r="H28" s="78"/>
      <c r="I28" s="140">
        <f t="shared" ref="I28:I29" si="19">F28+G28-H28</f>
        <v>1.9936892020000001</v>
      </c>
      <c r="J28" s="141">
        <v>0.82210724899999998</v>
      </c>
      <c r="K28" s="136">
        <f t="shared" si="15"/>
        <v>0.10526678986560001</v>
      </c>
      <c r="L28" s="143"/>
      <c r="M28" s="144">
        <f t="shared" si="16"/>
        <v>0.92737403886559999</v>
      </c>
      <c r="N28" s="140">
        <f t="shared" si="17"/>
        <v>1.171581953</v>
      </c>
      <c r="O28" s="140">
        <f t="shared" si="18"/>
        <v>1.0663151631344001</v>
      </c>
    </row>
    <row r="29" spans="2:17" ht="15.75" thickBot="1">
      <c r="B29" s="74">
        <v>4</v>
      </c>
      <c r="C29" s="186" t="s">
        <v>115</v>
      </c>
      <c r="D29" s="76"/>
      <c r="E29" s="82">
        <v>5.28E-2</v>
      </c>
      <c r="F29" s="140">
        <f t="shared" si="14"/>
        <v>981.94967292139995</v>
      </c>
      <c r="G29" s="246">
        <v>2.17</v>
      </c>
      <c r="H29" s="80"/>
      <c r="I29" s="140">
        <f t="shared" si="19"/>
        <v>984.11967292139991</v>
      </c>
      <c r="J29" s="141">
        <v>783.87277629396954</v>
      </c>
      <c r="K29" s="136">
        <f t="shared" si="15"/>
        <v>51.904230730249921</v>
      </c>
      <c r="L29" s="143"/>
      <c r="M29" s="144">
        <f t="shared" si="16"/>
        <v>835.77700702421942</v>
      </c>
      <c r="N29" s="140">
        <f t="shared" si="17"/>
        <v>198.07689662743041</v>
      </c>
      <c r="O29" s="140">
        <f t="shared" si="18"/>
        <v>148.3426658971805</v>
      </c>
    </row>
    <row r="30" spans="2:17" ht="15">
      <c r="B30" s="74">
        <v>5</v>
      </c>
      <c r="C30" s="186" t="s">
        <v>391</v>
      </c>
      <c r="D30" s="70"/>
      <c r="E30" s="71">
        <v>5.28E-2</v>
      </c>
      <c r="F30" s="134">
        <f t="shared" si="14"/>
        <v>0.59076132300000006</v>
      </c>
      <c r="G30" s="246">
        <v>7.0000000000000007E-2</v>
      </c>
      <c r="H30" s="72"/>
      <c r="I30" s="134">
        <f>F30+G30-H30</f>
        <v>0.66076132300000001</v>
      </c>
      <c r="J30" s="135">
        <v>0.26409394200000003</v>
      </c>
      <c r="K30" s="136">
        <f t="shared" si="15"/>
        <v>3.3040197854400002E-2</v>
      </c>
      <c r="L30" s="137"/>
      <c r="M30" s="138">
        <f>J30+K30-L30</f>
        <v>0.29713413985440001</v>
      </c>
      <c r="N30" s="139">
        <f>F30-J30</f>
        <v>0.32666738100000003</v>
      </c>
      <c r="O30" s="139">
        <f>I30-M30</f>
        <v>0.3636271831456</v>
      </c>
    </row>
    <row r="31" spans="2:17" ht="15">
      <c r="B31" s="74">
        <v>6</v>
      </c>
      <c r="C31" s="186" t="s">
        <v>392</v>
      </c>
      <c r="D31" s="76"/>
      <c r="E31" s="77">
        <v>5.28E-2</v>
      </c>
      <c r="F31" s="140">
        <f t="shared" si="14"/>
        <v>874.738613977</v>
      </c>
      <c r="G31" s="246">
        <v>0</v>
      </c>
      <c r="H31" s="78"/>
      <c r="I31" s="140">
        <f>F31+G31-H31</f>
        <v>874.738613977</v>
      </c>
      <c r="J31" s="141">
        <v>338.96660600100006</v>
      </c>
      <c r="K31" s="136">
        <f t="shared" si="15"/>
        <v>46.186198817985598</v>
      </c>
      <c r="L31" s="143"/>
      <c r="M31" s="144">
        <f t="shared" ref="M31:M33" si="20">J31+K31-L31</f>
        <v>385.15280481898566</v>
      </c>
      <c r="N31" s="140">
        <f t="shared" ref="N31:N33" si="21">F31-J31</f>
        <v>535.77200797599994</v>
      </c>
      <c r="O31" s="140">
        <f t="shared" ref="O31:O33" si="22">I31-M31</f>
        <v>489.58580915801434</v>
      </c>
    </row>
    <row r="32" spans="2:17" ht="15">
      <c r="B32" s="74">
        <v>7</v>
      </c>
      <c r="C32" s="186" t="s">
        <v>393</v>
      </c>
      <c r="D32" s="76"/>
      <c r="E32" s="77">
        <v>3.3399999999999999E-2</v>
      </c>
      <c r="F32" s="140">
        <f t="shared" si="14"/>
        <v>8.8920160920000004</v>
      </c>
      <c r="G32" s="246">
        <v>0</v>
      </c>
      <c r="H32" s="78"/>
      <c r="I32" s="140">
        <f t="shared" ref="I32:I33" si="23">F32+G32-H32</f>
        <v>8.8920160920000004</v>
      </c>
      <c r="J32" s="141">
        <v>5.9802229770000004</v>
      </c>
      <c r="K32" s="136">
        <f t="shared" si="15"/>
        <v>0.29699333747279999</v>
      </c>
      <c r="L32" s="143"/>
      <c r="M32" s="144">
        <f t="shared" si="20"/>
        <v>6.2772163144728008</v>
      </c>
      <c r="N32" s="140">
        <f t="shared" si="21"/>
        <v>2.911793115</v>
      </c>
      <c r="O32" s="140">
        <f t="shared" si="22"/>
        <v>2.6147997775271996</v>
      </c>
    </row>
    <row r="33" spans="2:16" ht="15.75" thickBot="1">
      <c r="B33" s="74">
        <v>8</v>
      </c>
      <c r="C33" s="187" t="s">
        <v>120</v>
      </c>
      <c r="D33" s="76"/>
      <c r="E33" s="82">
        <v>9.5000000000000001E-2</v>
      </c>
      <c r="F33" s="140">
        <f t="shared" si="14"/>
        <v>0.28458316900000002</v>
      </c>
      <c r="G33" s="246">
        <v>0.28000000000000003</v>
      </c>
      <c r="H33" s="80"/>
      <c r="I33" s="140">
        <f t="shared" si="23"/>
        <v>0.56458316900000005</v>
      </c>
      <c r="J33" s="141">
        <v>0.15503624299999999</v>
      </c>
      <c r="K33" s="136">
        <f t="shared" si="15"/>
        <v>4.0335401055000004E-2</v>
      </c>
      <c r="L33" s="143"/>
      <c r="M33" s="144">
        <f t="shared" si="20"/>
        <v>0.19537164405499999</v>
      </c>
      <c r="N33" s="140">
        <f t="shared" si="21"/>
        <v>0.12954692600000003</v>
      </c>
      <c r="O33" s="140">
        <f t="shared" si="22"/>
        <v>0.36921152494500009</v>
      </c>
    </row>
    <row r="34" spans="2:16" ht="15">
      <c r="B34" s="74">
        <v>9</v>
      </c>
      <c r="C34" s="186" t="s">
        <v>394</v>
      </c>
      <c r="D34" s="70"/>
      <c r="E34" s="71">
        <v>6.3299999999999995E-2</v>
      </c>
      <c r="F34" s="134">
        <f t="shared" si="14"/>
        <v>0.90463917999999999</v>
      </c>
      <c r="G34" s="246">
        <v>0.04</v>
      </c>
      <c r="H34" s="72"/>
      <c r="I34" s="134">
        <f>F34+G34-H34</f>
        <v>0.94463918000000002</v>
      </c>
      <c r="J34" s="135">
        <v>0.56137919400000003</v>
      </c>
      <c r="K34" s="136">
        <f t="shared" si="15"/>
        <v>5.8529660093999993E-2</v>
      </c>
      <c r="L34" s="137"/>
      <c r="M34" s="138">
        <f>J34+K34-L34</f>
        <v>0.61990885409399998</v>
      </c>
      <c r="N34" s="139">
        <f>F34-J34</f>
        <v>0.34325998599999996</v>
      </c>
      <c r="O34" s="139">
        <f>I34-M34</f>
        <v>0.32473032590600004</v>
      </c>
    </row>
    <row r="35" spans="2:16" ht="15">
      <c r="B35" s="74">
        <v>10</v>
      </c>
      <c r="C35" s="186" t="s">
        <v>395</v>
      </c>
      <c r="D35" s="76"/>
      <c r="E35" s="77">
        <v>0.15</v>
      </c>
      <c r="F35" s="140">
        <f t="shared" si="14"/>
        <v>1.0250240699999997</v>
      </c>
      <c r="G35" s="247">
        <v>0.04</v>
      </c>
      <c r="H35" s="78"/>
      <c r="I35" s="140">
        <f>F35+G35-H35</f>
        <v>1.0650240699999998</v>
      </c>
      <c r="J35" s="141">
        <v>0.70535868299999993</v>
      </c>
      <c r="K35" s="136">
        <f t="shared" si="15"/>
        <v>0.15675361049999995</v>
      </c>
      <c r="L35" s="143"/>
      <c r="M35" s="144">
        <f t="shared" ref="M35:M37" si="24">J35+K35-L35</f>
        <v>0.86211229349999985</v>
      </c>
      <c r="N35" s="140">
        <f t="shared" ref="N35:N37" si="25">F35-J35</f>
        <v>0.3196653869999998</v>
      </c>
      <c r="O35" s="140">
        <f t="shared" ref="O35:O37" si="26">I35-M35</f>
        <v>0.20291177649999992</v>
      </c>
    </row>
    <row r="36" spans="2:16" ht="15">
      <c r="B36" s="74">
        <v>11</v>
      </c>
      <c r="C36" s="186" t="s">
        <v>122</v>
      </c>
      <c r="D36" s="76"/>
      <c r="E36" s="77">
        <v>6.3299999999999995E-2</v>
      </c>
      <c r="F36" s="140">
        <f t="shared" si="14"/>
        <v>0.93737144299999997</v>
      </c>
      <c r="G36" s="246">
        <v>0.06</v>
      </c>
      <c r="H36" s="78"/>
      <c r="I36" s="140">
        <f t="shared" ref="I36:I37" si="27">F36+G36-H36</f>
        <v>0.99737144300000002</v>
      </c>
      <c r="J36" s="141">
        <v>0.55958964099999997</v>
      </c>
      <c r="K36" s="136">
        <f t="shared" si="15"/>
        <v>6.1234612341899995E-2</v>
      </c>
      <c r="L36" s="143"/>
      <c r="M36" s="144">
        <f t="shared" si="24"/>
        <v>0.62082425334189995</v>
      </c>
      <c r="N36" s="140">
        <f t="shared" si="25"/>
        <v>0.377781802</v>
      </c>
      <c r="O36" s="140">
        <f t="shared" si="26"/>
        <v>0.37654718965810008</v>
      </c>
    </row>
    <row r="37" spans="2:16" ht="15">
      <c r="B37" s="188">
        <v>12</v>
      </c>
      <c r="C37" s="189" t="s">
        <v>398</v>
      </c>
      <c r="D37" s="76"/>
      <c r="E37" s="82">
        <v>0.15</v>
      </c>
      <c r="F37" s="140">
        <f t="shared" si="14"/>
        <v>1.9549882999999997E-2</v>
      </c>
      <c r="G37" s="246">
        <v>0</v>
      </c>
      <c r="H37" s="80"/>
      <c r="I37" s="140">
        <f t="shared" si="27"/>
        <v>1.9549882999999997E-2</v>
      </c>
      <c r="J37" s="141">
        <v>1.9549882999999997E-2</v>
      </c>
      <c r="K37" s="136">
        <f t="shared" si="15"/>
        <v>2.9324824499999996E-3</v>
      </c>
      <c r="L37" s="143"/>
      <c r="M37" s="144">
        <f t="shared" si="24"/>
        <v>2.2482365449999996E-2</v>
      </c>
      <c r="N37" s="140">
        <f t="shared" si="25"/>
        <v>0</v>
      </c>
      <c r="O37" s="140">
        <f t="shared" si="26"/>
        <v>-2.9324824499999992E-3</v>
      </c>
    </row>
    <row r="38" spans="2:16" ht="15.75" thickBot="1">
      <c r="B38" s="83"/>
      <c r="C38" s="84" t="s">
        <v>127</v>
      </c>
      <c r="D38" s="84"/>
      <c r="E38" s="145">
        <f>IFERROR((K38-L38)/AVERAGE(F38,I38),0)</f>
        <v>5.2284433412895334E-2</v>
      </c>
      <c r="F38" s="146">
        <f>I21</f>
        <v>1920.7951493339999</v>
      </c>
      <c r="G38" s="146">
        <f>'F3'!H12</f>
        <v>2.66</v>
      </c>
      <c r="H38" s="146">
        <f t="shared" ref="H38:L38" si="28">SUM(H26:H37)</f>
        <v>0</v>
      </c>
      <c r="I38" s="146">
        <f>F38+G38</f>
        <v>1923.455149334</v>
      </c>
      <c r="J38" s="147">
        <f>M21</f>
        <v>1179.7356780107789</v>
      </c>
      <c r="K38" s="214">
        <f>SUM(K26:K37)</f>
        <v>100.49722438160502</v>
      </c>
      <c r="L38" s="148">
        <f t="shared" si="28"/>
        <v>0</v>
      </c>
      <c r="M38" s="147">
        <f>J38+K38-L38</f>
        <v>1280.2329023923839</v>
      </c>
      <c r="N38" s="146">
        <f>F38-J38</f>
        <v>741.05947132322103</v>
      </c>
      <c r="O38" s="146">
        <f>I38-M38</f>
        <v>643.22224694161605</v>
      </c>
      <c r="P38" s="176"/>
    </row>
    <row r="39" spans="2:16" ht="15" thickBot="1"/>
    <row r="40" spans="2:16" ht="15">
      <c r="B40" s="292" t="s">
        <v>379</v>
      </c>
      <c r="C40" s="293"/>
      <c r="D40" s="293"/>
      <c r="E40" s="293"/>
      <c r="F40" s="293"/>
      <c r="G40" s="293"/>
      <c r="H40" s="293"/>
      <c r="I40" s="293"/>
      <c r="J40" s="293"/>
      <c r="K40" s="293"/>
      <c r="L40" s="293"/>
      <c r="M40" s="293"/>
      <c r="N40" s="293"/>
      <c r="O40" s="294"/>
    </row>
    <row r="41" spans="2:16" ht="15">
      <c r="B41" s="295" t="s">
        <v>2</v>
      </c>
      <c r="C41" s="297" t="s">
        <v>274</v>
      </c>
      <c r="D41" s="299" t="s">
        <v>261</v>
      </c>
      <c r="E41" s="299" t="s">
        <v>262</v>
      </c>
      <c r="F41" s="299" t="s">
        <v>263</v>
      </c>
      <c r="G41" s="299"/>
      <c r="H41" s="299"/>
      <c r="I41" s="299"/>
      <c r="J41" s="299" t="s">
        <v>264</v>
      </c>
      <c r="K41" s="299"/>
      <c r="L41" s="299"/>
      <c r="M41" s="299"/>
      <c r="N41" s="299" t="s">
        <v>265</v>
      </c>
      <c r="O41" s="301"/>
    </row>
    <row r="42" spans="2:16" ht="60.75" thickBot="1">
      <c r="B42" s="296"/>
      <c r="C42" s="298"/>
      <c r="D42" s="300"/>
      <c r="E42" s="300"/>
      <c r="F42" s="67" t="s">
        <v>266</v>
      </c>
      <c r="G42" s="67" t="s">
        <v>126</v>
      </c>
      <c r="H42" s="67" t="s">
        <v>267</v>
      </c>
      <c r="I42" s="67" t="s">
        <v>268</v>
      </c>
      <c r="J42" s="67" t="s">
        <v>269</v>
      </c>
      <c r="K42" s="67" t="s">
        <v>126</v>
      </c>
      <c r="L42" s="67" t="s">
        <v>270</v>
      </c>
      <c r="M42" s="67" t="s">
        <v>271</v>
      </c>
      <c r="N42" s="67" t="s">
        <v>266</v>
      </c>
      <c r="O42" s="68" t="s">
        <v>268</v>
      </c>
    </row>
    <row r="43" spans="2:16" ht="15">
      <c r="B43" s="66">
        <v>1</v>
      </c>
      <c r="C43" s="69" t="s">
        <v>212</v>
      </c>
      <c r="D43" s="70"/>
      <c r="E43" s="71"/>
      <c r="F43" s="134">
        <f>I34</f>
        <v>0.94463918000000002</v>
      </c>
      <c r="G43" s="73"/>
      <c r="H43" s="72"/>
      <c r="I43" s="134">
        <f>F43+G43-H43</f>
        <v>0.94463918000000002</v>
      </c>
      <c r="J43" s="135"/>
      <c r="K43" s="136">
        <f>AVERAGE(F43,I43)*E43</f>
        <v>0</v>
      </c>
      <c r="L43" s="137"/>
      <c r="M43" s="138">
        <f>J43+K43-L43</f>
        <v>0</v>
      </c>
      <c r="N43" s="139">
        <f>F43-J43</f>
        <v>0.94463918000000002</v>
      </c>
      <c r="O43" s="139">
        <f>I43-M43</f>
        <v>0.94463918000000002</v>
      </c>
    </row>
    <row r="44" spans="2:16" ht="15">
      <c r="B44" s="74">
        <v>2</v>
      </c>
      <c r="C44" s="75" t="s">
        <v>116</v>
      </c>
      <c r="D44" s="76"/>
      <c r="E44" s="77"/>
      <c r="F44" s="140">
        <f>I35</f>
        <v>1.0650240699999998</v>
      </c>
      <c r="G44" s="79"/>
      <c r="H44" s="78"/>
      <c r="I44" s="140">
        <f>F44+G44-H44</f>
        <v>1.0650240699999998</v>
      </c>
      <c r="J44" s="141"/>
      <c r="K44" s="142">
        <f t="shared" ref="K44:K46" si="29">AVERAGE(F44,I44)*E44</f>
        <v>0</v>
      </c>
      <c r="L44" s="143"/>
      <c r="M44" s="144">
        <f t="shared" ref="M44:M46" si="30">J44+K44-L44</f>
        <v>0</v>
      </c>
      <c r="N44" s="140">
        <f t="shared" ref="N44:N46" si="31">F44-J44</f>
        <v>1.0650240699999998</v>
      </c>
      <c r="O44" s="140">
        <f t="shared" ref="O44:O46" si="32">I44-M44</f>
        <v>1.0650240699999998</v>
      </c>
    </row>
    <row r="45" spans="2:16" ht="15">
      <c r="B45" s="74">
        <v>3</v>
      </c>
      <c r="C45" s="81" t="s">
        <v>273</v>
      </c>
      <c r="D45" s="76"/>
      <c r="E45" s="77"/>
      <c r="F45" s="140">
        <f>I36</f>
        <v>0.99737144300000002</v>
      </c>
      <c r="G45" s="79"/>
      <c r="H45" s="78"/>
      <c r="I45" s="140">
        <f t="shared" ref="I45:I46" si="33">F45+G45-H45</f>
        <v>0.99737144300000002</v>
      </c>
      <c r="J45" s="141"/>
      <c r="K45" s="142">
        <f t="shared" si="29"/>
        <v>0</v>
      </c>
      <c r="L45" s="143"/>
      <c r="M45" s="144">
        <f t="shared" si="30"/>
        <v>0</v>
      </c>
      <c r="N45" s="140">
        <f t="shared" si="31"/>
        <v>0.99737144300000002</v>
      </c>
      <c r="O45" s="140">
        <f t="shared" si="32"/>
        <v>0.99737144300000002</v>
      </c>
    </row>
    <row r="46" spans="2:16" ht="15">
      <c r="B46" s="74"/>
      <c r="C46" s="81" t="s">
        <v>9</v>
      </c>
      <c r="D46" s="76"/>
      <c r="E46" s="82"/>
      <c r="F46" s="140">
        <f>I37</f>
        <v>1.9549882999999997E-2</v>
      </c>
      <c r="G46" s="79"/>
      <c r="H46" s="80"/>
      <c r="I46" s="140">
        <f t="shared" si="33"/>
        <v>1.9549882999999997E-2</v>
      </c>
      <c r="J46" s="141"/>
      <c r="K46" s="142">
        <f t="shared" si="29"/>
        <v>0</v>
      </c>
      <c r="L46" s="143"/>
      <c r="M46" s="144">
        <f t="shared" si="30"/>
        <v>0</v>
      </c>
      <c r="N46" s="140">
        <f t="shared" si="31"/>
        <v>1.9549882999999997E-2</v>
      </c>
      <c r="O46" s="140">
        <f t="shared" si="32"/>
        <v>1.9549882999999997E-2</v>
      </c>
    </row>
    <row r="47" spans="2:16" ht="15.75" thickBot="1">
      <c r="B47" s="83"/>
      <c r="C47" s="84" t="s">
        <v>127</v>
      </c>
      <c r="D47" s="84"/>
      <c r="E47" s="145">
        <f>IFERROR((K47-L47)/AVERAGE(F47,I47),0)</f>
        <v>2.8595099568095549E-2</v>
      </c>
      <c r="F47" s="146">
        <f>I38</f>
        <v>1923.455149334</v>
      </c>
      <c r="G47" s="146">
        <f>'F3'!I12</f>
        <v>95.02</v>
      </c>
      <c r="H47" s="146">
        <f t="shared" ref="H47:L47" si="34">SUM(H43:H46)</f>
        <v>0</v>
      </c>
      <c r="I47" s="146">
        <f>F47+G47</f>
        <v>2018.475149334</v>
      </c>
      <c r="J47" s="147">
        <f>M38</f>
        <v>1280.2329023923839</v>
      </c>
      <c r="K47" s="146">
        <v>56.359944690452039</v>
      </c>
      <c r="L47" s="148">
        <f t="shared" si="34"/>
        <v>0</v>
      </c>
      <c r="M47" s="147">
        <f>J47+K47-L47</f>
        <v>1336.592847082836</v>
      </c>
      <c r="N47" s="146">
        <f>F47-J47</f>
        <v>643.22224694161605</v>
      </c>
      <c r="O47" s="146">
        <f>I47-M47</f>
        <v>681.88230225116399</v>
      </c>
      <c r="P47" s="176">
        <f>J47+K47</f>
        <v>1336.592847082836</v>
      </c>
    </row>
    <row r="48" spans="2:16" ht="15" thickBot="1"/>
    <row r="49" spans="2:16" ht="15">
      <c r="B49" s="292" t="s">
        <v>380</v>
      </c>
      <c r="C49" s="293"/>
      <c r="D49" s="293"/>
      <c r="E49" s="293"/>
      <c r="F49" s="293"/>
      <c r="G49" s="293"/>
      <c r="H49" s="293"/>
      <c r="I49" s="293"/>
      <c r="J49" s="293"/>
      <c r="K49" s="293"/>
      <c r="L49" s="293"/>
      <c r="M49" s="293"/>
      <c r="N49" s="293"/>
      <c r="O49" s="294"/>
    </row>
    <row r="50" spans="2:16" ht="15">
      <c r="B50" s="295" t="s">
        <v>2</v>
      </c>
      <c r="C50" s="297" t="s">
        <v>274</v>
      </c>
      <c r="D50" s="299" t="s">
        <v>261</v>
      </c>
      <c r="E50" s="299" t="s">
        <v>262</v>
      </c>
      <c r="F50" s="299" t="s">
        <v>263</v>
      </c>
      <c r="G50" s="299"/>
      <c r="H50" s="299"/>
      <c r="I50" s="299"/>
      <c r="J50" s="299" t="s">
        <v>264</v>
      </c>
      <c r="K50" s="299"/>
      <c r="L50" s="299"/>
      <c r="M50" s="299"/>
      <c r="N50" s="299" t="s">
        <v>265</v>
      </c>
      <c r="O50" s="301"/>
    </row>
    <row r="51" spans="2:16" ht="60.75" thickBot="1">
      <c r="B51" s="296"/>
      <c r="C51" s="298"/>
      <c r="D51" s="300"/>
      <c r="E51" s="300"/>
      <c r="F51" s="67" t="s">
        <v>266</v>
      </c>
      <c r="G51" s="67" t="s">
        <v>126</v>
      </c>
      <c r="H51" s="67" t="s">
        <v>267</v>
      </c>
      <c r="I51" s="67" t="s">
        <v>268</v>
      </c>
      <c r="J51" s="67" t="s">
        <v>269</v>
      </c>
      <c r="K51" s="67" t="s">
        <v>126</v>
      </c>
      <c r="L51" s="67" t="s">
        <v>270</v>
      </c>
      <c r="M51" s="67" t="s">
        <v>271</v>
      </c>
      <c r="N51" s="67" t="s">
        <v>266</v>
      </c>
      <c r="O51" s="68" t="s">
        <v>268</v>
      </c>
    </row>
    <row r="52" spans="2:16" ht="15">
      <c r="B52" s="66">
        <v>1</v>
      </c>
      <c r="C52" s="69" t="s">
        <v>212</v>
      </c>
      <c r="D52" s="70"/>
      <c r="E52" s="71"/>
      <c r="F52" s="134">
        <f>I43</f>
        <v>0.94463918000000002</v>
      </c>
      <c r="G52" s="73"/>
      <c r="H52" s="72"/>
      <c r="I52" s="134">
        <f>F52+G52-H52</f>
        <v>0.94463918000000002</v>
      </c>
      <c r="J52" s="135"/>
      <c r="K52" s="136">
        <f>AVERAGE(F52,I52)*E52</f>
        <v>0</v>
      </c>
      <c r="L52" s="137"/>
      <c r="M52" s="138">
        <f>J52+K52-L52</f>
        <v>0</v>
      </c>
      <c r="N52" s="139">
        <f>F52-J52</f>
        <v>0.94463918000000002</v>
      </c>
      <c r="O52" s="139">
        <f>I52-M52</f>
        <v>0.94463918000000002</v>
      </c>
    </row>
    <row r="53" spans="2:16" ht="15">
      <c r="B53" s="74">
        <v>2</v>
      </c>
      <c r="C53" s="75" t="s">
        <v>116</v>
      </c>
      <c r="D53" s="76"/>
      <c r="E53" s="77"/>
      <c r="F53" s="140">
        <f>I44</f>
        <v>1.0650240699999998</v>
      </c>
      <c r="G53" s="79"/>
      <c r="H53" s="78"/>
      <c r="I53" s="140">
        <f>F53+G53-H53</f>
        <v>1.0650240699999998</v>
      </c>
      <c r="J53" s="141"/>
      <c r="K53" s="142">
        <f t="shared" ref="K53:K55" si="35">AVERAGE(F53,I53)*E53</f>
        <v>0</v>
      </c>
      <c r="L53" s="143"/>
      <c r="M53" s="144">
        <f t="shared" ref="M53:M55" si="36">J53+K53-L53</f>
        <v>0</v>
      </c>
      <c r="N53" s="140">
        <f t="shared" ref="N53:N55" si="37">F53-J53</f>
        <v>1.0650240699999998</v>
      </c>
      <c r="O53" s="140">
        <f t="shared" ref="O53:O55" si="38">I53-M53</f>
        <v>1.0650240699999998</v>
      </c>
    </row>
    <row r="54" spans="2:16" ht="15">
      <c r="B54" s="74">
        <v>3</v>
      </c>
      <c r="C54" s="81" t="s">
        <v>273</v>
      </c>
      <c r="D54" s="76"/>
      <c r="E54" s="77"/>
      <c r="F54" s="140">
        <f>I45</f>
        <v>0.99737144300000002</v>
      </c>
      <c r="G54" s="79"/>
      <c r="H54" s="78"/>
      <c r="I54" s="140">
        <f t="shared" ref="I54:I55" si="39">F54+G54-H54</f>
        <v>0.99737144300000002</v>
      </c>
      <c r="J54" s="141"/>
      <c r="K54" s="142">
        <f t="shared" si="35"/>
        <v>0</v>
      </c>
      <c r="L54" s="143"/>
      <c r="M54" s="144">
        <f t="shared" si="36"/>
        <v>0</v>
      </c>
      <c r="N54" s="140">
        <f t="shared" si="37"/>
        <v>0.99737144300000002</v>
      </c>
      <c r="O54" s="140">
        <f t="shared" si="38"/>
        <v>0.99737144300000002</v>
      </c>
    </row>
    <row r="55" spans="2:16" ht="15">
      <c r="B55" s="74"/>
      <c r="C55" s="81" t="s">
        <v>9</v>
      </c>
      <c r="D55" s="76"/>
      <c r="E55" s="82"/>
      <c r="F55" s="140">
        <f>I46</f>
        <v>1.9549882999999997E-2</v>
      </c>
      <c r="G55" s="79"/>
      <c r="H55" s="80"/>
      <c r="I55" s="140">
        <f t="shared" si="39"/>
        <v>1.9549882999999997E-2</v>
      </c>
      <c r="J55" s="141"/>
      <c r="K55" s="142">
        <f t="shared" si="35"/>
        <v>0</v>
      </c>
      <c r="L55" s="143"/>
      <c r="M55" s="144">
        <f t="shared" si="36"/>
        <v>0</v>
      </c>
      <c r="N55" s="140">
        <f t="shared" si="37"/>
        <v>1.9549882999999997E-2</v>
      </c>
      <c r="O55" s="140">
        <f t="shared" si="38"/>
        <v>1.9549882999999997E-2</v>
      </c>
    </row>
    <row r="56" spans="2:16" ht="15.75" thickBot="1">
      <c r="B56" s="83"/>
      <c r="C56" s="84" t="s">
        <v>127</v>
      </c>
      <c r="D56" s="84"/>
      <c r="E56" s="145">
        <f>IFERROR((K56-L56)/AVERAGE(F56,I56),0)</f>
        <v>3.3752576248505951E-2</v>
      </c>
      <c r="F56" s="146">
        <f>I47</f>
        <v>2018.475149334</v>
      </c>
      <c r="G56" s="146">
        <f>'F3'!J12</f>
        <v>26.55</v>
      </c>
      <c r="H56" s="146">
        <f t="shared" ref="H56:L56" si="40">SUM(H52:H55)</f>
        <v>0</v>
      </c>
      <c r="I56" s="146">
        <f>F56+G56</f>
        <v>2045.0251493339999</v>
      </c>
      <c r="J56" s="147">
        <f>M47</f>
        <v>1336.592847082836</v>
      </c>
      <c r="K56" s="146">
        <v>68.57680183330919</v>
      </c>
      <c r="L56" s="148">
        <f t="shared" si="40"/>
        <v>0</v>
      </c>
      <c r="M56" s="147">
        <f>J56+K56-L56</f>
        <v>1405.1696489161452</v>
      </c>
      <c r="N56" s="146">
        <f>F56-J56</f>
        <v>681.88230225116399</v>
      </c>
      <c r="O56" s="146">
        <f>I56-M56</f>
        <v>639.85550041785473</v>
      </c>
      <c r="P56" s="176">
        <f>J56+K56</f>
        <v>1405.1696489161452</v>
      </c>
    </row>
    <row r="57" spans="2:16" ht="15" thickBot="1"/>
    <row r="58" spans="2:16" ht="15">
      <c r="B58" s="292" t="s">
        <v>381</v>
      </c>
      <c r="C58" s="293"/>
      <c r="D58" s="293"/>
      <c r="E58" s="293"/>
      <c r="F58" s="293"/>
      <c r="G58" s="293"/>
      <c r="H58" s="293"/>
      <c r="I58" s="293"/>
      <c r="J58" s="293"/>
      <c r="K58" s="293"/>
      <c r="L58" s="293"/>
      <c r="M58" s="293"/>
      <c r="N58" s="293"/>
      <c r="O58" s="294"/>
    </row>
    <row r="59" spans="2:16" ht="15">
      <c r="B59" s="295" t="s">
        <v>2</v>
      </c>
      <c r="C59" s="297" t="s">
        <v>274</v>
      </c>
      <c r="D59" s="299" t="s">
        <v>261</v>
      </c>
      <c r="E59" s="299" t="s">
        <v>262</v>
      </c>
      <c r="F59" s="299" t="s">
        <v>263</v>
      </c>
      <c r="G59" s="299"/>
      <c r="H59" s="299"/>
      <c r="I59" s="299"/>
      <c r="J59" s="299" t="s">
        <v>264</v>
      </c>
      <c r="K59" s="299"/>
      <c r="L59" s="299"/>
      <c r="M59" s="299"/>
      <c r="N59" s="299" t="s">
        <v>265</v>
      </c>
      <c r="O59" s="301"/>
    </row>
    <row r="60" spans="2:16" ht="60.75" thickBot="1">
      <c r="B60" s="296"/>
      <c r="C60" s="298"/>
      <c r="D60" s="300"/>
      <c r="E60" s="300"/>
      <c r="F60" s="67" t="s">
        <v>266</v>
      </c>
      <c r="G60" s="67" t="s">
        <v>126</v>
      </c>
      <c r="H60" s="67" t="s">
        <v>267</v>
      </c>
      <c r="I60" s="67" t="s">
        <v>268</v>
      </c>
      <c r="J60" s="67" t="s">
        <v>269</v>
      </c>
      <c r="K60" s="67" t="s">
        <v>126</v>
      </c>
      <c r="L60" s="67" t="s">
        <v>270</v>
      </c>
      <c r="M60" s="67" t="s">
        <v>271</v>
      </c>
      <c r="N60" s="67" t="s">
        <v>266</v>
      </c>
      <c r="O60" s="68" t="s">
        <v>268</v>
      </c>
    </row>
    <row r="61" spans="2:16" ht="15">
      <c r="B61" s="66">
        <v>1</v>
      </c>
      <c r="C61" s="69" t="s">
        <v>212</v>
      </c>
      <c r="D61" s="70"/>
      <c r="E61" s="71"/>
      <c r="F61" s="134">
        <f>I52</f>
        <v>0.94463918000000002</v>
      </c>
      <c r="G61" s="73"/>
      <c r="H61" s="72"/>
      <c r="I61" s="134">
        <f>F61+G61-H61</f>
        <v>0.94463918000000002</v>
      </c>
      <c r="J61" s="135"/>
      <c r="K61" s="136">
        <f>AVERAGE(F61,I61)*E61</f>
        <v>0</v>
      </c>
      <c r="L61" s="137"/>
      <c r="M61" s="138">
        <f>J61+K61-L61</f>
        <v>0</v>
      </c>
      <c r="N61" s="139">
        <f>F61-J61</f>
        <v>0.94463918000000002</v>
      </c>
      <c r="O61" s="139">
        <f>I61-M61</f>
        <v>0.94463918000000002</v>
      </c>
    </row>
    <row r="62" spans="2:16" ht="15">
      <c r="B62" s="74">
        <v>2</v>
      </c>
      <c r="C62" s="75" t="s">
        <v>116</v>
      </c>
      <c r="D62" s="76"/>
      <c r="E62" s="77"/>
      <c r="F62" s="140">
        <f>I53</f>
        <v>1.0650240699999998</v>
      </c>
      <c r="G62" s="79"/>
      <c r="H62" s="78"/>
      <c r="I62" s="140">
        <f>F62+G62-H62</f>
        <v>1.0650240699999998</v>
      </c>
      <c r="J62" s="141"/>
      <c r="K62" s="142">
        <f t="shared" ref="K62:K64" si="41">AVERAGE(F62,I62)*E62</f>
        <v>0</v>
      </c>
      <c r="L62" s="143"/>
      <c r="M62" s="144">
        <f t="shared" ref="M62:M64" si="42">J62+K62-L62</f>
        <v>0</v>
      </c>
      <c r="N62" s="140">
        <f t="shared" ref="N62:N64" si="43">F62-J62</f>
        <v>1.0650240699999998</v>
      </c>
      <c r="O62" s="140">
        <f t="shared" ref="O62:O64" si="44">I62-M62</f>
        <v>1.0650240699999998</v>
      </c>
    </row>
    <row r="63" spans="2:16" ht="15">
      <c r="B63" s="74">
        <v>3</v>
      </c>
      <c r="C63" s="81" t="s">
        <v>273</v>
      </c>
      <c r="D63" s="76"/>
      <c r="E63" s="77"/>
      <c r="F63" s="140">
        <f>I54</f>
        <v>0.99737144300000002</v>
      </c>
      <c r="G63" s="79"/>
      <c r="H63" s="78"/>
      <c r="I63" s="140">
        <f t="shared" ref="I63:I64" si="45">F63+G63-H63</f>
        <v>0.99737144300000002</v>
      </c>
      <c r="J63" s="141"/>
      <c r="K63" s="142">
        <f t="shared" si="41"/>
        <v>0</v>
      </c>
      <c r="L63" s="143"/>
      <c r="M63" s="144">
        <f t="shared" si="42"/>
        <v>0</v>
      </c>
      <c r="N63" s="140">
        <f t="shared" si="43"/>
        <v>0.99737144300000002</v>
      </c>
      <c r="O63" s="140">
        <f t="shared" si="44"/>
        <v>0.99737144300000002</v>
      </c>
    </row>
    <row r="64" spans="2:16" ht="15">
      <c r="B64" s="74"/>
      <c r="C64" s="81" t="s">
        <v>9</v>
      </c>
      <c r="D64" s="76"/>
      <c r="E64" s="82"/>
      <c r="F64" s="140">
        <f>I55</f>
        <v>1.9549882999999997E-2</v>
      </c>
      <c r="G64" s="79"/>
      <c r="H64" s="80"/>
      <c r="I64" s="140">
        <f t="shared" si="45"/>
        <v>1.9549882999999997E-2</v>
      </c>
      <c r="J64" s="141"/>
      <c r="K64" s="142">
        <f t="shared" si="41"/>
        <v>0</v>
      </c>
      <c r="L64" s="143"/>
      <c r="M64" s="144">
        <f t="shared" si="42"/>
        <v>0</v>
      </c>
      <c r="N64" s="140">
        <f t="shared" si="43"/>
        <v>1.9549882999999997E-2</v>
      </c>
      <c r="O64" s="140">
        <f t="shared" si="44"/>
        <v>1.9549882999999997E-2</v>
      </c>
    </row>
    <row r="65" spans="2:16" ht="15.75" thickBot="1">
      <c r="B65" s="83"/>
      <c r="C65" s="84" t="s">
        <v>127</v>
      </c>
      <c r="D65" s="84"/>
      <c r="E65" s="145">
        <f>IFERROR((K65-L65)/AVERAGE(F65,I65),0)</f>
        <v>3.5310378393240124E-2</v>
      </c>
      <c r="F65" s="146">
        <f>I56</f>
        <v>2045.0251493339999</v>
      </c>
      <c r="G65" s="146">
        <f>'F3'!K12</f>
        <v>19.75</v>
      </c>
      <c r="H65" s="146">
        <f t="shared" ref="H65:L65" si="46">SUM(H61:H64)</f>
        <v>0</v>
      </c>
      <c r="I65" s="146">
        <f>F65+G65</f>
        <v>2064.7751493340002</v>
      </c>
      <c r="J65" s="147">
        <f>M56</f>
        <v>1405.1696489161452</v>
      </c>
      <c r="K65" s="146">
        <v>72.559301833309178</v>
      </c>
      <c r="L65" s="148">
        <f t="shared" si="46"/>
        <v>0</v>
      </c>
      <c r="M65" s="147">
        <f>J65+K65-L65</f>
        <v>1477.7289507494543</v>
      </c>
      <c r="N65" s="146">
        <f>F65-J65</f>
        <v>639.85550041785473</v>
      </c>
      <c r="O65" s="146">
        <f>I65-M65</f>
        <v>587.04619858454589</v>
      </c>
      <c r="P65" s="176">
        <f>J65+K65</f>
        <v>1477.7289507494543</v>
      </c>
    </row>
    <row r="66" spans="2:16" ht="15" thickBot="1"/>
    <row r="67" spans="2:16" ht="15">
      <c r="B67" s="292" t="s">
        <v>382</v>
      </c>
      <c r="C67" s="293"/>
      <c r="D67" s="293"/>
      <c r="E67" s="293"/>
      <c r="F67" s="293"/>
      <c r="G67" s="293"/>
      <c r="H67" s="293"/>
      <c r="I67" s="293"/>
      <c r="J67" s="293"/>
      <c r="K67" s="293"/>
      <c r="L67" s="293"/>
      <c r="M67" s="293"/>
      <c r="N67" s="293"/>
      <c r="O67" s="294"/>
    </row>
    <row r="68" spans="2:16" ht="15">
      <c r="B68" s="295" t="s">
        <v>2</v>
      </c>
      <c r="C68" s="297" t="s">
        <v>274</v>
      </c>
      <c r="D68" s="299" t="s">
        <v>261</v>
      </c>
      <c r="E68" s="299" t="s">
        <v>262</v>
      </c>
      <c r="F68" s="299" t="s">
        <v>263</v>
      </c>
      <c r="G68" s="299"/>
      <c r="H68" s="299"/>
      <c r="I68" s="299"/>
      <c r="J68" s="299" t="s">
        <v>264</v>
      </c>
      <c r="K68" s="299"/>
      <c r="L68" s="299"/>
      <c r="M68" s="299"/>
      <c r="N68" s="299" t="s">
        <v>265</v>
      </c>
      <c r="O68" s="301"/>
    </row>
    <row r="69" spans="2:16" ht="60.75" thickBot="1">
      <c r="B69" s="296"/>
      <c r="C69" s="298"/>
      <c r="D69" s="300"/>
      <c r="E69" s="300"/>
      <c r="F69" s="67" t="s">
        <v>266</v>
      </c>
      <c r="G69" s="67" t="s">
        <v>126</v>
      </c>
      <c r="H69" s="67" t="s">
        <v>267</v>
      </c>
      <c r="I69" s="67" t="s">
        <v>268</v>
      </c>
      <c r="J69" s="67" t="s">
        <v>269</v>
      </c>
      <c r="K69" s="67" t="s">
        <v>126</v>
      </c>
      <c r="L69" s="67" t="s">
        <v>270</v>
      </c>
      <c r="M69" s="67" t="s">
        <v>271</v>
      </c>
      <c r="N69" s="67" t="s">
        <v>266</v>
      </c>
      <c r="O69" s="68" t="s">
        <v>268</v>
      </c>
    </row>
    <row r="70" spans="2:16" ht="15">
      <c r="B70" s="66">
        <v>1</v>
      </c>
      <c r="C70" s="69" t="s">
        <v>212</v>
      </c>
      <c r="D70" s="70"/>
      <c r="E70" s="71"/>
      <c r="F70" s="134">
        <f>I61</f>
        <v>0.94463918000000002</v>
      </c>
      <c r="G70" s="73"/>
      <c r="H70" s="72"/>
      <c r="I70" s="134">
        <f>F70+G70-H70</f>
        <v>0.94463918000000002</v>
      </c>
      <c r="J70" s="135"/>
      <c r="K70" s="136">
        <f>AVERAGE(F70,I70)*E70</f>
        <v>0</v>
      </c>
      <c r="L70" s="137"/>
      <c r="M70" s="138">
        <f>J70+K70-L70</f>
        <v>0</v>
      </c>
      <c r="N70" s="139">
        <f>F70-J70</f>
        <v>0.94463918000000002</v>
      </c>
      <c r="O70" s="139">
        <f>I70-M70</f>
        <v>0.94463918000000002</v>
      </c>
    </row>
    <row r="71" spans="2:16" ht="15">
      <c r="B71" s="74">
        <v>2</v>
      </c>
      <c r="C71" s="75" t="s">
        <v>116</v>
      </c>
      <c r="D71" s="76"/>
      <c r="E71" s="77"/>
      <c r="F71" s="140">
        <f>I62</f>
        <v>1.0650240699999998</v>
      </c>
      <c r="G71" s="79"/>
      <c r="H71" s="78"/>
      <c r="I71" s="140">
        <f>F71+G71-H71</f>
        <v>1.0650240699999998</v>
      </c>
      <c r="J71" s="141"/>
      <c r="K71" s="142">
        <f t="shared" ref="K71:K73" si="47">AVERAGE(F71,I71)*E71</f>
        <v>0</v>
      </c>
      <c r="L71" s="143"/>
      <c r="M71" s="144">
        <f t="shared" ref="M71:M73" si="48">J71+K71-L71</f>
        <v>0</v>
      </c>
      <c r="N71" s="140">
        <f t="shared" ref="N71:N73" si="49">F71-J71</f>
        <v>1.0650240699999998</v>
      </c>
      <c r="O71" s="140">
        <f t="shared" ref="O71:O73" si="50">I71-M71</f>
        <v>1.0650240699999998</v>
      </c>
    </row>
    <row r="72" spans="2:16" ht="15">
      <c r="B72" s="74">
        <v>3</v>
      </c>
      <c r="C72" s="81" t="s">
        <v>273</v>
      </c>
      <c r="D72" s="76"/>
      <c r="E72" s="77"/>
      <c r="F72" s="140">
        <f>I63</f>
        <v>0.99737144300000002</v>
      </c>
      <c r="G72" s="79"/>
      <c r="H72" s="78"/>
      <c r="I72" s="140">
        <f t="shared" ref="I72:I73" si="51">F72+G72-H72</f>
        <v>0.99737144300000002</v>
      </c>
      <c r="J72" s="141"/>
      <c r="K72" s="142">
        <f t="shared" si="47"/>
        <v>0</v>
      </c>
      <c r="L72" s="143"/>
      <c r="M72" s="144">
        <f t="shared" si="48"/>
        <v>0</v>
      </c>
      <c r="N72" s="140">
        <f t="shared" si="49"/>
        <v>0.99737144300000002</v>
      </c>
      <c r="O72" s="140">
        <f t="shared" si="50"/>
        <v>0.99737144300000002</v>
      </c>
    </row>
    <row r="73" spans="2:16" ht="15">
      <c r="B73" s="74"/>
      <c r="C73" s="81" t="s">
        <v>9</v>
      </c>
      <c r="D73" s="76"/>
      <c r="E73" s="82"/>
      <c r="F73" s="140">
        <f>I64</f>
        <v>1.9549882999999997E-2</v>
      </c>
      <c r="G73" s="79"/>
      <c r="H73" s="80"/>
      <c r="I73" s="140">
        <f t="shared" si="51"/>
        <v>1.9549882999999997E-2</v>
      </c>
      <c r="J73" s="141"/>
      <c r="K73" s="142">
        <f t="shared" si="47"/>
        <v>0</v>
      </c>
      <c r="L73" s="143"/>
      <c r="M73" s="144">
        <f t="shared" si="48"/>
        <v>0</v>
      </c>
      <c r="N73" s="140">
        <f t="shared" si="49"/>
        <v>1.9549882999999997E-2</v>
      </c>
      <c r="O73" s="140">
        <f t="shared" si="50"/>
        <v>1.9549882999999997E-2</v>
      </c>
    </row>
    <row r="74" spans="2:16" ht="15.75" thickBot="1">
      <c r="B74" s="83"/>
      <c r="C74" s="84" t="s">
        <v>127</v>
      </c>
      <c r="D74" s="84"/>
      <c r="E74" s="145">
        <f>IFERROR((K74-L74)/AVERAGE(F74,I74),0)</f>
        <v>3.6857884739863588E-2</v>
      </c>
      <c r="F74" s="146">
        <f>I65</f>
        <v>2064.7751493340002</v>
      </c>
      <c r="G74" s="146">
        <f>'F3'!L12</f>
        <v>0.6</v>
      </c>
      <c r="H74" s="146">
        <f t="shared" ref="H74:L74" si="52">SUM(H70:H73)</f>
        <v>0</v>
      </c>
      <c r="I74" s="146">
        <f>F74+G74</f>
        <v>2065.3751493340001</v>
      </c>
      <c r="J74" s="147">
        <f>M65</f>
        <v>1477.7289507494543</v>
      </c>
      <c r="K74" s="146">
        <v>76.11430183330917</v>
      </c>
      <c r="L74" s="148">
        <f t="shared" si="52"/>
        <v>0</v>
      </c>
      <c r="M74" s="147">
        <f>J74+K74-L74</f>
        <v>1553.8432525827634</v>
      </c>
      <c r="N74" s="146">
        <f>F74-J74</f>
        <v>587.04619858454589</v>
      </c>
      <c r="O74" s="146">
        <f>I74-M74</f>
        <v>511.53189675123667</v>
      </c>
      <c r="P74" s="176">
        <f>J74+K74</f>
        <v>1553.8432525827634</v>
      </c>
    </row>
    <row r="75" spans="2:16" ht="15" thickBot="1"/>
    <row r="76" spans="2:16" ht="15">
      <c r="B76" s="292" t="s">
        <v>383</v>
      </c>
      <c r="C76" s="293"/>
      <c r="D76" s="293"/>
      <c r="E76" s="293"/>
      <c r="F76" s="293"/>
      <c r="G76" s="293"/>
      <c r="H76" s="293"/>
      <c r="I76" s="293"/>
      <c r="J76" s="293"/>
      <c r="K76" s="293"/>
      <c r="L76" s="293"/>
      <c r="M76" s="293"/>
      <c r="N76" s="293"/>
      <c r="O76" s="294"/>
    </row>
    <row r="77" spans="2:16" ht="15">
      <c r="B77" s="295" t="s">
        <v>2</v>
      </c>
      <c r="C77" s="297" t="s">
        <v>274</v>
      </c>
      <c r="D77" s="299" t="s">
        <v>261</v>
      </c>
      <c r="E77" s="299" t="s">
        <v>262</v>
      </c>
      <c r="F77" s="299" t="s">
        <v>263</v>
      </c>
      <c r="G77" s="299"/>
      <c r="H77" s="299"/>
      <c r="I77" s="299"/>
      <c r="J77" s="299" t="s">
        <v>264</v>
      </c>
      <c r="K77" s="299"/>
      <c r="L77" s="299"/>
      <c r="M77" s="299"/>
      <c r="N77" s="299" t="s">
        <v>265</v>
      </c>
      <c r="O77" s="301"/>
    </row>
    <row r="78" spans="2:16" ht="60.75" thickBot="1">
      <c r="B78" s="296"/>
      <c r="C78" s="298"/>
      <c r="D78" s="300"/>
      <c r="E78" s="300"/>
      <c r="F78" s="67" t="s">
        <v>266</v>
      </c>
      <c r="G78" s="67" t="s">
        <v>126</v>
      </c>
      <c r="H78" s="67" t="s">
        <v>267</v>
      </c>
      <c r="I78" s="67" t="s">
        <v>268</v>
      </c>
      <c r="J78" s="67" t="s">
        <v>269</v>
      </c>
      <c r="K78" s="67" t="s">
        <v>126</v>
      </c>
      <c r="L78" s="67" t="s">
        <v>270</v>
      </c>
      <c r="M78" s="67" t="s">
        <v>271</v>
      </c>
      <c r="N78" s="67" t="s">
        <v>266</v>
      </c>
      <c r="O78" s="68" t="s">
        <v>268</v>
      </c>
    </row>
    <row r="79" spans="2:16" ht="15">
      <c r="B79" s="66">
        <v>1</v>
      </c>
      <c r="C79" s="69" t="s">
        <v>212</v>
      </c>
      <c r="D79" s="70"/>
      <c r="E79" s="71"/>
      <c r="F79" s="134">
        <f>I70</f>
        <v>0.94463918000000002</v>
      </c>
      <c r="G79" s="73"/>
      <c r="H79" s="72"/>
      <c r="I79" s="134">
        <f>F79+G79-H79</f>
        <v>0.94463918000000002</v>
      </c>
      <c r="J79" s="135"/>
      <c r="K79" s="136">
        <f>AVERAGE(F79,I79)*E79</f>
        <v>0</v>
      </c>
      <c r="L79" s="137"/>
      <c r="M79" s="138">
        <f>J79+K79-L79</f>
        <v>0</v>
      </c>
      <c r="N79" s="139">
        <f>F79-J79</f>
        <v>0.94463918000000002</v>
      </c>
      <c r="O79" s="139">
        <f>I79-M79</f>
        <v>0.94463918000000002</v>
      </c>
    </row>
    <row r="80" spans="2:16" ht="15">
      <c r="B80" s="74">
        <v>2</v>
      </c>
      <c r="C80" s="75" t="s">
        <v>116</v>
      </c>
      <c r="D80" s="76"/>
      <c r="E80" s="77"/>
      <c r="F80" s="140">
        <f>I71</f>
        <v>1.0650240699999998</v>
      </c>
      <c r="G80" s="79"/>
      <c r="H80" s="78"/>
      <c r="I80" s="140">
        <f>F80+G80-H80</f>
        <v>1.0650240699999998</v>
      </c>
      <c r="J80" s="141"/>
      <c r="K80" s="142">
        <f t="shared" ref="K80:K82" si="53">AVERAGE(F80,I80)*E80</f>
        <v>0</v>
      </c>
      <c r="L80" s="143"/>
      <c r="M80" s="144">
        <f t="shared" ref="M80:M82" si="54">J80+K80-L80</f>
        <v>0</v>
      </c>
      <c r="N80" s="140">
        <f t="shared" ref="N80:N82" si="55">F80-J80</f>
        <v>1.0650240699999998</v>
      </c>
      <c r="O80" s="140">
        <f t="shared" ref="O80:O82" si="56">I80-M80</f>
        <v>1.0650240699999998</v>
      </c>
    </row>
    <row r="81" spans="2:16" ht="15">
      <c r="B81" s="74">
        <v>3</v>
      </c>
      <c r="C81" s="81" t="s">
        <v>273</v>
      </c>
      <c r="D81" s="76"/>
      <c r="E81" s="77"/>
      <c r="F81" s="140">
        <f>I72</f>
        <v>0.99737144300000002</v>
      </c>
      <c r="G81" s="79"/>
      <c r="H81" s="78"/>
      <c r="I81" s="140">
        <f t="shared" ref="I81:I82" si="57">F81+G81-H81</f>
        <v>0.99737144300000002</v>
      </c>
      <c r="J81" s="141"/>
      <c r="K81" s="142">
        <f t="shared" si="53"/>
        <v>0</v>
      </c>
      <c r="L81" s="143"/>
      <c r="M81" s="144">
        <f t="shared" si="54"/>
        <v>0</v>
      </c>
      <c r="N81" s="140">
        <f t="shared" si="55"/>
        <v>0.99737144300000002</v>
      </c>
      <c r="O81" s="140">
        <f t="shared" si="56"/>
        <v>0.99737144300000002</v>
      </c>
    </row>
    <row r="82" spans="2:16" ht="15">
      <c r="B82" s="74"/>
      <c r="C82" s="81" t="s">
        <v>9</v>
      </c>
      <c r="D82" s="76"/>
      <c r="E82" s="82"/>
      <c r="F82" s="140">
        <f>I73</f>
        <v>1.9549882999999997E-2</v>
      </c>
      <c r="G82" s="79"/>
      <c r="H82" s="80"/>
      <c r="I82" s="140">
        <f t="shared" si="57"/>
        <v>1.9549882999999997E-2</v>
      </c>
      <c r="J82" s="141"/>
      <c r="K82" s="142">
        <f t="shared" si="53"/>
        <v>0</v>
      </c>
      <c r="L82" s="143"/>
      <c r="M82" s="144">
        <f t="shared" si="54"/>
        <v>0</v>
      </c>
      <c r="N82" s="140">
        <f t="shared" si="55"/>
        <v>1.9549882999999997E-2</v>
      </c>
      <c r="O82" s="140">
        <f t="shared" si="56"/>
        <v>1.9549882999999997E-2</v>
      </c>
    </row>
    <row r="83" spans="2:16" ht="15.75" thickBot="1">
      <c r="B83" s="83"/>
      <c r="C83" s="84" t="s">
        <v>127</v>
      </c>
      <c r="D83" s="84"/>
      <c r="E83" s="145">
        <f>IFERROR((K83-L83)/AVERAGE(F83,I83),0)</f>
        <v>3.6716302598246167E-2</v>
      </c>
      <c r="F83" s="146">
        <f>I74</f>
        <v>2065.3751493340001</v>
      </c>
      <c r="G83" s="146">
        <f>'F3'!M12</f>
        <v>22.68</v>
      </c>
      <c r="H83" s="146">
        <f t="shared" ref="H83:L83" si="58">SUM(H79:H82)</f>
        <v>0</v>
      </c>
      <c r="I83" s="146">
        <f>F83+G83</f>
        <v>2088.0551493339999</v>
      </c>
      <c r="J83" s="147">
        <f>M74</f>
        <v>1553.8432525827634</v>
      </c>
      <c r="K83" s="146">
        <v>76.249301833309119</v>
      </c>
      <c r="L83" s="148">
        <f t="shared" si="58"/>
        <v>0</v>
      </c>
      <c r="M83" s="147">
        <f>J83+K83-L83</f>
        <v>1630.0925544160725</v>
      </c>
      <c r="N83" s="146">
        <f>F83-J83</f>
        <v>511.53189675123667</v>
      </c>
      <c r="O83" s="146">
        <f>I83-M83</f>
        <v>457.96259491792739</v>
      </c>
      <c r="P83" s="176">
        <f>J83+K83</f>
        <v>1630.0925544160725</v>
      </c>
    </row>
  </sheetData>
  <mergeCells count="58">
    <mergeCell ref="B6:O6"/>
    <mergeCell ref="J24:M24"/>
    <mergeCell ref="N24:O24"/>
    <mergeCell ref="B23:O23"/>
    <mergeCell ref="B7:B8"/>
    <mergeCell ref="C7:C8"/>
    <mergeCell ref="D7:D8"/>
    <mergeCell ref="E7:E8"/>
    <mergeCell ref="F7:I7"/>
    <mergeCell ref="J7:M7"/>
    <mergeCell ref="N7:O7"/>
    <mergeCell ref="B24:B25"/>
    <mergeCell ref="C24:C25"/>
    <mergeCell ref="D24:D25"/>
    <mergeCell ref="E24:E25"/>
    <mergeCell ref="F24:I24"/>
    <mergeCell ref="B40:O40"/>
    <mergeCell ref="B41:B42"/>
    <mergeCell ref="C41:C42"/>
    <mergeCell ref="D41:D42"/>
    <mergeCell ref="E41:E42"/>
    <mergeCell ref="F41:I41"/>
    <mergeCell ref="J41:M41"/>
    <mergeCell ref="N41:O41"/>
    <mergeCell ref="B49:O49"/>
    <mergeCell ref="B50:B51"/>
    <mergeCell ref="C50:C51"/>
    <mergeCell ref="D50:D51"/>
    <mergeCell ref="E50:E51"/>
    <mergeCell ref="F50:I50"/>
    <mergeCell ref="J50:M50"/>
    <mergeCell ref="N50:O50"/>
    <mergeCell ref="J68:M68"/>
    <mergeCell ref="N68:O68"/>
    <mergeCell ref="B58:O58"/>
    <mergeCell ref="B59:B60"/>
    <mergeCell ref="C59:C60"/>
    <mergeCell ref="D59:D60"/>
    <mergeCell ref="E59:E60"/>
    <mergeCell ref="F59:I59"/>
    <mergeCell ref="J59:M59"/>
    <mergeCell ref="N59:O59"/>
    <mergeCell ref="B3:O3"/>
    <mergeCell ref="B4:O4"/>
    <mergeCell ref="B76:O76"/>
    <mergeCell ref="B77:B78"/>
    <mergeCell ref="C77:C78"/>
    <mergeCell ref="D77:D78"/>
    <mergeCell ref="E77:E78"/>
    <mergeCell ref="F77:I77"/>
    <mergeCell ref="J77:M77"/>
    <mergeCell ref="N77:O77"/>
    <mergeCell ref="B67:O67"/>
    <mergeCell ref="B68:B69"/>
    <mergeCell ref="C68:C69"/>
    <mergeCell ref="D68:D69"/>
    <mergeCell ref="E68:E69"/>
    <mergeCell ref="F68:I68"/>
  </mergeCells>
  <pageMargins left="1.02" right="0.25" top="1" bottom="1" header="0.25" footer="0.25"/>
  <pageSetup paperSize="9" scale="29" orientation="landscape" r:id="rId1"/>
  <headerFooter alignWithMargins="0">
    <oddHeader>&amp;F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51"/>
  <sheetViews>
    <sheetView showGridLines="0" topLeftCell="A16" zoomScale="80" zoomScaleNormal="80" zoomScaleSheetLayoutView="90" workbookViewId="0">
      <selection activeCell="O27" sqref="O27"/>
    </sheetView>
  </sheetViews>
  <sheetFormatPr defaultColWidth="9.28515625" defaultRowHeight="15"/>
  <cols>
    <col min="1" max="1" width="2.7109375" style="199" customWidth="1"/>
    <col min="2" max="2" width="6.28515625" style="199" customWidth="1"/>
    <col min="3" max="3" width="56.7109375" style="199" customWidth="1"/>
    <col min="4" max="4" width="13.7109375" style="199" bestFit="1" customWidth="1"/>
    <col min="5" max="5" width="12.5703125" style="199" bestFit="1" customWidth="1"/>
    <col min="6" max="6" width="13.42578125" style="199" bestFit="1" customWidth="1"/>
    <col min="7" max="7" width="13.7109375" style="199" bestFit="1" customWidth="1"/>
    <col min="8" max="8" width="12.5703125" style="199" bestFit="1" customWidth="1"/>
    <col min="9" max="9" width="13.28515625" style="199" bestFit="1" customWidth="1"/>
    <col min="10" max="10" width="12.5703125" style="199" customWidth="1"/>
    <col min="11" max="11" width="12.7109375" style="199" bestFit="1" customWidth="1"/>
    <col min="12" max="12" width="13.7109375" style="199" bestFit="1" customWidth="1"/>
    <col min="13" max="14" width="12.7109375" style="199" bestFit="1" customWidth="1"/>
    <col min="15" max="18" width="11.7109375" style="199" bestFit="1" customWidth="1"/>
    <col min="19" max="16384" width="9.28515625" style="199"/>
  </cols>
  <sheetData>
    <row r="1" spans="2:15" ht="15.75">
      <c r="B1" s="198"/>
    </row>
    <row r="2" spans="2:15" ht="15.75">
      <c r="B2" s="256" t="s">
        <v>404</v>
      </c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</row>
    <row r="3" spans="2:15" ht="15.75">
      <c r="B3" s="256" t="s">
        <v>376</v>
      </c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</row>
    <row r="4" spans="2:15" ht="15" customHeight="1">
      <c r="B4" s="302" t="s">
        <v>280</v>
      </c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</row>
    <row r="5" spans="2:15" ht="15.75">
      <c r="B5" s="85" t="s">
        <v>45</v>
      </c>
      <c r="C5" s="198" t="s">
        <v>281</v>
      </c>
      <c r="D5" s="200"/>
      <c r="E5" s="200"/>
      <c r="F5" s="200"/>
      <c r="G5" s="200"/>
      <c r="H5" s="200"/>
      <c r="I5" s="200"/>
      <c r="J5" s="200"/>
      <c r="K5" s="200"/>
      <c r="L5" s="200"/>
    </row>
    <row r="6" spans="2:15" ht="15.75">
      <c r="O6" s="7" t="s">
        <v>4</v>
      </c>
    </row>
    <row r="7" spans="2:15" s="6" customFormat="1" ht="15" customHeight="1">
      <c r="B7" s="263" t="s">
        <v>186</v>
      </c>
      <c r="C7" s="266" t="s">
        <v>18</v>
      </c>
      <c r="D7" s="270" t="s">
        <v>377</v>
      </c>
      <c r="E7" s="271"/>
      <c r="F7" s="272"/>
      <c r="G7" s="270" t="s">
        <v>378</v>
      </c>
      <c r="H7" s="271"/>
      <c r="I7" s="271"/>
      <c r="J7" s="271"/>
      <c r="K7" s="306" t="s">
        <v>225</v>
      </c>
      <c r="L7" s="306"/>
      <c r="M7" s="306"/>
      <c r="N7" s="306"/>
      <c r="O7" s="306"/>
    </row>
    <row r="8" spans="2:15" s="6" customFormat="1" ht="47.25">
      <c r="B8" s="264"/>
      <c r="C8" s="266"/>
      <c r="D8" s="201" t="s">
        <v>327</v>
      </c>
      <c r="E8" s="201" t="s">
        <v>245</v>
      </c>
      <c r="F8" s="201" t="s">
        <v>201</v>
      </c>
      <c r="G8" s="201" t="s">
        <v>327</v>
      </c>
      <c r="H8" s="201" t="s">
        <v>235</v>
      </c>
      <c r="I8" s="201" t="s">
        <v>236</v>
      </c>
      <c r="J8" s="201" t="s">
        <v>244</v>
      </c>
      <c r="K8" s="201" t="s">
        <v>379</v>
      </c>
      <c r="L8" s="201" t="s">
        <v>380</v>
      </c>
      <c r="M8" s="201" t="s">
        <v>381</v>
      </c>
      <c r="N8" s="201" t="s">
        <v>382</v>
      </c>
      <c r="O8" s="201" t="s">
        <v>383</v>
      </c>
    </row>
    <row r="9" spans="2:15" s="6" customFormat="1" ht="15.75">
      <c r="B9" s="265"/>
      <c r="C9" s="267"/>
      <c r="D9" s="201" t="s">
        <v>10</v>
      </c>
      <c r="E9" s="201" t="s">
        <v>12</v>
      </c>
      <c r="F9" s="201" t="s">
        <v>234</v>
      </c>
      <c r="G9" s="201" t="s">
        <v>10</v>
      </c>
      <c r="H9" s="201" t="s">
        <v>3</v>
      </c>
      <c r="I9" s="201" t="s">
        <v>5</v>
      </c>
      <c r="J9" s="201" t="s">
        <v>5</v>
      </c>
      <c r="K9" s="201" t="s">
        <v>8</v>
      </c>
      <c r="L9" s="201" t="s">
        <v>8</v>
      </c>
      <c r="M9" s="201" t="s">
        <v>8</v>
      </c>
      <c r="N9" s="201" t="s">
        <v>8</v>
      </c>
      <c r="O9" s="201" t="s">
        <v>8</v>
      </c>
    </row>
    <row r="10" spans="2:15">
      <c r="B10" s="202">
        <v>1</v>
      </c>
      <c r="C10" s="203" t="s">
        <v>165</v>
      </c>
      <c r="D10" s="237">
        <f>'F4'!F21*70%</f>
        <v>1344.5566045337998</v>
      </c>
      <c r="E10" s="237">
        <f>D10</f>
        <v>1344.5566045337998</v>
      </c>
      <c r="F10" s="237">
        <f>D10</f>
        <v>1344.5566045337998</v>
      </c>
      <c r="G10" s="238"/>
      <c r="H10" s="238"/>
      <c r="I10" s="238"/>
      <c r="J10" s="238">
        <f>'F4'!F38*70%</f>
        <v>1344.5566045337998</v>
      </c>
      <c r="K10" s="238">
        <f>J10+J14</f>
        <v>1346.4186045337999</v>
      </c>
      <c r="L10" s="238">
        <f t="shared" ref="L10:O10" si="0">K10+K14</f>
        <v>1412.9326045337998</v>
      </c>
      <c r="M10" s="238">
        <f t="shared" si="0"/>
        <v>1431.5176045337998</v>
      </c>
      <c r="N10" s="238">
        <f t="shared" si="0"/>
        <v>1445.3426045337999</v>
      </c>
      <c r="O10" s="238">
        <f t="shared" si="0"/>
        <v>1445.7626045338</v>
      </c>
    </row>
    <row r="11" spans="2:15">
      <c r="B11" s="205">
        <f>B10+1</f>
        <v>2</v>
      </c>
      <c r="C11" s="203" t="s">
        <v>166</v>
      </c>
      <c r="D11" s="237">
        <f>'F4'!J21</f>
        <v>1079.3184599160002</v>
      </c>
      <c r="E11" s="239">
        <f>'F4'!J21</f>
        <v>1079.3184599160002</v>
      </c>
      <c r="F11" s="239">
        <f>E11</f>
        <v>1079.3184599160002</v>
      </c>
      <c r="G11" s="238"/>
      <c r="H11" s="238"/>
      <c r="I11" s="238"/>
      <c r="J11" s="238">
        <f>F11+F15</f>
        <v>1179.7356780107789</v>
      </c>
      <c r="K11" s="238">
        <f>J11+J15</f>
        <v>1280.2329023923839</v>
      </c>
      <c r="L11" s="238">
        <f>K11+K15</f>
        <v>1336.592847082836</v>
      </c>
      <c r="M11" s="238">
        <f>'F4'!J65</f>
        <v>1405.1696489161452</v>
      </c>
      <c r="N11" s="238">
        <f>'F4'!J74</f>
        <v>1477.7289507494543</v>
      </c>
      <c r="O11" s="238">
        <f>'F4'!J83</f>
        <v>1553.8432525827634</v>
      </c>
    </row>
    <row r="12" spans="2:15" ht="15.75">
      <c r="B12" s="205">
        <f t="shared" ref="B12:B22" si="1">B11+1</f>
        <v>3</v>
      </c>
      <c r="C12" s="206" t="s">
        <v>167</v>
      </c>
      <c r="D12" s="212">
        <f>D10-D11</f>
        <v>265.23814461779966</v>
      </c>
      <c r="E12" s="212">
        <f t="shared" ref="E12:O12" si="2">E10-E11</f>
        <v>265.23814461779966</v>
      </c>
      <c r="F12" s="212">
        <f t="shared" si="2"/>
        <v>265.23814461779966</v>
      </c>
      <c r="G12" s="212">
        <f>G10-G11</f>
        <v>0</v>
      </c>
      <c r="H12" s="212">
        <f>H10-H11</f>
        <v>0</v>
      </c>
      <c r="I12" s="212">
        <f t="shared" si="2"/>
        <v>0</v>
      </c>
      <c r="J12" s="212">
        <f t="shared" si="2"/>
        <v>164.82092652302094</v>
      </c>
      <c r="K12" s="212">
        <f>K10-K11</f>
        <v>66.185702141415959</v>
      </c>
      <c r="L12" s="212">
        <f t="shared" si="2"/>
        <v>76.339757450963816</v>
      </c>
      <c r="M12" s="212">
        <f t="shared" si="2"/>
        <v>26.347955617654634</v>
      </c>
      <c r="N12" s="212">
        <f t="shared" si="2"/>
        <v>-32.386346215654385</v>
      </c>
      <c r="O12" s="212">
        <f t="shared" si="2"/>
        <v>-108.08064804896344</v>
      </c>
    </row>
    <row r="13" spans="2:15" ht="30">
      <c r="B13" s="205">
        <f t="shared" si="1"/>
        <v>4</v>
      </c>
      <c r="C13" s="207" t="s">
        <v>168</v>
      </c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</row>
    <row r="14" spans="2:15" s="210" customFormat="1" ht="30">
      <c r="B14" s="205">
        <f t="shared" si="1"/>
        <v>5</v>
      </c>
      <c r="C14" s="209" t="s">
        <v>403</v>
      </c>
      <c r="D14" s="208"/>
      <c r="E14" s="216">
        <f>F3.1!H15*70%</f>
        <v>0</v>
      </c>
      <c r="F14" s="216">
        <f>E14</f>
        <v>0</v>
      </c>
      <c r="G14" s="218"/>
      <c r="H14" s="218"/>
      <c r="I14" s="218"/>
      <c r="J14" s="218">
        <f>F3.1!H24*70%</f>
        <v>1.8619999999999999</v>
      </c>
      <c r="K14" s="218">
        <f>F3.1!H32*70%</f>
        <v>66.513999999999996</v>
      </c>
      <c r="L14" s="218">
        <f>F3.1!H38*70%</f>
        <v>18.585000000000001</v>
      </c>
      <c r="M14" s="218">
        <f>F3.1!H44*70%</f>
        <v>13.824999999999999</v>
      </c>
      <c r="N14" s="218">
        <f>F3.1!H50*70%</f>
        <v>0.42</v>
      </c>
      <c r="O14" s="218">
        <f>F3.1!H56*70%</f>
        <v>15.875999999999999</v>
      </c>
    </row>
    <row r="15" spans="2:15">
      <c r="B15" s="205">
        <f t="shared" si="1"/>
        <v>6</v>
      </c>
      <c r="C15" s="207" t="s">
        <v>173</v>
      </c>
      <c r="D15" s="240">
        <f>'F1'!F12</f>
        <v>87.97</v>
      </c>
      <c r="E15" s="240">
        <f>'F1'!G12</f>
        <v>100.41721809477866</v>
      </c>
      <c r="F15" s="240">
        <f>'F1'!H12</f>
        <v>100.41721809477866</v>
      </c>
      <c r="G15" s="240">
        <f>'F1'!I12</f>
        <v>87.97</v>
      </c>
      <c r="H15" s="240"/>
      <c r="I15" s="240"/>
      <c r="J15" s="240">
        <f>'F1'!J12</f>
        <v>100.49722438160502</v>
      </c>
      <c r="K15" s="240">
        <f>'F1'!K12</f>
        <v>56.359944690452039</v>
      </c>
      <c r="L15" s="240">
        <f>'F1'!L12</f>
        <v>68.57680183330919</v>
      </c>
      <c r="M15" s="240">
        <f>'F1'!M12</f>
        <v>72.559301833309178</v>
      </c>
      <c r="N15" s="240">
        <f>'F1'!N12</f>
        <v>76.11430183330917</v>
      </c>
      <c r="O15" s="240">
        <f>'F1'!O12</f>
        <v>76.249301833309119</v>
      </c>
    </row>
    <row r="16" spans="2:15" ht="15.75">
      <c r="B16" s="205">
        <f t="shared" si="1"/>
        <v>7</v>
      </c>
      <c r="C16" s="203" t="s">
        <v>169</v>
      </c>
      <c r="D16" s="212">
        <f>D12-D13+D14-D15</f>
        <v>177.26814461779966</v>
      </c>
      <c r="E16" s="212">
        <f t="shared" ref="E16:L16" si="3">E12-E13+E14-E15</f>
        <v>164.820926523021</v>
      </c>
      <c r="F16" s="212">
        <f t="shared" si="3"/>
        <v>164.820926523021</v>
      </c>
      <c r="G16" s="212">
        <f t="shared" si="3"/>
        <v>-87.97</v>
      </c>
      <c r="H16" s="212"/>
      <c r="I16" s="212"/>
      <c r="J16" s="212">
        <f t="shared" si="3"/>
        <v>66.185702141415916</v>
      </c>
      <c r="K16" s="212">
        <f t="shared" si="3"/>
        <v>76.33975745096393</v>
      </c>
      <c r="L16" s="212">
        <f t="shared" si="3"/>
        <v>26.347955617654634</v>
      </c>
      <c r="M16" s="212">
        <v>0</v>
      </c>
      <c r="N16" s="212">
        <v>0</v>
      </c>
      <c r="O16" s="212">
        <v>0</v>
      </c>
    </row>
    <row r="17" spans="2:15" ht="15.75">
      <c r="B17" s="205">
        <f t="shared" si="1"/>
        <v>8</v>
      </c>
      <c r="C17" s="203" t="s">
        <v>170</v>
      </c>
      <c r="D17" s="212">
        <f>D10-D13+D14-D15</f>
        <v>1256.5866045337998</v>
      </c>
      <c r="E17" s="212">
        <f t="shared" ref="E17:O17" si="4">E10-E13+E14-E15</f>
        <v>1244.1393864390211</v>
      </c>
      <c r="F17" s="212">
        <f t="shared" si="4"/>
        <v>1244.1393864390211</v>
      </c>
      <c r="G17" s="212">
        <f t="shared" si="4"/>
        <v>-87.97</v>
      </c>
      <c r="H17" s="212"/>
      <c r="I17" s="212"/>
      <c r="J17" s="212">
        <f t="shared" si="4"/>
        <v>1245.9213801521948</v>
      </c>
      <c r="K17" s="212">
        <f t="shared" si="4"/>
        <v>1356.5726598433478</v>
      </c>
      <c r="L17" s="212">
        <f t="shared" si="4"/>
        <v>1362.9408027004906</v>
      </c>
      <c r="M17" s="212">
        <f t="shared" si="4"/>
        <v>1372.7833027004908</v>
      </c>
      <c r="N17" s="212">
        <f t="shared" si="4"/>
        <v>1369.6483027004908</v>
      </c>
      <c r="O17" s="212">
        <f t="shared" si="4"/>
        <v>1385.3893027004908</v>
      </c>
    </row>
    <row r="18" spans="2:15" ht="15.75">
      <c r="B18" s="205">
        <f t="shared" si="1"/>
        <v>9</v>
      </c>
      <c r="C18" s="203" t="s">
        <v>205</v>
      </c>
      <c r="D18" s="212">
        <f>AVERAGE(D12,D16)</f>
        <v>221.25314461779965</v>
      </c>
      <c r="E18" s="212">
        <f t="shared" ref="E18:O18" si="5">AVERAGE(E12,E16)</f>
        <v>215.02953557041033</v>
      </c>
      <c r="F18" s="212">
        <f t="shared" si="5"/>
        <v>215.02953557041033</v>
      </c>
      <c r="G18" s="212">
        <f t="shared" si="5"/>
        <v>-43.984999999999999</v>
      </c>
      <c r="H18" s="212"/>
      <c r="I18" s="212"/>
      <c r="J18" s="212">
        <f t="shared" si="5"/>
        <v>115.50331433221842</v>
      </c>
      <c r="K18" s="212">
        <f t="shared" si="5"/>
        <v>71.262729796189944</v>
      </c>
      <c r="L18" s="212">
        <f t="shared" si="5"/>
        <v>51.343856534309225</v>
      </c>
      <c r="M18" s="212">
        <f t="shared" si="5"/>
        <v>13.173977808827317</v>
      </c>
      <c r="N18" s="212">
        <f t="shared" si="5"/>
        <v>-16.193173107827192</v>
      </c>
      <c r="O18" s="212">
        <f t="shared" si="5"/>
        <v>-54.04032402448172</v>
      </c>
    </row>
    <row r="19" spans="2:15">
      <c r="B19" s="205">
        <f t="shared" si="1"/>
        <v>10</v>
      </c>
      <c r="C19" s="207" t="s">
        <v>204</v>
      </c>
      <c r="D19" s="213">
        <v>0.1037</v>
      </c>
      <c r="E19" s="213">
        <v>0.1037</v>
      </c>
      <c r="F19" s="213">
        <v>0.1037</v>
      </c>
      <c r="G19" s="213">
        <v>0.10199999999999999</v>
      </c>
      <c r="H19" s="213">
        <v>0.10199999999999999</v>
      </c>
      <c r="I19" s="213">
        <v>0.10199999999999999</v>
      </c>
      <c r="J19" s="213">
        <v>0.10199999999999999</v>
      </c>
      <c r="K19" s="213">
        <v>0.10199999999999999</v>
      </c>
      <c r="L19" s="213">
        <v>0.10199999999999999</v>
      </c>
      <c r="M19" s="213">
        <v>0.10199999999999999</v>
      </c>
      <c r="N19" s="213">
        <v>0.10199999999999999</v>
      </c>
      <c r="O19" s="213">
        <v>0.10199999999999999</v>
      </c>
    </row>
    <row r="20" spans="2:15" ht="15.75">
      <c r="B20" s="205">
        <f t="shared" si="1"/>
        <v>11</v>
      </c>
      <c r="C20" s="203" t="s">
        <v>282</v>
      </c>
      <c r="D20" s="212">
        <f>D18*D19</f>
        <v>22.943951096865824</v>
      </c>
      <c r="E20" s="212">
        <f>E18*E19</f>
        <v>22.298562838651552</v>
      </c>
      <c r="F20" s="212">
        <f t="shared" ref="F20:O20" si="6">F18*F19</f>
        <v>22.298562838651552</v>
      </c>
      <c r="G20" s="212">
        <v>0</v>
      </c>
      <c r="H20" s="212">
        <f t="shared" si="6"/>
        <v>0</v>
      </c>
      <c r="I20" s="212">
        <f t="shared" si="6"/>
        <v>0</v>
      </c>
      <c r="J20" s="212">
        <f t="shared" si="6"/>
        <v>11.781338061886279</v>
      </c>
      <c r="K20" s="212">
        <f t="shared" si="6"/>
        <v>7.2687984392113743</v>
      </c>
      <c r="L20" s="212">
        <f t="shared" si="6"/>
        <v>5.2370733664995406</v>
      </c>
      <c r="M20" s="212">
        <f t="shared" si="6"/>
        <v>1.3437457365003862</v>
      </c>
      <c r="N20" s="212">
        <f t="shared" si="6"/>
        <v>-1.6517036569983734</v>
      </c>
      <c r="O20" s="212">
        <f t="shared" si="6"/>
        <v>-5.5121130504971347</v>
      </c>
    </row>
    <row r="21" spans="2:15">
      <c r="B21" s="205">
        <f t="shared" si="1"/>
        <v>12</v>
      </c>
      <c r="C21" s="203" t="s">
        <v>284</v>
      </c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1"/>
      <c r="O21" s="211"/>
    </row>
    <row r="22" spans="2:15" ht="15.75">
      <c r="B22" s="205">
        <f t="shared" si="1"/>
        <v>13</v>
      </c>
      <c r="C22" s="203" t="s">
        <v>285</v>
      </c>
      <c r="D22" s="212">
        <v>19.57</v>
      </c>
      <c r="E22" s="212">
        <f t="shared" ref="E22:M22" si="7">E20+E21</f>
        <v>22.298562838651552</v>
      </c>
      <c r="F22" s="212">
        <f t="shared" si="7"/>
        <v>22.298562838651552</v>
      </c>
      <c r="G22" s="212">
        <v>10.17</v>
      </c>
      <c r="H22" s="212">
        <v>7.28</v>
      </c>
      <c r="I22" s="212">
        <f t="shared" si="7"/>
        <v>0</v>
      </c>
      <c r="J22" s="212">
        <f t="shared" si="7"/>
        <v>11.781338061886279</v>
      </c>
      <c r="K22" s="212">
        <f t="shared" si="7"/>
        <v>7.2687984392113743</v>
      </c>
      <c r="L22" s="212">
        <f t="shared" si="7"/>
        <v>5.2370733664995406</v>
      </c>
      <c r="M22" s="212">
        <f t="shared" si="7"/>
        <v>1.3437457365003862</v>
      </c>
      <c r="N22" s="212">
        <v>0</v>
      </c>
      <c r="O22" s="212">
        <v>0</v>
      </c>
    </row>
    <row r="23" spans="2:15">
      <c r="B23" s="1"/>
    </row>
    <row r="24" spans="2:15">
      <c r="B24" s="1"/>
      <c r="C24" s="199" t="s">
        <v>247</v>
      </c>
    </row>
    <row r="25" spans="2:15">
      <c r="C25" s="199" t="s">
        <v>364</v>
      </c>
    </row>
    <row r="27" spans="2:15" ht="15.75">
      <c r="B27" s="85" t="s">
        <v>50</v>
      </c>
      <c r="C27" s="198" t="s">
        <v>283</v>
      </c>
    </row>
    <row r="28" spans="2:15" ht="15.75">
      <c r="L28" s="7" t="s">
        <v>4</v>
      </c>
    </row>
    <row r="29" spans="2:15" ht="15" customHeight="1">
      <c r="B29" s="263" t="s">
        <v>186</v>
      </c>
      <c r="C29" s="266" t="s">
        <v>18</v>
      </c>
      <c r="D29" s="236" t="s">
        <v>232</v>
      </c>
      <c r="E29" s="270" t="s">
        <v>231</v>
      </c>
      <c r="F29" s="271"/>
      <c r="G29" s="272"/>
      <c r="H29" s="303" t="s">
        <v>225</v>
      </c>
      <c r="I29" s="304"/>
      <c r="J29" s="304"/>
      <c r="K29" s="304"/>
      <c r="L29" s="305"/>
    </row>
    <row r="30" spans="2:15" ht="15.75">
      <c r="B30" s="264"/>
      <c r="C30" s="266"/>
      <c r="D30" s="201" t="s">
        <v>245</v>
      </c>
      <c r="E30" s="201" t="s">
        <v>235</v>
      </c>
      <c r="F30" s="201" t="s">
        <v>236</v>
      </c>
      <c r="G30" s="201" t="s">
        <v>244</v>
      </c>
      <c r="H30" s="201" t="s">
        <v>226</v>
      </c>
      <c r="I30" s="201" t="s">
        <v>227</v>
      </c>
      <c r="J30" s="201" t="s">
        <v>228</v>
      </c>
      <c r="K30" s="201" t="s">
        <v>229</v>
      </c>
      <c r="L30" s="201" t="s">
        <v>230</v>
      </c>
    </row>
    <row r="31" spans="2:15" ht="15.75">
      <c r="B31" s="265"/>
      <c r="C31" s="267"/>
      <c r="D31" s="201" t="s">
        <v>12</v>
      </c>
      <c r="E31" s="201" t="s">
        <v>3</v>
      </c>
      <c r="F31" s="201" t="s">
        <v>5</v>
      </c>
      <c r="G31" s="201" t="s">
        <v>5</v>
      </c>
      <c r="H31" s="201" t="s">
        <v>8</v>
      </c>
      <c r="I31" s="201" t="s">
        <v>8</v>
      </c>
      <c r="J31" s="201" t="s">
        <v>8</v>
      </c>
      <c r="K31" s="201" t="s">
        <v>8</v>
      </c>
      <c r="L31" s="201" t="s">
        <v>8</v>
      </c>
    </row>
    <row r="32" spans="2:15" ht="15.75">
      <c r="B32" s="205">
        <v>1</v>
      </c>
      <c r="C32" s="228" t="s">
        <v>417</v>
      </c>
      <c r="D32" s="203"/>
      <c r="E32" s="203"/>
      <c r="F32" s="203"/>
      <c r="G32" s="203"/>
      <c r="H32" s="203"/>
      <c r="I32" s="203"/>
      <c r="J32" s="203"/>
      <c r="K32" s="203"/>
      <c r="L32" s="203"/>
    </row>
    <row r="33" spans="2:12">
      <c r="B33" s="203"/>
      <c r="C33" s="203" t="s">
        <v>13</v>
      </c>
      <c r="D33" s="239">
        <v>292.67</v>
      </c>
      <c r="E33" s="239"/>
      <c r="F33" s="239"/>
      <c r="G33" s="239">
        <v>261.31</v>
      </c>
      <c r="H33" s="239">
        <v>229.95</v>
      </c>
      <c r="I33" s="239">
        <v>198.58999999999997</v>
      </c>
      <c r="J33" s="239">
        <v>167.22999999999996</v>
      </c>
      <c r="K33" s="239">
        <v>135.86999999999995</v>
      </c>
      <c r="L33" s="239">
        <v>104.50999999999995</v>
      </c>
    </row>
    <row r="34" spans="2:12">
      <c r="B34" s="203"/>
      <c r="C34" s="203" t="s">
        <v>158</v>
      </c>
      <c r="D34" s="239">
        <v>0</v>
      </c>
      <c r="E34" s="239"/>
      <c r="F34" s="239"/>
      <c r="G34" s="239">
        <v>0</v>
      </c>
      <c r="H34" s="239">
        <v>0</v>
      </c>
      <c r="I34" s="239">
        <v>0</v>
      </c>
      <c r="J34" s="239">
        <v>0</v>
      </c>
      <c r="K34" s="239">
        <v>0</v>
      </c>
      <c r="L34" s="239">
        <v>0</v>
      </c>
    </row>
    <row r="35" spans="2:12">
      <c r="B35" s="203"/>
      <c r="C35" s="203" t="s">
        <v>14</v>
      </c>
      <c r="D35" s="239">
        <v>31.36</v>
      </c>
      <c r="E35" s="239"/>
      <c r="F35" s="239"/>
      <c r="G35" s="239">
        <v>31.36</v>
      </c>
      <c r="H35" s="239">
        <v>31.36</v>
      </c>
      <c r="I35" s="239">
        <v>31.36</v>
      </c>
      <c r="J35" s="239">
        <v>31.36</v>
      </c>
      <c r="K35" s="239">
        <v>31.36</v>
      </c>
      <c r="L35" s="239">
        <v>31.36</v>
      </c>
    </row>
    <row r="36" spans="2:12" ht="15.75">
      <c r="B36" s="203"/>
      <c r="C36" s="203" t="s">
        <v>15</v>
      </c>
      <c r="D36" s="241">
        <v>261.31</v>
      </c>
      <c r="E36" s="241">
        <f t="shared" ref="E36:F36" si="8">E33+E34-E35</f>
        <v>0</v>
      </c>
      <c r="F36" s="241">
        <f t="shared" si="8"/>
        <v>0</v>
      </c>
      <c r="G36" s="241">
        <v>229.95</v>
      </c>
      <c r="H36" s="241">
        <v>198.58999999999997</v>
      </c>
      <c r="I36" s="241">
        <v>167.22999999999996</v>
      </c>
      <c r="J36" s="241">
        <v>135.86999999999995</v>
      </c>
      <c r="K36" s="241">
        <v>104.50999999999995</v>
      </c>
      <c r="L36" s="241">
        <v>73.149999999999949</v>
      </c>
    </row>
    <row r="37" spans="2:12" ht="15.75">
      <c r="B37" s="203"/>
      <c r="C37" s="203" t="s">
        <v>206</v>
      </c>
      <c r="D37" s="241">
        <v>276.97000000000003</v>
      </c>
      <c r="E37" s="241">
        <f t="shared" ref="E37:F37" si="9">AVERAGE(E33,E36)</f>
        <v>0</v>
      </c>
      <c r="F37" s="241">
        <f t="shared" si="9"/>
        <v>0</v>
      </c>
      <c r="G37" s="241">
        <v>243.72549019607845</v>
      </c>
      <c r="H37" s="241">
        <v>215.58823529411762</v>
      </c>
      <c r="I37" s="241">
        <v>184.31372549019608</v>
      </c>
      <c r="J37" s="241">
        <v>152.94117647058826</v>
      </c>
      <c r="K37" s="241">
        <v>121.86274509803923</v>
      </c>
      <c r="L37" s="241">
        <v>90.196078431372555</v>
      </c>
    </row>
    <row r="38" spans="2:12">
      <c r="B38" s="203"/>
      <c r="C38" s="203" t="s">
        <v>16</v>
      </c>
      <c r="D38" s="239">
        <v>10.37</v>
      </c>
      <c r="E38" s="239"/>
      <c r="F38" s="239"/>
      <c r="G38" s="239">
        <v>10.199999999999999</v>
      </c>
      <c r="H38" s="239">
        <v>10.199999999999999</v>
      </c>
      <c r="I38" s="239">
        <v>10.199999999999999</v>
      </c>
      <c r="J38" s="239">
        <v>10.199999999999999</v>
      </c>
      <c r="K38" s="239">
        <v>10.199999999999999</v>
      </c>
      <c r="L38" s="239">
        <v>10.199999999999999</v>
      </c>
    </row>
    <row r="39" spans="2:12" ht="15.75">
      <c r="B39" s="203"/>
      <c r="C39" s="203" t="s">
        <v>282</v>
      </c>
      <c r="D39" s="241">
        <v>28.73</v>
      </c>
      <c r="E39" s="241">
        <f t="shared" ref="E39:F39" si="10">E37*E38</f>
        <v>0</v>
      </c>
      <c r="F39" s="241">
        <f t="shared" si="10"/>
        <v>0</v>
      </c>
      <c r="G39" s="241">
        <v>24.86</v>
      </c>
      <c r="H39" s="241">
        <v>21.99</v>
      </c>
      <c r="I39" s="241">
        <v>18.8</v>
      </c>
      <c r="J39" s="241">
        <v>15.6</v>
      </c>
      <c r="K39" s="241">
        <v>12.43</v>
      </c>
      <c r="L39" s="241">
        <v>9.1999999999999993</v>
      </c>
    </row>
    <row r="40" spans="2:12">
      <c r="B40" s="203"/>
      <c r="C40" s="203" t="s">
        <v>284</v>
      </c>
      <c r="D40" s="239">
        <v>0</v>
      </c>
      <c r="E40" s="239"/>
      <c r="F40" s="239"/>
      <c r="G40" s="239">
        <v>0</v>
      </c>
      <c r="H40" s="239">
        <v>0</v>
      </c>
      <c r="I40" s="239"/>
      <c r="J40" s="239">
        <v>0</v>
      </c>
      <c r="K40" s="239">
        <v>0</v>
      </c>
      <c r="L40" s="239">
        <v>0</v>
      </c>
    </row>
    <row r="41" spans="2:12" ht="15.75">
      <c r="B41" s="203"/>
      <c r="C41" s="203" t="s">
        <v>285</v>
      </c>
      <c r="D41" s="241">
        <v>28.73</v>
      </c>
      <c r="E41" s="241">
        <f t="shared" ref="E41:F41" si="11">E39+E40</f>
        <v>0</v>
      </c>
      <c r="F41" s="241">
        <f t="shared" si="11"/>
        <v>0</v>
      </c>
      <c r="G41" s="241">
        <v>24.86</v>
      </c>
      <c r="H41" s="241">
        <v>21.99</v>
      </c>
      <c r="I41" s="241">
        <v>18.8</v>
      </c>
      <c r="J41" s="241">
        <v>15.6</v>
      </c>
      <c r="K41" s="241">
        <v>12.43</v>
      </c>
      <c r="L41" s="241">
        <v>9.1999999999999993</v>
      </c>
    </row>
    <row r="42" spans="2:12" ht="15.75">
      <c r="B42" s="205">
        <v>2</v>
      </c>
      <c r="C42" s="228" t="s">
        <v>127</v>
      </c>
      <c r="D42" s="239"/>
      <c r="E42" s="239"/>
      <c r="F42" s="239"/>
      <c r="G42" s="239"/>
      <c r="H42" s="239"/>
      <c r="I42" s="239"/>
      <c r="J42" s="239"/>
      <c r="K42" s="239"/>
      <c r="L42" s="239"/>
    </row>
    <row r="43" spans="2:12">
      <c r="B43" s="203"/>
      <c r="C43" s="203" t="s">
        <v>13</v>
      </c>
      <c r="D43" s="239">
        <v>292.67</v>
      </c>
      <c r="E43" s="239"/>
      <c r="F43" s="239"/>
      <c r="G43" s="239">
        <v>261.31</v>
      </c>
      <c r="H43" s="239">
        <v>229.95</v>
      </c>
      <c r="I43" s="239">
        <v>198.58999999999997</v>
      </c>
      <c r="J43" s="239">
        <v>167.22999999999996</v>
      </c>
      <c r="K43" s="239">
        <v>135.86999999999995</v>
      </c>
      <c r="L43" s="239">
        <v>104.50999999999995</v>
      </c>
    </row>
    <row r="44" spans="2:12">
      <c r="B44" s="203"/>
      <c r="C44" s="203" t="s">
        <v>158</v>
      </c>
      <c r="D44" s="239">
        <v>0</v>
      </c>
      <c r="E44" s="239"/>
      <c r="F44" s="239"/>
      <c r="G44" s="239">
        <v>0</v>
      </c>
      <c r="H44" s="239">
        <v>0</v>
      </c>
      <c r="I44" s="239">
        <v>0</v>
      </c>
      <c r="J44" s="239">
        <v>0</v>
      </c>
      <c r="K44" s="239">
        <v>0</v>
      </c>
      <c r="L44" s="239">
        <v>0</v>
      </c>
    </row>
    <row r="45" spans="2:12">
      <c r="B45" s="203"/>
      <c r="C45" s="203" t="s">
        <v>14</v>
      </c>
      <c r="D45" s="239">
        <v>31.36</v>
      </c>
      <c r="E45" s="239"/>
      <c r="F45" s="239"/>
      <c r="G45" s="239">
        <v>31.36</v>
      </c>
      <c r="H45" s="239">
        <v>31.36</v>
      </c>
      <c r="I45" s="239">
        <v>31.36</v>
      </c>
      <c r="J45" s="239">
        <v>31.36</v>
      </c>
      <c r="K45" s="239">
        <v>31.36</v>
      </c>
      <c r="L45" s="239">
        <v>31.36</v>
      </c>
    </row>
    <row r="46" spans="2:12" ht="15.75">
      <c r="B46" s="203"/>
      <c r="C46" s="203" t="s">
        <v>15</v>
      </c>
      <c r="D46" s="241">
        <v>261.31</v>
      </c>
      <c r="E46" s="241">
        <f t="shared" ref="E46:F46" si="12">E43+E44-E45</f>
        <v>0</v>
      </c>
      <c r="F46" s="241">
        <f t="shared" si="12"/>
        <v>0</v>
      </c>
      <c r="G46" s="241">
        <v>229.95</v>
      </c>
      <c r="H46" s="241">
        <v>198.58999999999997</v>
      </c>
      <c r="I46" s="241">
        <v>167.22999999999996</v>
      </c>
      <c r="J46" s="241">
        <v>135.86999999999995</v>
      </c>
      <c r="K46" s="241">
        <v>104.50999999999995</v>
      </c>
      <c r="L46" s="241">
        <v>73.149999999999949</v>
      </c>
    </row>
    <row r="47" spans="2:12" ht="15.75">
      <c r="B47" s="203"/>
      <c r="C47" s="203" t="s">
        <v>206</v>
      </c>
      <c r="D47" s="241">
        <v>276.97000000000003</v>
      </c>
      <c r="E47" s="241">
        <f t="shared" ref="E47:F47" si="13">AVERAGE(E43,E46)</f>
        <v>0</v>
      </c>
      <c r="F47" s="241">
        <f t="shared" si="13"/>
        <v>0</v>
      </c>
      <c r="G47" s="241">
        <v>243.72549019607845</v>
      </c>
      <c r="H47" s="241">
        <v>215.58823529411762</v>
      </c>
      <c r="I47" s="241">
        <v>184.31372549019608</v>
      </c>
      <c r="J47" s="241">
        <v>152.94117647058826</v>
      </c>
      <c r="K47" s="241">
        <v>121.86274509803923</v>
      </c>
      <c r="L47" s="241">
        <v>90.196078431372555</v>
      </c>
    </row>
    <row r="48" spans="2:12">
      <c r="B48" s="203"/>
      <c r="C48" s="203" t="s">
        <v>16</v>
      </c>
      <c r="D48" s="239">
        <v>10.37</v>
      </c>
      <c r="E48" s="239"/>
      <c r="F48" s="239"/>
      <c r="G48" s="239">
        <v>10.199999999999999</v>
      </c>
      <c r="H48" s="239">
        <v>10.199999999999999</v>
      </c>
      <c r="I48" s="239">
        <v>10.199999999999999</v>
      </c>
      <c r="J48" s="239">
        <v>10.199999999999999</v>
      </c>
      <c r="K48" s="239">
        <v>10.199999999999999</v>
      </c>
      <c r="L48" s="239">
        <v>10.199999999999999</v>
      </c>
    </row>
    <row r="49" spans="2:12" ht="15.75">
      <c r="B49" s="203"/>
      <c r="C49" s="203" t="s">
        <v>282</v>
      </c>
      <c r="D49" s="241">
        <v>28.73</v>
      </c>
      <c r="E49" s="241">
        <f t="shared" ref="E49:F49" si="14">E47*E48</f>
        <v>0</v>
      </c>
      <c r="F49" s="241">
        <f t="shared" si="14"/>
        <v>0</v>
      </c>
      <c r="G49" s="241">
        <v>24.86</v>
      </c>
      <c r="H49" s="241">
        <v>21.99</v>
      </c>
      <c r="I49" s="241">
        <v>18.8</v>
      </c>
      <c r="J49" s="241">
        <v>15.6</v>
      </c>
      <c r="K49" s="241">
        <v>12.43</v>
      </c>
      <c r="L49" s="241">
        <v>9.1999999999999993</v>
      </c>
    </row>
    <row r="50" spans="2:12">
      <c r="B50" s="203"/>
      <c r="C50" s="203" t="s">
        <v>284</v>
      </c>
      <c r="D50" s="239">
        <v>0</v>
      </c>
      <c r="E50" s="239"/>
      <c r="F50" s="239"/>
      <c r="G50" s="239">
        <v>0</v>
      </c>
      <c r="H50" s="239">
        <v>0</v>
      </c>
      <c r="I50" s="239">
        <v>0</v>
      </c>
      <c r="J50" s="239">
        <v>0</v>
      </c>
      <c r="K50" s="239">
        <v>0</v>
      </c>
      <c r="L50" s="239">
        <v>0</v>
      </c>
    </row>
    <row r="51" spans="2:12" ht="15.75">
      <c r="B51" s="203"/>
      <c r="C51" s="203" t="s">
        <v>285</v>
      </c>
      <c r="D51" s="241">
        <v>28.73</v>
      </c>
      <c r="E51" s="241">
        <f t="shared" ref="E51:F51" si="15">E49+E50</f>
        <v>0</v>
      </c>
      <c r="F51" s="241">
        <f t="shared" si="15"/>
        <v>0</v>
      </c>
      <c r="G51" s="241">
        <v>24.86</v>
      </c>
      <c r="H51" s="241">
        <v>21.99</v>
      </c>
      <c r="I51" s="241">
        <v>18.8</v>
      </c>
      <c r="J51" s="241">
        <v>15.6</v>
      </c>
      <c r="K51" s="241">
        <v>12.43</v>
      </c>
      <c r="L51" s="241">
        <v>9.1999999999999993</v>
      </c>
    </row>
  </sheetData>
  <mergeCells count="12">
    <mergeCell ref="B2:O2"/>
    <mergeCell ref="B3:O3"/>
    <mergeCell ref="B4:O4"/>
    <mergeCell ref="E29:G29"/>
    <mergeCell ref="H29:L29"/>
    <mergeCell ref="B7:B9"/>
    <mergeCell ref="C7:C9"/>
    <mergeCell ref="D7:F7"/>
    <mergeCell ref="G7:J7"/>
    <mergeCell ref="K7:O7"/>
    <mergeCell ref="B29:B31"/>
    <mergeCell ref="C29:C31"/>
  </mergeCells>
  <pageMargins left="1.02" right="0.25" top="1" bottom="1" header="0.25" footer="0.25"/>
  <pageSetup paperSize="9" scale="54" orientation="landscape" r:id="rId1"/>
  <headerFooter alignWithMargins="0">
    <oddHeader>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3"/>
  <sheetViews>
    <sheetView showGridLines="0" zoomScale="80" zoomScaleNormal="80" zoomScaleSheetLayoutView="90" workbookViewId="0">
      <selection activeCell="M14" sqref="M14"/>
    </sheetView>
  </sheetViews>
  <sheetFormatPr defaultColWidth="9.28515625" defaultRowHeight="15"/>
  <cols>
    <col min="1" max="1" width="4.28515625" style="199" customWidth="1"/>
    <col min="2" max="2" width="6.28515625" style="199" customWidth="1"/>
    <col min="3" max="3" width="35.5703125" style="199" customWidth="1"/>
    <col min="4" max="4" width="13.7109375" style="199" bestFit="1" customWidth="1"/>
    <col min="5" max="5" width="12.5703125" style="199" bestFit="1" customWidth="1"/>
    <col min="6" max="6" width="13.42578125" style="199" bestFit="1" customWidth="1"/>
    <col min="7" max="7" width="13.7109375" style="199" bestFit="1" customWidth="1"/>
    <col min="8" max="8" width="12.5703125" style="199" customWidth="1"/>
    <col min="9" max="9" width="11.7109375" style="199" bestFit="1" customWidth="1"/>
    <col min="10" max="10" width="13.7109375" style="199" bestFit="1" customWidth="1"/>
    <col min="11" max="16" width="11.7109375" style="199" bestFit="1" customWidth="1"/>
    <col min="17" max="16384" width="9.28515625" style="199"/>
  </cols>
  <sheetData>
    <row r="1" spans="2:13" ht="15.75">
      <c r="B1" s="198"/>
    </row>
    <row r="2" spans="2:13" ht="15.75">
      <c r="B2" s="256" t="s">
        <v>404</v>
      </c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</row>
    <row r="3" spans="2:13" ht="15.75">
      <c r="B3" s="256" t="s">
        <v>409</v>
      </c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</row>
    <row r="4" spans="2:13" ht="15.75">
      <c r="B4" s="307" t="s">
        <v>293</v>
      </c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</row>
    <row r="5" spans="2:13" ht="15.75">
      <c r="B5" s="85"/>
      <c r="C5" s="198"/>
      <c r="D5" s="200"/>
      <c r="E5" s="200"/>
      <c r="F5" s="200"/>
      <c r="G5" s="200"/>
      <c r="H5" s="200"/>
      <c r="I5" s="200"/>
      <c r="J5" s="200"/>
    </row>
    <row r="6" spans="2:13" ht="15.75">
      <c r="M6" s="7" t="s">
        <v>4</v>
      </c>
    </row>
    <row r="7" spans="2:13" s="6" customFormat="1" ht="15" customHeight="1">
      <c r="B7" s="263" t="s">
        <v>186</v>
      </c>
      <c r="C7" s="266" t="s">
        <v>18</v>
      </c>
      <c r="D7" s="270" t="s">
        <v>377</v>
      </c>
      <c r="E7" s="271"/>
      <c r="F7" s="272"/>
      <c r="G7" s="270" t="s">
        <v>378</v>
      </c>
      <c r="H7" s="271"/>
      <c r="I7" s="306" t="s">
        <v>225</v>
      </c>
      <c r="J7" s="306"/>
      <c r="K7" s="306"/>
      <c r="L7" s="306"/>
      <c r="M7" s="306"/>
    </row>
    <row r="8" spans="2:13" s="6" customFormat="1" ht="47.25">
      <c r="B8" s="264"/>
      <c r="C8" s="266"/>
      <c r="D8" s="201" t="s">
        <v>327</v>
      </c>
      <c r="E8" s="201" t="s">
        <v>245</v>
      </c>
      <c r="F8" s="201" t="s">
        <v>201</v>
      </c>
      <c r="G8" s="201" t="s">
        <v>327</v>
      </c>
      <c r="H8" s="201" t="s">
        <v>244</v>
      </c>
      <c r="I8" s="201" t="s">
        <v>379</v>
      </c>
      <c r="J8" s="201" t="s">
        <v>380</v>
      </c>
      <c r="K8" s="201" t="s">
        <v>381</v>
      </c>
      <c r="L8" s="201" t="s">
        <v>382</v>
      </c>
      <c r="M8" s="201" t="s">
        <v>383</v>
      </c>
    </row>
    <row r="9" spans="2:13" s="6" customFormat="1" ht="15.75">
      <c r="B9" s="265"/>
      <c r="C9" s="267"/>
      <c r="D9" s="201" t="s">
        <v>10</v>
      </c>
      <c r="E9" s="201" t="s">
        <v>12</v>
      </c>
      <c r="F9" s="201" t="s">
        <v>234</v>
      </c>
      <c r="G9" s="201" t="s">
        <v>10</v>
      </c>
      <c r="H9" s="201" t="s">
        <v>5</v>
      </c>
      <c r="I9" s="201" t="s">
        <v>8</v>
      </c>
      <c r="J9" s="201" t="s">
        <v>8</v>
      </c>
      <c r="K9" s="201" t="s">
        <v>8</v>
      </c>
      <c r="L9" s="201" t="s">
        <v>8</v>
      </c>
      <c r="M9" s="201" t="s">
        <v>8</v>
      </c>
    </row>
    <row r="10" spans="2:13">
      <c r="B10" s="202">
        <v>1</v>
      </c>
      <c r="C10" s="203" t="s">
        <v>286</v>
      </c>
      <c r="D10" s="8"/>
      <c r="E10" s="203"/>
      <c r="F10" s="203"/>
      <c r="G10" s="204"/>
      <c r="H10" s="204"/>
      <c r="I10" s="204"/>
      <c r="J10" s="204"/>
      <c r="K10" s="204"/>
      <c r="L10" s="204"/>
      <c r="M10" s="204"/>
    </row>
    <row r="11" spans="2:13">
      <c r="B11" s="205">
        <f>B10+1</f>
        <v>2</v>
      </c>
      <c r="C11" s="203" t="s">
        <v>287</v>
      </c>
      <c r="D11" s="8"/>
      <c r="E11" s="203"/>
      <c r="F11" s="203"/>
      <c r="G11" s="204"/>
      <c r="H11" s="204"/>
      <c r="I11" s="204"/>
      <c r="J11" s="204"/>
      <c r="K11" s="204"/>
      <c r="L11" s="204"/>
      <c r="M11" s="204"/>
    </row>
    <row r="12" spans="2:13">
      <c r="B12" s="205">
        <f t="shared" ref="B12:B20" si="0">B11+1</f>
        <v>3</v>
      </c>
      <c r="C12" s="206" t="s">
        <v>288</v>
      </c>
      <c r="D12" s="8"/>
      <c r="E12" s="203"/>
      <c r="F12" s="203"/>
      <c r="G12" s="204"/>
      <c r="H12" s="204"/>
      <c r="I12" s="204"/>
      <c r="J12" s="204"/>
      <c r="K12" s="204"/>
      <c r="L12" s="204"/>
      <c r="M12" s="204"/>
    </row>
    <row r="13" spans="2:13">
      <c r="B13" s="205">
        <f t="shared" si="0"/>
        <v>4</v>
      </c>
      <c r="C13" s="207" t="s">
        <v>289</v>
      </c>
      <c r="D13" s="208">
        <f>'F1'!F11/12</f>
        <v>8.3583333333333325</v>
      </c>
      <c r="E13" s="208">
        <f>'F1'!G11/12</f>
        <v>14.474974231859507</v>
      </c>
      <c r="F13" s="208">
        <f>'F1'!H11/12</f>
        <v>14.474974231859507</v>
      </c>
      <c r="G13" s="208">
        <f>'F1'!I11/12</f>
        <v>8.8349999999999991</v>
      </c>
      <c r="H13" s="208">
        <f>'F1'!J11/12</f>
        <v>15.399440831835564</v>
      </c>
      <c r="I13" s="208">
        <f>'F1'!K11/12</f>
        <v>12.792099790110029</v>
      </c>
      <c r="J13" s="208">
        <f>'F1'!L11/12</f>
        <v>13.517278330288926</v>
      </c>
      <c r="K13" s="208">
        <f>'F1'!M11/12</f>
        <v>14.248216337319954</v>
      </c>
      <c r="L13" s="208">
        <f>'F1'!N11/12</f>
        <v>15.017055448143813</v>
      </c>
      <c r="M13" s="208">
        <f>'F1'!O11/12</f>
        <v>15.820174794057948</v>
      </c>
    </row>
    <row r="14" spans="2:13" s="210" customFormat="1" ht="15.75">
      <c r="B14" s="205">
        <f t="shared" si="0"/>
        <v>5</v>
      </c>
      <c r="C14" s="209" t="s">
        <v>290</v>
      </c>
      <c r="D14" s="208">
        <f>'F1'!F11*15%</f>
        <v>15.044999999999998</v>
      </c>
      <c r="E14" s="208">
        <f>'F1'!G11*15%</f>
        <v>26.054953617347113</v>
      </c>
      <c r="F14" s="208">
        <f>'F1'!H11*15%</f>
        <v>26.054953617347113</v>
      </c>
      <c r="G14" s="208">
        <f>'F1'!I11*15%</f>
        <v>15.902999999999999</v>
      </c>
      <c r="H14" s="208">
        <f>'F1'!J11*15%</f>
        <v>27.718993497304016</v>
      </c>
      <c r="I14" s="208">
        <f>'F4'!F47*1%</f>
        <v>19.23455149334</v>
      </c>
      <c r="J14" s="208">
        <f>'F4'!F56*1%</f>
        <v>20.184751493339999</v>
      </c>
      <c r="K14" s="208">
        <f>'F4'!F65*1%</f>
        <v>20.450251493340001</v>
      </c>
      <c r="L14" s="208">
        <f>'F4'!F74*1%</f>
        <v>20.647751493340003</v>
      </c>
      <c r="M14" s="208">
        <f>'F4'!F83*1%</f>
        <v>20.65375149334</v>
      </c>
    </row>
    <row r="15" spans="2:13">
      <c r="B15" s="205">
        <f t="shared" si="0"/>
        <v>6</v>
      </c>
      <c r="C15" s="207" t="s">
        <v>401</v>
      </c>
      <c r="D15" s="208">
        <f>'F1'!F22*2/12</f>
        <v>55.013333333333328</v>
      </c>
      <c r="E15" s="208">
        <f ca="1">('F1'!G22+'F1'!G16)*2/12</f>
        <v>72.354472766040104</v>
      </c>
      <c r="F15" s="208">
        <f ca="1">E15</f>
        <v>72.354472766040104</v>
      </c>
      <c r="G15" s="208">
        <f>('F1'!I22+'F1'!I16)*2/12</f>
        <v>54.443000000000005</v>
      </c>
      <c r="H15" s="208">
        <f ca="1">('F1'!J22+'F1'!J16)*2/12</f>
        <v>72.647111366727373</v>
      </c>
      <c r="I15" s="208">
        <f ca="1">('F1'!K22+'F1'!K16)*45/365</f>
        <v>43.79243665734451</v>
      </c>
      <c r="J15" s="208">
        <f ca="1">('F1'!L22+'F1'!L16)*45/365</f>
        <v>46.673742851019171</v>
      </c>
      <c r="K15" s="208">
        <f ca="1">('F1'!M22+'F1'!M16)*45/365</f>
        <v>47.983781122057465</v>
      </c>
      <c r="L15" s="208">
        <f ca="1">('F1'!N22+'F1'!N16)*45/365</f>
        <v>49.508008015587009</v>
      </c>
      <c r="M15" s="208">
        <f ca="1">('F1'!O22+'F1'!O16)*45/365</f>
        <v>50.83447971791675</v>
      </c>
    </row>
    <row r="16" spans="2:13">
      <c r="B16" s="205"/>
      <c r="C16" s="207" t="s">
        <v>291</v>
      </c>
      <c r="D16" s="211"/>
      <c r="E16" s="206"/>
      <c r="F16" s="9"/>
      <c r="G16" s="206"/>
      <c r="H16" s="206"/>
      <c r="I16" s="206"/>
      <c r="J16" s="206"/>
      <c r="K16" s="206"/>
      <c r="L16" s="206"/>
      <c r="M16" s="206"/>
    </row>
    <row r="17" spans="2:13">
      <c r="B17" s="205">
        <f>B15+1</f>
        <v>7</v>
      </c>
      <c r="C17" s="203" t="s">
        <v>402</v>
      </c>
      <c r="D17" s="208">
        <f>'F1'!F21/12</f>
        <v>0</v>
      </c>
      <c r="E17" s="208">
        <f>'F1'!G21/12</f>
        <v>0</v>
      </c>
      <c r="F17" s="208">
        <f>'F1'!H21/12</f>
        <v>0</v>
      </c>
      <c r="G17" s="208">
        <f>'F1'!I21/12</f>
        <v>0</v>
      </c>
      <c r="H17" s="208">
        <f>'F1'!J21/12</f>
        <v>0</v>
      </c>
      <c r="I17" s="208">
        <f>'F1'!K21/12</f>
        <v>0</v>
      </c>
      <c r="J17" s="208">
        <f>'F1'!L21/12</f>
        <v>0</v>
      </c>
      <c r="K17" s="208">
        <f>'F1'!M21/12</f>
        <v>0</v>
      </c>
      <c r="L17" s="208">
        <f>'F1'!N21/12</f>
        <v>0</v>
      </c>
      <c r="M17" s="208">
        <f>'F1'!O21/12</f>
        <v>0</v>
      </c>
    </row>
    <row r="18" spans="2:13" ht="15.75">
      <c r="B18" s="205">
        <f t="shared" si="0"/>
        <v>8</v>
      </c>
      <c r="C18" s="203" t="s">
        <v>44</v>
      </c>
      <c r="D18" s="212">
        <f>SUM(D10:D15)-D17</f>
        <v>78.416666666666657</v>
      </c>
      <c r="E18" s="212">
        <f t="shared" ref="E18:M18" ca="1" si="1">SUM(E10:E15)-E17</f>
        <v>112.88440061524673</v>
      </c>
      <c r="F18" s="212">
        <f t="shared" ca="1" si="1"/>
        <v>112.88440061524673</v>
      </c>
      <c r="G18" s="212">
        <f t="shared" si="1"/>
        <v>79.181000000000012</v>
      </c>
      <c r="H18" s="212">
        <f t="shared" ca="1" si="1"/>
        <v>115.76554569586696</v>
      </c>
      <c r="I18" s="212">
        <f t="shared" ca="1" si="1"/>
        <v>75.819087940794532</v>
      </c>
      <c r="J18" s="212">
        <f t="shared" ca="1" si="1"/>
        <v>80.37577267464809</v>
      </c>
      <c r="K18" s="212">
        <f t="shared" ca="1" si="1"/>
        <v>82.68224895271743</v>
      </c>
      <c r="L18" s="212">
        <f t="shared" ca="1" si="1"/>
        <v>85.172814957070827</v>
      </c>
      <c r="M18" s="212">
        <f t="shared" ca="1" si="1"/>
        <v>87.308406005314694</v>
      </c>
    </row>
    <row r="19" spans="2:13">
      <c r="B19" s="205">
        <f t="shared" si="0"/>
        <v>9</v>
      </c>
      <c r="C19" s="203" t="s">
        <v>292</v>
      </c>
      <c r="D19" s="242">
        <v>8.5500000000000007E-2</v>
      </c>
      <c r="E19" s="242">
        <v>9.4382191780821911E-2</v>
      </c>
      <c r="F19" s="242">
        <f>E19</f>
        <v>9.4382191780821911E-2</v>
      </c>
      <c r="G19" s="242">
        <v>8.5500000000000007E-2</v>
      </c>
      <c r="H19" s="242">
        <v>0.10077049180327871</v>
      </c>
      <c r="I19" s="242">
        <v>0.10150000000000001</v>
      </c>
      <c r="J19" s="242">
        <v>0.10150000000000001</v>
      </c>
      <c r="K19" s="242">
        <v>0.10150000000000001</v>
      </c>
      <c r="L19" s="242">
        <v>0.10150000000000001</v>
      </c>
      <c r="M19" s="242">
        <v>0.10150000000000001</v>
      </c>
    </row>
    <row r="20" spans="2:13" ht="15.75">
      <c r="B20" s="205">
        <f t="shared" si="0"/>
        <v>10</v>
      </c>
      <c r="C20" s="207" t="s">
        <v>293</v>
      </c>
      <c r="D20" s="212">
        <v>7.03</v>
      </c>
      <c r="E20" s="212">
        <f t="shared" ref="E20:M20" ca="1" si="2">E18*E19</f>
        <v>10.654277147931348</v>
      </c>
      <c r="F20" s="212">
        <f t="shared" ca="1" si="2"/>
        <v>10.654277147931348</v>
      </c>
      <c r="G20" s="212">
        <v>7.28</v>
      </c>
      <c r="H20" s="212">
        <f t="shared" ca="1" si="2"/>
        <v>11.665750973647448</v>
      </c>
      <c r="I20" s="212">
        <f t="shared" ca="1" si="2"/>
        <v>7.6956374259906459</v>
      </c>
      <c r="J20" s="212">
        <f t="shared" ca="1" si="2"/>
        <v>8.158140926476781</v>
      </c>
      <c r="K20" s="212">
        <f t="shared" ca="1" si="2"/>
        <v>8.3922482687008202</v>
      </c>
      <c r="L20" s="212">
        <f t="shared" ca="1" si="2"/>
        <v>8.64504071814269</v>
      </c>
      <c r="M20" s="212">
        <f t="shared" ca="1" si="2"/>
        <v>8.8618032095394419</v>
      </c>
    </row>
    <row r="22" spans="2:13">
      <c r="C22" s="199" t="s">
        <v>247</v>
      </c>
    </row>
    <row r="23" spans="2:13">
      <c r="C23" s="199" t="s">
        <v>363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8" orientation="landscape" r:id="rId1"/>
  <headerFooter alignWithMargins="0"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4"/>
  <sheetViews>
    <sheetView showGridLines="0" zoomScale="80" zoomScaleNormal="80" zoomScaleSheetLayoutView="90" workbookViewId="0">
      <selection activeCell="I22" sqref="I22:M22"/>
    </sheetView>
  </sheetViews>
  <sheetFormatPr defaultColWidth="9.28515625" defaultRowHeight="15"/>
  <cols>
    <col min="1" max="1" width="3.28515625" style="199" customWidth="1"/>
    <col min="2" max="2" width="6.28515625" style="199" customWidth="1"/>
    <col min="3" max="3" width="60.28515625" style="199" customWidth="1"/>
    <col min="4" max="4" width="12.42578125" style="199" customWidth="1"/>
    <col min="5" max="5" width="11" style="199" customWidth="1"/>
    <col min="6" max="6" width="13.42578125" style="199" bestFit="1" customWidth="1"/>
    <col min="7" max="8" width="12.140625" style="199" customWidth="1"/>
    <col min="9" max="13" width="11.28515625" style="199" customWidth="1"/>
    <col min="14" max="16" width="11.7109375" style="199" bestFit="1" customWidth="1"/>
    <col min="17" max="16384" width="9.28515625" style="199"/>
  </cols>
  <sheetData>
    <row r="1" spans="2:13" ht="15.75">
      <c r="B1" s="198"/>
    </row>
    <row r="2" spans="2:13">
      <c r="H2" s="257"/>
      <c r="I2" s="257"/>
    </row>
    <row r="3" spans="2:13" ht="15.75">
      <c r="B3" s="256" t="s">
        <v>404</v>
      </c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</row>
    <row r="4" spans="2:13" ht="15.75">
      <c r="B4" s="256" t="s">
        <v>411</v>
      </c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</row>
    <row r="5" spans="2:13" ht="15.75">
      <c r="B5" s="307" t="s">
        <v>239</v>
      </c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</row>
    <row r="6" spans="2:13" ht="15.75">
      <c r="M6" s="7" t="s">
        <v>4</v>
      </c>
    </row>
    <row r="7" spans="2:13" s="6" customFormat="1" ht="15" customHeight="1">
      <c r="B7" s="263" t="s">
        <v>186</v>
      </c>
      <c r="C7" s="266" t="s">
        <v>18</v>
      </c>
      <c r="D7" s="270" t="s">
        <v>377</v>
      </c>
      <c r="E7" s="271"/>
      <c r="F7" s="272"/>
      <c r="G7" s="270" t="s">
        <v>378</v>
      </c>
      <c r="H7" s="271"/>
      <c r="I7" s="306" t="s">
        <v>225</v>
      </c>
      <c r="J7" s="306"/>
      <c r="K7" s="306"/>
      <c r="L7" s="306"/>
      <c r="M7" s="306"/>
    </row>
    <row r="8" spans="2:13" s="6" customFormat="1" ht="47.25">
      <c r="B8" s="264"/>
      <c r="C8" s="266"/>
      <c r="D8" s="201" t="s">
        <v>327</v>
      </c>
      <c r="E8" s="201" t="s">
        <v>245</v>
      </c>
      <c r="F8" s="201" t="s">
        <v>201</v>
      </c>
      <c r="G8" s="201" t="s">
        <v>327</v>
      </c>
      <c r="H8" s="201" t="s">
        <v>244</v>
      </c>
      <c r="I8" s="201" t="s">
        <v>379</v>
      </c>
      <c r="J8" s="201" t="s">
        <v>380</v>
      </c>
      <c r="K8" s="201" t="s">
        <v>381</v>
      </c>
      <c r="L8" s="201" t="s">
        <v>382</v>
      </c>
      <c r="M8" s="201" t="s">
        <v>383</v>
      </c>
    </row>
    <row r="9" spans="2:13" s="6" customFormat="1" ht="31.5">
      <c r="B9" s="265"/>
      <c r="C9" s="267"/>
      <c r="D9" s="201" t="s">
        <v>10</v>
      </c>
      <c r="E9" s="201" t="s">
        <v>12</v>
      </c>
      <c r="F9" s="201" t="s">
        <v>234</v>
      </c>
      <c r="G9" s="201" t="s">
        <v>10</v>
      </c>
      <c r="H9" s="201" t="s">
        <v>5</v>
      </c>
      <c r="I9" s="201" t="s">
        <v>8</v>
      </c>
      <c r="J9" s="201" t="s">
        <v>8</v>
      </c>
      <c r="K9" s="201" t="s">
        <v>8</v>
      </c>
      <c r="L9" s="201" t="s">
        <v>8</v>
      </c>
      <c r="M9" s="201" t="s">
        <v>8</v>
      </c>
    </row>
    <row r="10" spans="2:13">
      <c r="B10" s="202">
        <v>1</v>
      </c>
      <c r="C10" s="203" t="s">
        <v>215</v>
      </c>
      <c r="D10" s="215">
        <f>'F4'!F21*30%</f>
        <v>576.23854480019997</v>
      </c>
      <c r="E10" s="216">
        <f>'F4'!F21*30%</f>
        <v>576.23854480019997</v>
      </c>
      <c r="F10" s="216">
        <f>E10</f>
        <v>576.23854480019997</v>
      </c>
      <c r="G10" s="217"/>
      <c r="H10" s="218">
        <f>E14</f>
        <v>576.23854480019997</v>
      </c>
      <c r="I10" s="218">
        <f>H14</f>
        <v>577.03654480019998</v>
      </c>
      <c r="J10" s="218">
        <f>I14</f>
        <v>605.54254480019995</v>
      </c>
      <c r="K10" s="218">
        <f>J14</f>
        <v>613.50754480019998</v>
      </c>
      <c r="L10" s="218">
        <f>K14</f>
        <v>619.43254480019993</v>
      </c>
      <c r="M10" s="218">
        <f>L14</f>
        <v>619.61254480019988</v>
      </c>
    </row>
    <row r="11" spans="2:13">
      <c r="B11" s="205">
        <f>B10+1</f>
        <v>2</v>
      </c>
      <c r="C11" s="203" t="s">
        <v>216</v>
      </c>
      <c r="D11" s="219"/>
      <c r="E11" s="216">
        <f>F3.1!H15</f>
        <v>0</v>
      </c>
      <c r="F11" s="216">
        <f>'F3'!E12</f>
        <v>0</v>
      </c>
      <c r="G11" s="217"/>
      <c r="H11" s="218">
        <f>F3.1!H24</f>
        <v>2.66</v>
      </c>
      <c r="I11" s="218">
        <f>F3.1!H32</f>
        <v>95.02</v>
      </c>
      <c r="J11" s="218">
        <f>F3.1!H38</f>
        <v>26.55</v>
      </c>
      <c r="K11" s="218">
        <f>F3.1!H44</f>
        <v>19.75</v>
      </c>
      <c r="L11" s="218">
        <f>F3.1!H50</f>
        <v>0.6</v>
      </c>
      <c r="M11" s="218">
        <f>F3.1!H56</f>
        <v>22.68</v>
      </c>
    </row>
    <row r="12" spans="2:13">
      <c r="B12" s="205">
        <f t="shared" ref="B12:B22" si="0">B11+1</f>
        <v>3</v>
      </c>
      <c r="C12" s="206" t="s">
        <v>19</v>
      </c>
      <c r="D12" s="215">
        <f>D11*25%</f>
        <v>0</v>
      </c>
      <c r="E12" s="215">
        <f t="shared" ref="E12:G12" si="1">E11*25%</f>
        <v>0</v>
      </c>
      <c r="F12" s="215">
        <f>E12</f>
        <v>0</v>
      </c>
      <c r="G12" s="215">
        <f t="shared" si="1"/>
        <v>0</v>
      </c>
      <c r="H12" s="215">
        <f>H11*30%</f>
        <v>0.79800000000000004</v>
      </c>
      <c r="I12" s="215">
        <f>I11*30%</f>
        <v>28.505999999999997</v>
      </c>
      <c r="J12" s="215">
        <f>J11*30%</f>
        <v>7.9649999999999999</v>
      </c>
      <c r="K12" s="215">
        <f t="shared" ref="K12:M12" si="2">K11*30%</f>
        <v>5.9249999999999998</v>
      </c>
      <c r="L12" s="215">
        <f t="shared" si="2"/>
        <v>0.18</v>
      </c>
      <c r="M12" s="215">
        <f t="shared" si="2"/>
        <v>6.8039999999999994</v>
      </c>
    </row>
    <row r="13" spans="2:13" ht="30">
      <c r="B13" s="205">
        <f t="shared" si="0"/>
        <v>4</v>
      </c>
      <c r="C13" s="207" t="s">
        <v>20</v>
      </c>
      <c r="D13" s="220"/>
      <c r="E13" s="221"/>
      <c r="F13" s="219"/>
      <c r="G13" s="221"/>
      <c r="H13" s="221"/>
      <c r="I13" s="221"/>
      <c r="J13" s="221"/>
      <c r="K13" s="221"/>
      <c r="L13" s="221"/>
      <c r="M13" s="221"/>
    </row>
    <row r="14" spans="2:13" s="210" customFormat="1" ht="15.75">
      <c r="B14" s="205">
        <f t="shared" si="0"/>
        <v>5</v>
      </c>
      <c r="C14" s="209" t="s">
        <v>21</v>
      </c>
      <c r="D14" s="222">
        <f>D10+D12-D13</f>
        <v>576.23854480019997</v>
      </c>
      <c r="E14" s="222">
        <f t="shared" ref="E14:M14" si="3">E10+E12-E13</f>
        <v>576.23854480019997</v>
      </c>
      <c r="F14" s="222">
        <f>F10+F12-F13</f>
        <v>576.23854480019997</v>
      </c>
      <c r="G14" s="222">
        <f t="shared" si="3"/>
        <v>0</v>
      </c>
      <c r="H14" s="222">
        <f t="shared" si="3"/>
        <v>577.03654480019998</v>
      </c>
      <c r="I14" s="222">
        <f t="shared" si="3"/>
        <v>605.54254480019995</v>
      </c>
      <c r="J14" s="222">
        <f t="shared" si="3"/>
        <v>613.50754480019998</v>
      </c>
      <c r="K14" s="222">
        <f t="shared" si="3"/>
        <v>619.43254480019993</v>
      </c>
      <c r="L14" s="222">
        <f t="shared" si="3"/>
        <v>619.61254480019988</v>
      </c>
      <c r="M14" s="222">
        <f t="shared" si="3"/>
        <v>626.41654480019986</v>
      </c>
    </row>
    <row r="15" spans="2:13" s="210" customFormat="1" ht="15.75">
      <c r="B15" s="205"/>
      <c r="C15" s="223" t="s">
        <v>294</v>
      </c>
      <c r="D15" s="211"/>
      <c r="E15" s="206"/>
      <c r="F15" s="9"/>
      <c r="G15" s="206"/>
      <c r="H15" s="206"/>
      <c r="I15" s="206"/>
      <c r="J15" s="206"/>
      <c r="K15" s="206"/>
      <c r="L15" s="206"/>
      <c r="M15" s="206"/>
    </row>
    <row r="16" spans="2:13" s="210" customFormat="1" ht="15.75">
      <c r="B16" s="205">
        <f>B14+1</f>
        <v>6</v>
      </c>
      <c r="C16" s="209" t="s">
        <v>295</v>
      </c>
      <c r="D16" s="224">
        <v>0.16500000000000001</v>
      </c>
      <c r="E16" s="224">
        <v>0.16500000000000001</v>
      </c>
      <c r="F16" s="224">
        <v>0.16500000000000001</v>
      </c>
      <c r="G16" s="224">
        <v>0.16500000000000001</v>
      </c>
      <c r="H16" s="224">
        <v>0.16500000000000001</v>
      </c>
      <c r="I16" s="224">
        <v>0.16500000000000001</v>
      </c>
      <c r="J16" s="224">
        <v>0.16500000000000001</v>
      </c>
      <c r="K16" s="224">
        <v>0.16500000000000001</v>
      </c>
      <c r="L16" s="224">
        <v>0.16500000000000001</v>
      </c>
      <c r="M16" s="224">
        <v>0.16500000000000001</v>
      </c>
    </row>
    <row r="17" spans="2:13" s="210" customFormat="1" ht="15.75">
      <c r="B17" s="205">
        <f>B16+1</f>
        <v>7</v>
      </c>
      <c r="C17" s="209" t="s">
        <v>296</v>
      </c>
      <c r="D17" s="213">
        <v>0.17471999999999999</v>
      </c>
      <c r="E17" s="213">
        <v>0.25168000000000001</v>
      </c>
      <c r="F17" s="213">
        <f>E17</f>
        <v>0.25168000000000001</v>
      </c>
      <c r="G17" s="213">
        <f>D17</f>
        <v>0.17471999999999999</v>
      </c>
      <c r="H17" s="213">
        <v>0.25168000000000001</v>
      </c>
      <c r="I17" s="213">
        <v>0.25168000000000001</v>
      </c>
      <c r="J17" s="213">
        <v>0.25168000000000001</v>
      </c>
      <c r="K17" s="213">
        <v>0.25168000000000001</v>
      </c>
      <c r="L17" s="213">
        <v>0.25168000000000001</v>
      </c>
      <c r="M17" s="213">
        <v>0.25168000000000001</v>
      </c>
    </row>
    <row r="18" spans="2:13" s="210" customFormat="1" ht="15.75">
      <c r="B18" s="205">
        <f>B17+1</f>
        <v>8</v>
      </c>
      <c r="C18" s="225" t="s">
        <v>294</v>
      </c>
      <c r="D18" s="226">
        <f>D16/(1-D17)</f>
        <v>0.19993214424195424</v>
      </c>
      <c r="E18" s="226">
        <f t="shared" ref="E18:M18" si="4">E16/(1-E17)</f>
        <v>0.22049390635022451</v>
      </c>
      <c r="F18" s="226">
        <f t="shared" si="4"/>
        <v>0.22049390635022451</v>
      </c>
      <c r="G18" s="226">
        <f t="shared" si="4"/>
        <v>0.19993214424195424</v>
      </c>
      <c r="H18" s="226">
        <f t="shared" si="4"/>
        <v>0.22049390635022451</v>
      </c>
      <c r="I18" s="226">
        <f t="shared" si="4"/>
        <v>0.22049390635022451</v>
      </c>
      <c r="J18" s="226">
        <f t="shared" si="4"/>
        <v>0.22049390635022451</v>
      </c>
      <c r="K18" s="226">
        <f t="shared" si="4"/>
        <v>0.22049390635022451</v>
      </c>
      <c r="L18" s="226">
        <f t="shared" si="4"/>
        <v>0.22049390635022451</v>
      </c>
      <c r="M18" s="226">
        <f t="shared" si="4"/>
        <v>0.22049390635022451</v>
      </c>
    </row>
    <row r="19" spans="2:13" ht="15.75">
      <c r="B19" s="205"/>
      <c r="C19" s="223" t="s">
        <v>171</v>
      </c>
      <c r="D19" s="227"/>
      <c r="E19" s="206"/>
      <c r="F19" s="9"/>
      <c r="G19" s="206"/>
      <c r="H19" s="206"/>
      <c r="I19" s="206"/>
      <c r="J19" s="206"/>
      <c r="K19" s="206"/>
      <c r="L19" s="206"/>
      <c r="M19" s="206"/>
    </row>
    <row r="20" spans="2:13" ht="17.25" customHeight="1">
      <c r="B20" s="205">
        <f>B18+1</f>
        <v>9</v>
      </c>
      <c r="C20" s="207" t="s">
        <v>217</v>
      </c>
      <c r="D20" s="212">
        <f>D10*D18</f>
        <v>115.20860785676739</v>
      </c>
      <c r="E20" s="212">
        <f t="shared" ref="E20:M20" si="5">E10*E18</f>
        <v>127.05708773256494</v>
      </c>
      <c r="F20" s="212">
        <f t="shared" si="5"/>
        <v>127.05708773256494</v>
      </c>
      <c r="G20" s="212">
        <f t="shared" si="5"/>
        <v>0</v>
      </c>
      <c r="H20" s="212">
        <f t="shared" si="5"/>
        <v>127.05708773256494</v>
      </c>
      <c r="I20" s="212">
        <f t="shared" si="5"/>
        <v>127.23304186983242</v>
      </c>
      <c r="J20" s="212">
        <f t="shared" si="5"/>
        <v>133.51844116425193</v>
      </c>
      <c r="K20" s="212">
        <f t="shared" si="5"/>
        <v>135.27467512833147</v>
      </c>
      <c r="L20" s="212">
        <f t="shared" si="5"/>
        <v>136.58110152345654</v>
      </c>
      <c r="M20" s="212">
        <f t="shared" si="5"/>
        <v>136.62079042659957</v>
      </c>
    </row>
    <row r="21" spans="2:13" ht="18.75" customHeight="1">
      <c r="B21" s="205">
        <f t="shared" si="0"/>
        <v>10</v>
      </c>
      <c r="C21" s="207" t="s">
        <v>218</v>
      </c>
      <c r="D21" s="212">
        <f>AVERAGE(D10,D14)*D18-D20</f>
        <v>0</v>
      </c>
      <c r="E21" s="212">
        <f t="shared" ref="E21:M21" si="6">AVERAGE(E10,E14)*E18-E20</f>
        <v>0</v>
      </c>
      <c r="F21" s="212">
        <f t="shared" si="6"/>
        <v>0</v>
      </c>
      <c r="G21" s="212">
        <f t="shared" si="6"/>
        <v>0</v>
      </c>
      <c r="H21" s="212">
        <f t="shared" si="6"/>
        <v>8.797706863374799E-2</v>
      </c>
      <c r="I21" s="212">
        <f t="shared" si="6"/>
        <v>3.1426996472097528</v>
      </c>
      <c r="J21" s="212">
        <f t="shared" si="6"/>
        <v>0.87811698203978494</v>
      </c>
      <c r="K21" s="212">
        <f t="shared" si="6"/>
        <v>0.65321319756253615</v>
      </c>
      <c r="L21" s="212">
        <f t="shared" si="6"/>
        <v>1.9844451571515265E-2</v>
      </c>
      <c r="M21" s="212">
        <f t="shared" si="6"/>
        <v>0.75012026940345322</v>
      </c>
    </row>
    <row r="22" spans="2:13" ht="15.75">
      <c r="B22" s="205">
        <f t="shared" si="0"/>
        <v>11</v>
      </c>
      <c r="C22" s="228" t="s">
        <v>172</v>
      </c>
      <c r="D22" s="212">
        <f>D20+D21</f>
        <v>115.20860785676739</v>
      </c>
      <c r="E22" s="212">
        <f t="shared" ref="E22:M22" si="7">E20+E21</f>
        <v>127.05708773256494</v>
      </c>
      <c r="F22" s="212">
        <f t="shared" si="7"/>
        <v>127.05708773256494</v>
      </c>
      <c r="G22" s="212">
        <f t="shared" si="7"/>
        <v>0</v>
      </c>
      <c r="H22" s="212">
        <f t="shared" si="7"/>
        <v>127.14506480119869</v>
      </c>
      <c r="I22" s="212">
        <f t="shared" si="7"/>
        <v>130.37574151704217</v>
      </c>
      <c r="J22" s="212">
        <f t="shared" si="7"/>
        <v>134.39655814629171</v>
      </c>
      <c r="K22" s="212">
        <f t="shared" si="7"/>
        <v>135.927888325894</v>
      </c>
      <c r="L22" s="212">
        <f t="shared" si="7"/>
        <v>136.60094597502805</v>
      </c>
      <c r="M22" s="212">
        <f t="shared" si="7"/>
        <v>137.37091069600302</v>
      </c>
    </row>
    <row r="23" spans="2:13">
      <c r="C23" s="199" t="s">
        <v>247</v>
      </c>
    </row>
    <row r="24" spans="2:13">
      <c r="C24" s="199" t="s">
        <v>364</v>
      </c>
    </row>
  </sheetData>
  <mergeCells count="9">
    <mergeCell ref="H2:I2"/>
    <mergeCell ref="B7:B9"/>
    <mergeCell ref="C7:C9"/>
    <mergeCell ref="D7:F7"/>
    <mergeCell ref="G7:H7"/>
    <mergeCell ref="I7:M7"/>
    <mergeCell ref="B3:M3"/>
    <mergeCell ref="B4:M4"/>
    <mergeCell ref="B5:M5"/>
  </mergeCells>
  <pageMargins left="1.02" right="0.25" top="1" bottom="1" header="0.25" footer="0.25"/>
  <pageSetup paperSize="9" scale="72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2"/>
  <sheetViews>
    <sheetView showGridLines="0" zoomScale="90" zoomScaleNormal="90" zoomScaleSheetLayoutView="90" workbookViewId="0">
      <selection activeCell="B2" sqref="B2:M4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26"/>
    </row>
    <row r="2" spans="2:13" ht="15.75">
      <c r="B2" s="256" t="s">
        <v>404</v>
      </c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</row>
    <row r="3" spans="2:13" ht="15.75">
      <c r="B3" s="256" t="s">
        <v>409</v>
      </c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</row>
    <row r="4" spans="2:13" ht="15.75">
      <c r="B4" s="307" t="s">
        <v>152</v>
      </c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</row>
    <row r="5" spans="2:13" ht="15">
      <c r="B5" s="36"/>
      <c r="C5" s="26"/>
      <c r="D5" s="27"/>
      <c r="E5" s="27"/>
      <c r="F5" s="27"/>
      <c r="G5" s="27"/>
      <c r="H5" s="27"/>
      <c r="I5" s="27"/>
      <c r="J5" s="27"/>
    </row>
    <row r="6" spans="2:13" ht="15">
      <c r="M6" s="28" t="s">
        <v>4</v>
      </c>
    </row>
    <row r="7" spans="2:13" s="19" customFormat="1" ht="15" customHeight="1">
      <c r="B7" s="288" t="s">
        <v>186</v>
      </c>
      <c r="C7" s="283" t="s">
        <v>18</v>
      </c>
      <c r="D7" s="274" t="s">
        <v>377</v>
      </c>
      <c r="E7" s="275"/>
      <c r="F7" s="276"/>
      <c r="G7" s="274" t="s">
        <v>378</v>
      </c>
      <c r="H7" s="275"/>
      <c r="I7" s="282" t="s">
        <v>225</v>
      </c>
      <c r="J7" s="282"/>
      <c r="K7" s="282"/>
      <c r="L7" s="282"/>
      <c r="M7" s="282"/>
    </row>
    <row r="8" spans="2:13" s="19" customFormat="1" ht="30">
      <c r="B8" s="289"/>
      <c r="C8" s="283"/>
      <c r="D8" s="21" t="s">
        <v>327</v>
      </c>
      <c r="E8" s="21" t="s">
        <v>245</v>
      </c>
      <c r="F8" s="21" t="s">
        <v>201</v>
      </c>
      <c r="G8" s="21" t="s">
        <v>327</v>
      </c>
      <c r="H8" s="21" t="s">
        <v>244</v>
      </c>
      <c r="I8" s="21" t="s">
        <v>379</v>
      </c>
      <c r="J8" s="21" t="s">
        <v>380</v>
      </c>
      <c r="K8" s="21" t="s">
        <v>381</v>
      </c>
      <c r="L8" s="21" t="s">
        <v>382</v>
      </c>
      <c r="M8" s="21" t="s">
        <v>383</v>
      </c>
    </row>
    <row r="9" spans="2:13" s="19" customFormat="1" ht="15">
      <c r="B9" s="290"/>
      <c r="C9" s="291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3">
        <v>1</v>
      </c>
      <c r="C10" s="29" t="s">
        <v>297</v>
      </c>
      <c r="D10" s="2"/>
      <c r="E10" s="158">
        <v>6.391052856635776E-2</v>
      </c>
      <c r="F10" s="158">
        <v>6.391052856635776E-2</v>
      </c>
      <c r="G10" s="164"/>
      <c r="H10" s="164">
        <v>6.391052856635776E-2</v>
      </c>
      <c r="I10" s="164">
        <v>6.391052856635776E-2</v>
      </c>
      <c r="J10" s="164">
        <v>6.6466949709012069E-2</v>
      </c>
      <c r="K10" s="164">
        <v>6.9125627697372558E-2</v>
      </c>
      <c r="L10" s="164">
        <v>7.1890652805267463E-2</v>
      </c>
      <c r="M10" s="164">
        <v>7.4766278917478168E-2</v>
      </c>
    </row>
    <row r="11" spans="2:13">
      <c r="B11" s="63">
        <f>B10+1</f>
        <v>2</v>
      </c>
      <c r="C11" s="29" t="s">
        <v>298</v>
      </c>
      <c r="D11" s="2"/>
      <c r="E11" s="158">
        <v>0</v>
      </c>
      <c r="F11" s="158">
        <v>0</v>
      </c>
      <c r="G11" s="164"/>
      <c r="H11" s="164">
        <v>0</v>
      </c>
      <c r="I11" s="164">
        <v>0</v>
      </c>
      <c r="J11" s="164">
        <v>0</v>
      </c>
      <c r="K11" s="164">
        <v>0</v>
      </c>
      <c r="L11" s="164">
        <v>0</v>
      </c>
      <c r="M11" s="164">
        <v>0</v>
      </c>
    </row>
    <row r="12" spans="2:13">
      <c r="B12" s="63">
        <f>B11+1</f>
        <v>3</v>
      </c>
      <c r="C12" s="29" t="s">
        <v>299</v>
      </c>
      <c r="D12" s="2"/>
      <c r="E12" s="158">
        <v>0.2753259872054955</v>
      </c>
      <c r="F12" s="158">
        <v>0.2753259872054955</v>
      </c>
      <c r="G12" s="164"/>
      <c r="H12" s="164">
        <v>0.2753259872054955</v>
      </c>
      <c r="I12" s="164">
        <v>0.2753259872054955</v>
      </c>
      <c r="J12" s="164">
        <v>0.28633902669371536</v>
      </c>
      <c r="K12" s="164">
        <v>0.297792587761464</v>
      </c>
      <c r="L12" s="164">
        <v>0.30970429127192256</v>
      </c>
      <c r="M12" s="164">
        <v>0.32209246292279947</v>
      </c>
    </row>
    <row r="13" spans="2:13">
      <c r="B13" s="23">
        <f t="shared" ref="B13:B21" si="0">B12+1</f>
        <v>4</v>
      </c>
      <c r="C13" s="31" t="s">
        <v>300</v>
      </c>
      <c r="D13" s="2"/>
      <c r="E13" s="158">
        <v>0</v>
      </c>
      <c r="F13" s="158">
        <v>0</v>
      </c>
      <c r="G13" s="164"/>
      <c r="H13" s="164">
        <v>0</v>
      </c>
      <c r="I13" s="164">
        <v>0</v>
      </c>
      <c r="J13" s="164">
        <v>0</v>
      </c>
      <c r="K13" s="164">
        <v>0</v>
      </c>
      <c r="L13" s="164">
        <v>0</v>
      </c>
      <c r="M13" s="164">
        <v>0</v>
      </c>
    </row>
    <row r="14" spans="2:13" ht="15.75" customHeight="1">
      <c r="B14" s="23">
        <f t="shared" si="0"/>
        <v>5</v>
      </c>
      <c r="C14" s="86" t="s">
        <v>301</v>
      </c>
      <c r="D14" s="87"/>
      <c r="E14" s="158">
        <v>0</v>
      </c>
      <c r="F14" s="163">
        <v>0</v>
      </c>
      <c r="G14" s="158"/>
      <c r="H14" s="158">
        <v>0</v>
      </c>
      <c r="I14" s="158">
        <v>0</v>
      </c>
      <c r="J14" s="158">
        <v>0</v>
      </c>
      <c r="K14" s="158">
        <v>0</v>
      </c>
      <c r="L14" s="158">
        <v>0</v>
      </c>
      <c r="M14" s="158">
        <v>0</v>
      </c>
    </row>
    <row r="15" spans="2:13" s="35" customFormat="1" ht="15">
      <c r="B15" s="23">
        <f t="shared" si="0"/>
        <v>6</v>
      </c>
      <c r="C15" s="40" t="s">
        <v>302</v>
      </c>
      <c r="D15" s="87"/>
      <c r="E15" s="158">
        <v>4.8166912278537616E-3</v>
      </c>
      <c r="F15" s="163">
        <v>4.8166912278537616E-3</v>
      </c>
      <c r="G15" s="158"/>
      <c r="H15" s="158">
        <v>4.8166912278537616E-3</v>
      </c>
      <c r="I15" s="158">
        <v>4.8166912278537616E-3</v>
      </c>
      <c r="J15" s="158">
        <v>5.0093588769679126E-3</v>
      </c>
      <c r="K15" s="158">
        <v>5.2097332320466296E-3</v>
      </c>
      <c r="L15" s="158">
        <v>5.418122561328495E-3</v>
      </c>
      <c r="M15" s="158">
        <v>5.6348474637816347E-3</v>
      </c>
    </row>
    <row r="16" spans="2:13" s="35" customFormat="1" ht="15">
      <c r="B16" s="23">
        <f t="shared" si="0"/>
        <v>7</v>
      </c>
      <c r="C16" s="86" t="s">
        <v>303</v>
      </c>
      <c r="D16" s="87"/>
      <c r="E16" s="158">
        <v>0</v>
      </c>
      <c r="F16" s="163">
        <v>0</v>
      </c>
      <c r="G16" s="158"/>
      <c r="H16" s="158">
        <v>0</v>
      </c>
      <c r="I16" s="158">
        <v>0</v>
      </c>
      <c r="J16" s="158">
        <v>0</v>
      </c>
      <c r="K16" s="158">
        <v>0</v>
      </c>
      <c r="L16" s="158">
        <v>0</v>
      </c>
      <c r="M16" s="158">
        <v>0</v>
      </c>
    </row>
    <row r="17" spans="2:13" s="35" customFormat="1" ht="12.75" customHeight="1">
      <c r="B17" s="23">
        <f t="shared" si="0"/>
        <v>8</v>
      </c>
      <c r="C17" s="40" t="s">
        <v>304</v>
      </c>
      <c r="D17" s="87"/>
      <c r="E17" s="158">
        <v>3.1810095138235703E-3</v>
      </c>
      <c r="F17" s="163">
        <v>3.1810095138235703E-3</v>
      </c>
      <c r="G17" s="158"/>
      <c r="H17" s="158">
        <v>3.1810095138235703E-3</v>
      </c>
      <c r="I17" s="158">
        <v>3.1810095138235703E-3</v>
      </c>
      <c r="J17" s="158">
        <v>3.3082498943765135E-3</v>
      </c>
      <c r="K17" s="158">
        <v>3.440579890151574E-3</v>
      </c>
      <c r="L17" s="158">
        <v>3.578203085757637E-3</v>
      </c>
      <c r="M17" s="158">
        <v>3.7213312091879426E-3</v>
      </c>
    </row>
    <row r="18" spans="2:13" s="35" customFormat="1" ht="15">
      <c r="B18" s="23">
        <f t="shared" si="0"/>
        <v>9</v>
      </c>
      <c r="C18" s="40" t="s">
        <v>150</v>
      </c>
      <c r="D18" s="87"/>
      <c r="E18" s="158">
        <v>0</v>
      </c>
      <c r="F18" s="163">
        <v>0</v>
      </c>
      <c r="G18" s="158"/>
      <c r="H18" s="158">
        <v>0</v>
      </c>
      <c r="I18" s="158">
        <v>0</v>
      </c>
      <c r="J18" s="158">
        <v>0</v>
      </c>
      <c r="K18" s="158">
        <v>0</v>
      </c>
      <c r="L18" s="158">
        <v>0</v>
      </c>
      <c r="M18" s="158">
        <v>0</v>
      </c>
    </row>
    <row r="19" spans="2:13" s="35" customFormat="1" ht="15">
      <c r="B19" s="23">
        <f t="shared" si="0"/>
        <v>10</v>
      </c>
      <c r="C19" s="40" t="s">
        <v>305</v>
      </c>
      <c r="D19" s="87"/>
      <c r="E19" s="158">
        <v>0</v>
      </c>
      <c r="F19" s="163">
        <v>0</v>
      </c>
      <c r="G19" s="158"/>
      <c r="H19" s="158">
        <v>0</v>
      </c>
      <c r="I19" s="158">
        <v>0</v>
      </c>
      <c r="J19" s="158">
        <v>0</v>
      </c>
      <c r="K19" s="158">
        <v>0</v>
      </c>
      <c r="L19" s="158">
        <v>0</v>
      </c>
      <c r="M19" s="158">
        <v>0</v>
      </c>
    </row>
    <row r="20" spans="2:13">
      <c r="B20" s="23">
        <f t="shared" si="0"/>
        <v>11</v>
      </c>
      <c r="C20" s="86" t="s">
        <v>154</v>
      </c>
      <c r="D20" s="87"/>
      <c r="E20" s="158">
        <v>3.222701664996222E-2</v>
      </c>
      <c r="F20" s="163">
        <v>3.222701664996222E-2</v>
      </c>
      <c r="G20" s="158"/>
      <c r="H20" s="158">
        <v>3.222701664996222E-2</v>
      </c>
      <c r="I20" s="158">
        <v>3.222701664996222E-2</v>
      </c>
      <c r="J20" s="158">
        <v>3.3516097315960711E-2</v>
      </c>
      <c r="K20" s="158">
        <v>3.4856741208599142E-2</v>
      </c>
      <c r="L20" s="158">
        <v>3.6251010856943107E-2</v>
      </c>
      <c r="M20" s="158">
        <v>3.7701051291220831E-2</v>
      </c>
    </row>
    <row r="21" spans="2:13">
      <c r="B21" s="23">
        <f t="shared" si="0"/>
        <v>12</v>
      </c>
      <c r="C21" s="86" t="s">
        <v>9</v>
      </c>
      <c r="D21" s="87">
        <v>0.6</v>
      </c>
      <c r="E21" s="158">
        <v>1.9742854838046962</v>
      </c>
      <c r="F21" s="163">
        <v>1.9742854838046962</v>
      </c>
      <c r="G21" s="158">
        <v>0.6</v>
      </c>
      <c r="H21" s="158">
        <v>0.61709753019971314</v>
      </c>
      <c r="I21" s="158">
        <v>0.61709753019971314</v>
      </c>
      <c r="J21" s="158">
        <v>0.64178143140770172</v>
      </c>
      <c r="K21" s="158">
        <v>0.66745268866400986</v>
      </c>
      <c r="L21" s="158">
        <v>0.6941507962105703</v>
      </c>
      <c r="M21" s="158">
        <v>0.72191682805899315</v>
      </c>
    </row>
    <row r="22" spans="2:13" ht="15">
      <c r="B22" s="23"/>
      <c r="C22" s="33" t="s">
        <v>127</v>
      </c>
      <c r="D22" s="133">
        <f>SUM(D10:D21)</f>
        <v>0.6</v>
      </c>
      <c r="E22" s="133">
        <f t="shared" ref="E22:M22" si="1">SUM(E10:E21)</f>
        <v>2.3537467169681889</v>
      </c>
      <c r="F22" s="133">
        <f t="shared" si="1"/>
        <v>2.3537467169681889</v>
      </c>
      <c r="G22" s="133">
        <v>0.6</v>
      </c>
      <c r="H22" s="133">
        <f t="shared" si="1"/>
        <v>0.99655876336320592</v>
      </c>
      <c r="I22" s="133">
        <f t="shared" si="1"/>
        <v>0.99655876336320592</v>
      </c>
      <c r="J22" s="133">
        <f t="shared" si="1"/>
        <v>1.0364211138977342</v>
      </c>
      <c r="K22" s="133">
        <f t="shared" si="1"/>
        <v>1.0778779584536438</v>
      </c>
      <c r="L22" s="133">
        <f t="shared" si="1"/>
        <v>1.1209930767917895</v>
      </c>
      <c r="M22" s="133">
        <f t="shared" si="1"/>
        <v>1.1658327998634612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7" orientation="landscape" r:id="rId1"/>
  <headerFooter alignWithMargins="0">
    <oddHeader>&amp;F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31"/>
  <sheetViews>
    <sheetView showGridLines="0" zoomScale="80" zoomScaleNormal="80" zoomScaleSheetLayoutView="70" workbookViewId="0">
      <selection activeCell="B2" sqref="B2:J4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8" style="5" bestFit="1" customWidth="1"/>
    <col min="6" max="10" width="15.7109375" style="5" customWidth="1"/>
    <col min="11" max="16384" width="9.28515625" style="5"/>
  </cols>
  <sheetData>
    <row r="2" spans="2:10" ht="15.75">
      <c r="B2" s="256" t="s">
        <v>404</v>
      </c>
      <c r="C2" s="256"/>
      <c r="D2" s="256"/>
      <c r="E2" s="256"/>
      <c r="F2" s="256"/>
      <c r="G2" s="256"/>
      <c r="H2" s="256"/>
      <c r="I2" s="256"/>
      <c r="J2" s="256"/>
    </row>
    <row r="3" spans="2:10" ht="15.75">
      <c r="B3" s="256" t="s">
        <v>376</v>
      </c>
      <c r="C3" s="256"/>
      <c r="D3" s="256"/>
      <c r="E3" s="256"/>
      <c r="F3" s="256"/>
      <c r="G3" s="256"/>
      <c r="H3" s="256"/>
      <c r="I3" s="256"/>
      <c r="J3" s="256"/>
    </row>
    <row r="4" spans="2:10" ht="14.25" customHeight="1">
      <c r="B4" s="273" t="s">
        <v>307</v>
      </c>
      <c r="C4" s="273"/>
      <c r="D4" s="273"/>
      <c r="E4" s="273"/>
      <c r="F4" s="273"/>
      <c r="G4" s="273"/>
      <c r="H4" s="273"/>
      <c r="I4" s="273"/>
      <c r="J4" s="273"/>
    </row>
    <row r="5" spans="2:10" ht="15">
      <c r="B5" s="26"/>
      <c r="C5" s="90"/>
      <c r="D5" s="91"/>
    </row>
    <row r="6" spans="2:10" ht="15" customHeight="1">
      <c r="B6" s="281" t="s">
        <v>2</v>
      </c>
      <c r="C6" s="282" t="s">
        <v>18</v>
      </c>
      <c r="D6" s="184" t="s">
        <v>377</v>
      </c>
      <c r="E6" s="250" t="s">
        <v>378</v>
      </c>
      <c r="F6" s="282" t="s">
        <v>225</v>
      </c>
      <c r="G6" s="282"/>
      <c r="H6" s="282"/>
      <c r="I6" s="282"/>
      <c r="J6" s="282"/>
    </row>
    <row r="7" spans="2:10" ht="15">
      <c r="B7" s="281"/>
      <c r="C7" s="282"/>
      <c r="D7" s="21" t="s">
        <v>306</v>
      </c>
      <c r="E7" s="21" t="s">
        <v>244</v>
      </c>
      <c r="F7" s="21" t="s">
        <v>379</v>
      </c>
      <c r="G7" s="21" t="s">
        <v>380</v>
      </c>
      <c r="H7" s="21" t="s">
        <v>381</v>
      </c>
      <c r="I7" s="21" t="s">
        <v>382</v>
      </c>
      <c r="J7" s="21" t="s">
        <v>383</v>
      </c>
    </row>
    <row r="8" spans="2:10" ht="24.75" customHeight="1">
      <c r="B8" s="308"/>
      <c r="C8" s="309"/>
      <c r="D8" s="21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92">
        <v>1</v>
      </c>
      <c r="C9" s="93" t="s">
        <v>155</v>
      </c>
      <c r="D9" s="89"/>
      <c r="E9" s="89"/>
      <c r="F9" s="29"/>
      <c r="G9" s="29"/>
      <c r="H9" s="29"/>
      <c r="I9" s="29"/>
      <c r="J9" s="29"/>
    </row>
    <row r="10" spans="2:10" s="35" customFormat="1" ht="15">
      <c r="B10" s="94" t="s">
        <v>45</v>
      </c>
      <c r="C10" s="41" t="s">
        <v>46</v>
      </c>
      <c r="D10" s="95"/>
      <c r="E10" s="41"/>
      <c r="F10" s="41"/>
      <c r="G10" s="41"/>
      <c r="H10" s="41"/>
      <c r="I10" s="41"/>
      <c r="J10" s="41"/>
    </row>
    <row r="11" spans="2:10" s="35" customFormat="1" ht="15">
      <c r="B11" s="96"/>
      <c r="C11" s="31" t="s">
        <v>47</v>
      </c>
      <c r="D11" s="95"/>
      <c r="E11" s="41"/>
      <c r="F11" s="41"/>
      <c r="G11" s="41"/>
      <c r="H11" s="41"/>
      <c r="I11" s="41"/>
      <c r="J11" s="41"/>
    </row>
    <row r="12" spans="2:10" s="35" customFormat="1" ht="15">
      <c r="B12" s="96"/>
      <c r="C12" s="31" t="s">
        <v>48</v>
      </c>
      <c r="D12" s="95"/>
      <c r="E12" s="41"/>
      <c r="F12" s="41"/>
      <c r="G12" s="41"/>
      <c r="H12" s="41"/>
      <c r="I12" s="41"/>
      <c r="J12" s="41"/>
    </row>
    <row r="13" spans="2:10" s="35" customFormat="1" ht="15">
      <c r="B13" s="96"/>
      <c r="C13" s="31" t="s">
        <v>49</v>
      </c>
      <c r="D13" s="95"/>
      <c r="E13" s="41"/>
      <c r="F13" s="41"/>
      <c r="G13" s="41"/>
      <c r="H13" s="41"/>
      <c r="I13" s="41"/>
      <c r="J13" s="41"/>
    </row>
    <row r="14" spans="2:10" s="35" customFormat="1" ht="15">
      <c r="B14" s="96"/>
      <c r="C14" s="97"/>
      <c r="D14" s="95"/>
      <c r="E14" s="41"/>
      <c r="F14" s="41"/>
      <c r="G14" s="41"/>
      <c r="H14" s="41"/>
      <c r="I14" s="41"/>
      <c r="J14" s="41"/>
    </row>
    <row r="15" spans="2:10" s="35" customFormat="1" ht="15">
      <c r="B15" s="94" t="s">
        <v>50</v>
      </c>
      <c r="C15" s="98" t="s">
        <v>51</v>
      </c>
      <c r="D15" s="95"/>
      <c r="E15" s="41"/>
      <c r="F15" s="41"/>
      <c r="G15" s="41"/>
      <c r="H15" s="41"/>
      <c r="I15" s="41"/>
      <c r="J15" s="41"/>
    </row>
    <row r="16" spans="2:10" s="35" customFormat="1" ht="15">
      <c r="B16" s="96"/>
      <c r="C16" s="31" t="s">
        <v>47</v>
      </c>
      <c r="D16" s="95"/>
      <c r="E16" s="41"/>
      <c r="F16" s="41"/>
      <c r="G16" s="41"/>
      <c r="H16" s="41"/>
      <c r="I16" s="41"/>
      <c r="J16" s="41"/>
    </row>
    <row r="17" spans="2:10">
      <c r="B17" s="96"/>
      <c r="C17" s="31" t="s">
        <v>48</v>
      </c>
      <c r="D17" s="95"/>
      <c r="E17" s="29"/>
      <c r="F17" s="29"/>
      <c r="G17" s="29"/>
      <c r="H17" s="29"/>
      <c r="I17" s="29"/>
      <c r="J17" s="29"/>
    </row>
    <row r="18" spans="2:10">
      <c r="B18" s="99"/>
      <c r="C18" s="31" t="s">
        <v>52</v>
      </c>
      <c r="D18" s="95"/>
      <c r="E18" s="29"/>
      <c r="F18" s="29"/>
      <c r="G18" s="29"/>
      <c r="H18" s="29"/>
      <c r="I18" s="29"/>
      <c r="J18" s="29"/>
    </row>
    <row r="19" spans="2:10" ht="15">
      <c r="B19" s="99"/>
      <c r="C19" s="98"/>
      <c r="D19" s="95"/>
      <c r="E19" s="29"/>
      <c r="F19" s="29"/>
      <c r="G19" s="29"/>
      <c r="H19" s="29"/>
      <c r="I19" s="29"/>
      <c r="J19" s="29"/>
    </row>
    <row r="20" spans="2:10" ht="17.25" customHeight="1">
      <c r="B20" s="94">
        <v>2</v>
      </c>
      <c r="C20" s="93" t="s">
        <v>156</v>
      </c>
      <c r="D20" s="95"/>
      <c r="E20" s="29"/>
      <c r="F20" s="29"/>
      <c r="G20" s="29"/>
      <c r="H20" s="29"/>
      <c r="I20" s="29"/>
      <c r="J20" s="29"/>
    </row>
    <row r="21" spans="2:10" ht="17.25" customHeight="1">
      <c r="B21" s="94"/>
      <c r="C21" s="93" t="s">
        <v>53</v>
      </c>
      <c r="D21" s="95"/>
      <c r="E21" s="29"/>
      <c r="F21" s="29"/>
      <c r="G21" s="29"/>
      <c r="H21" s="29"/>
      <c r="I21" s="29"/>
      <c r="J21" s="29"/>
    </row>
    <row r="22" spans="2:10" ht="17.25" customHeight="1">
      <c r="B22" s="94"/>
      <c r="C22" s="93" t="s">
        <v>53</v>
      </c>
      <c r="D22" s="95"/>
      <c r="E22" s="29"/>
      <c r="F22" s="29"/>
      <c r="G22" s="29"/>
      <c r="H22" s="29"/>
      <c r="I22" s="29"/>
      <c r="J22" s="29"/>
    </row>
    <row r="23" spans="2:10" ht="15">
      <c r="B23" s="96"/>
      <c r="C23" s="98" t="s">
        <v>54</v>
      </c>
      <c r="D23" s="95"/>
      <c r="E23" s="29"/>
      <c r="F23" s="29"/>
      <c r="G23" s="29"/>
      <c r="H23" s="29"/>
      <c r="I23" s="29"/>
      <c r="J23" s="29"/>
    </row>
    <row r="25" spans="2:10" ht="15">
      <c r="B25" s="100" t="s">
        <v>43</v>
      </c>
      <c r="C25" s="101"/>
      <c r="D25" s="101"/>
      <c r="E25" s="101"/>
    </row>
    <row r="26" spans="2:10">
      <c r="B26" s="5" t="s">
        <v>202</v>
      </c>
      <c r="D26" s="102"/>
      <c r="E26" s="101"/>
    </row>
    <row r="27" spans="2:10" ht="18" customHeight="1">
      <c r="B27" s="101"/>
      <c r="E27" s="101"/>
    </row>
    <row r="28" spans="2:10">
      <c r="B28" s="101"/>
      <c r="C28" s="101"/>
      <c r="D28" s="101"/>
      <c r="E28" s="101"/>
    </row>
    <row r="29" spans="2:10">
      <c r="B29" s="101"/>
      <c r="C29" s="101"/>
      <c r="D29" s="101"/>
      <c r="E29" s="101"/>
    </row>
    <row r="30" spans="2:10">
      <c r="B30" s="101"/>
      <c r="C30" s="101"/>
      <c r="D30" s="101"/>
      <c r="E30" s="101"/>
    </row>
    <row r="31" spans="2:10">
      <c r="B31" s="101"/>
      <c r="C31" s="101"/>
      <c r="D31" s="101"/>
      <c r="E31" s="101"/>
    </row>
  </sheetData>
  <mergeCells count="6">
    <mergeCell ref="B2:J2"/>
    <mergeCell ref="B3:J3"/>
    <mergeCell ref="B4:J4"/>
    <mergeCell ref="B6:B8"/>
    <mergeCell ref="C6:C8"/>
    <mergeCell ref="F6:J6"/>
  </mergeCells>
  <pageMargins left="0.75" right="0.75" top="1" bottom="1" header="0.5" footer="0.5"/>
  <pageSetup paperSize="9" scale="8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2"/>
  <sheetViews>
    <sheetView showGridLines="0" zoomScale="80" zoomScaleNormal="80" workbookViewId="0">
      <selection activeCell="B4" sqref="B4:O4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5" width="10.7109375" style="176" customWidth="1"/>
    <col min="16" max="16" width="9.28515625" style="176"/>
    <col min="17" max="16384" width="9.28515625" style="5"/>
  </cols>
  <sheetData>
    <row r="1" spans="1:17" ht="15">
      <c r="B1" s="109"/>
    </row>
    <row r="2" spans="1:17" ht="14.25" customHeight="1">
      <c r="B2" s="313" t="s">
        <v>405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</row>
    <row r="3" spans="1:17" ht="14.25" customHeight="1">
      <c r="B3" s="313" t="s">
        <v>412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</row>
    <row r="4" spans="1:17" ht="15">
      <c r="B4" s="314" t="s">
        <v>313</v>
      </c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</row>
    <row r="5" spans="1:17" ht="15">
      <c r="B5" s="26" t="s">
        <v>232</v>
      </c>
      <c r="C5" s="179" t="s">
        <v>367</v>
      </c>
      <c r="D5" s="177"/>
      <c r="E5" s="177"/>
      <c r="F5" s="177"/>
      <c r="G5" s="177"/>
      <c r="H5" s="177"/>
      <c r="I5" s="178"/>
    </row>
    <row r="6" spans="1:17" ht="15">
      <c r="B6" s="26" t="s">
        <v>12</v>
      </c>
      <c r="C6" s="180"/>
      <c r="D6" s="180"/>
      <c r="O6" s="180" t="s">
        <v>128</v>
      </c>
    </row>
    <row r="7" spans="1:17" s="35" customFormat="1" ht="15" customHeight="1">
      <c r="B7" s="33" t="s">
        <v>314</v>
      </c>
      <c r="C7" s="161" t="s">
        <v>129</v>
      </c>
      <c r="D7" s="161" t="s">
        <v>130</v>
      </c>
      <c r="E7" s="161" t="s">
        <v>131</v>
      </c>
      <c r="F7" s="161" t="s">
        <v>132</v>
      </c>
      <c r="G7" s="161" t="s">
        <v>133</v>
      </c>
      <c r="H7" s="161" t="s">
        <v>134</v>
      </c>
      <c r="I7" s="161" t="s">
        <v>135</v>
      </c>
      <c r="J7" s="161" t="s">
        <v>136</v>
      </c>
      <c r="K7" s="161" t="s">
        <v>137</v>
      </c>
      <c r="L7" s="161" t="s">
        <v>138</v>
      </c>
      <c r="M7" s="161" t="s">
        <v>139</v>
      </c>
      <c r="N7" s="161" t="s">
        <v>140</v>
      </c>
      <c r="O7" s="161" t="s">
        <v>127</v>
      </c>
      <c r="P7" s="181"/>
    </row>
    <row r="8" spans="1:17" s="35" customFormat="1" ht="15">
      <c r="B8" s="88" t="s">
        <v>374</v>
      </c>
      <c r="C8" s="162">
        <v>34.935276352000002</v>
      </c>
      <c r="D8" s="162">
        <v>25.413396832000004</v>
      </c>
      <c r="E8" s="162">
        <v>43.864307289999999</v>
      </c>
      <c r="F8" s="162">
        <v>30.041208741999998</v>
      </c>
      <c r="G8" s="162">
        <v>338.47711133799999</v>
      </c>
      <c r="H8" s="162">
        <v>408.81085583399999</v>
      </c>
      <c r="I8" s="162">
        <v>431.57506348000004</v>
      </c>
      <c r="J8" s="162">
        <v>204.169292834</v>
      </c>
      <c r="K8" s="162">
        <v>60.741492762</v>
      </c>
      <c r="L8" s="162">
        <v>68.250250608000002</v>
      </c>
      <c r="M8" s="162">
        <v>67.442684512</v>
      </c>
      <c r="N8" s="162">
        <v>19.870571175999999</v>
      </c>
      <c r="O8" s="162">
        <f>SUM(C8:N8)</f>
        <v>1733.5915117600002</v>
      </c>
      <c r="P8" s="181"/>
    </row>
    <row r="9" spans="1:17" s="35" customFormat="1" ht="15">
      <c r="B9" s="88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81"/>
    </row>
    <row r="10" spans="1:17" s="35" customFormat="1" ht="15">
      <c r="B10" s="88" t="s">
        <v>375</v>
      </c>
      <c r="C10" s="162">
        <v>14.583187647999999</v>
      </c>
      <c r="D10" s="162">
        <v>10.608427168</v>
      </c>
      <c r="E10" s="162">
        <v>18.310472709999999</v>
      </c>
      <c r="F10" s="162">
        <v>12.540235257999999</v>
      </c>
      <c r="G10" s="162">
        <v>141.29200466199998</v>
      </c>
      <c r="H10" s="162">
        <v>170.65173216599999</v>
      </c>
      <c r="I10" s="162">
        <v>180.15429652</v>
      </c>
      <c r="J10" s="162">
        <v>85.227295166000005</v>
      </c>
      <c r="K10" s="162">
        <v>25.355591237999999</v>
      </c>
      <c r="L10" s="162">
        <v>28.490005392</v>
      </c>
      <c r="M10" s="162">
        <v>28.152899487999999</v>
      </c>
      <c r="N10" s="162">
        <v>8.2946608239999993</v>
      </c>
      <c r="O10" s="162">
        <f t="shared" ref="O10" si="0">SUM(C10:N10)</f>
        <v>723.66080823999982</v>
      </c>
      <c r="P10" s="181"/>
    </row>
    <row r="11" spans="1:17" s="35" customFormat="1" ht="15">
      <c r="B11" s="40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81"/>
    </row>
    <row r="12" spans="1:17" ht="15">
      <c r="B12" s="41" t="s">
        <v>127</v>
      </c>
      <c r="C12" s="132">
        <f>C8+C10</f>
        <v>49.518464000000002</v>
      </c>
      <c r="D12" s="132">
        <f t="shared" ref="D12:N12" si="1">D8+D10</f>
        <v>36.021824000000002</v>
      </c>
      <c r="E12" s="132">
        <f t="shared" si="1"/>
        <v>62.174779999999998</v>
      </c>
      <c r="F12" s="132">
        <f t="shared" si="1"/>
        <v>42.581443999999998</v>
      </c>
      <c r="G12" s="132">
        <f t="shared" si="1"/>
        <v>479.76911599999994</v>
      </c>
      <c r="H12" s="132">
        <f t="shared" si="1"/>
        <v>579.46258799999998</v>
      </c>
      <c r="I12" s="132">
        <f t="shared" si="1"/>
        <v>611.72936000000004</v>
      </c>
      <c r="J12" s="132">
        <f t="shared" si="1"/>
        <v>289.39658800000001</v>
      </c>
      <c r="K12" s="132">
        <f t="shared" si="1"/>
        <v>86.097083999999995</v>
      </c>
      <c r="L12" s="132">
        <f t="shared" si="1"/>
        <v>96.740256000000002</v>
      </c>
      <c r="M12" s="132">
        <f t="shared" si="1"/>
        <v>95.595584000000002</v>
      </c>
      <c r="N12" s="132">
        <f t="shared" si="1"/>
        <v>28.165231999999996</v>
      </c>
      <c r="O12" s="132">
        <f>O8+O10</f>
        <v>2457.2523200000001</v>
      </c>
    </row>
    <row r="13" spans="1:17" ht="16.5">
      <c r="B13" s="26"/>
      <c r="C13" s="177"/>
      <c r="D13" s="177"/>
      <c r="E13" s="177"/>
      <c r="F13" s="177"/>
      <c r="G13" s="177"/>
      <c r="H13" s="177"/>
      <c r="I13" s="182"/>
    </row>
    <row r="14" spans="1:17" ht="16.5">
      <c r="B14" s="26" t="s">
        <v>231</v>
      </c>
      <c r="C14" s="179" t="s">
        <v>368</v>
      </c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8"/>
      <c r="P14" s="182"/>
    </row>
    <row r="15" spans="1:17" ht="16.5">
      <c r="A15" s="5" t="s">
        <v>312</v>
      </c>
      <c r="B15" s="26" t="s">
        <v>5</v>
      </c>
      <c r="C15" s="180"/>
      <c r="D15" s="180"/>
      <c r="O15" s="180" t="s">
        <v>128</v>
      </c>
      <c r="P15" s="182"/>
    </row>
    <row r="16" spans="1:17" ht="18.75" customHeight="1">
      <c r="B16" s="277" t="s">
        <v>314</v>
      </c>
      <c r="C16" s="310" t="s">
        <v>141</v>
      </c>
      <c r="D16" s="311"/>
      <c r="E16" s="311"/>
      <c r="F16" s="311"/>
      <c r="G16" s="311"/>
      <c r="H16" s="312"/>
      <c r="I16" s="310" t="s">
        <v>5</v>
      </c>
      <c r="J16" s="311"/>
      <c r="K16" s="311"/>
      <c r="L16" s="311"/>
      <c r="M16" s="311"/>
      <c r="N16" s="312"/>
      <c r="O16" s="161" t="s">
        <v>142</v>
      </c>
      <c r="P16" s="182"/>
      <c r="Q16" s="103"/>
    </row>
    <row r="17" spans="2:16" ht="15">
      <c r="B17" s="279"/>
      <c r="C17" s="161" t="s">
        <v>129</v>
      </c>
      <c r="D17" s="161" t="s">
        <v>130</v>
      </c>
      <c r="E17" s="161" t="s">
        <v>131</v>
      </c>
      <c r="F17" s="161" t="s">
        <v>132</v>
      </c>
      <c r="G17" s="161" t="s">
        <v>133</v>
      </c>
      <c r="H17" s="161" t="s">
        <v>134</v>
      </c>
      <c r="I17" s="161" t="s">
        <v>135</v>
      </c>
      <c r="J17" s="161" t="s">
        <v>136</v>
      </c>
      <c r="K17" s="161" t="s">
        <v>137</v>
      </c>
      <c r="L17" s="161" t="s">
        <v>138</v>
      </c>
      <c r="M17" s="161" t="s">
        <v>139</v>
      </c>
      <c r="N17" s="161" t="s">
        <v>140</v>
      </c>
      <c r="O17" s="128"/>
    </row>
    <row r="18" spans="2:16" s="35" customFormat="1" ht="15">
      <c r="B18" s="88" t="s">
        <v>374</v>
      </c>
      <c r="C18" s="162">
        <v>20.933739922000001</v>
      </c>
      <c r="D18" s="162">
        <v>35.423363827999999</v>
      </c>
      <c r="E18" s="162">
        <v>33.469171158000002</v>
      </c>
      <c r="F18" s="183">
        <v>36.894830822000003</v>
      </c>
      <c r="G18" s="162">
        <v>35.150851754000001</v>
      </c>
      <c r="H18" s="162">
        <v>30.914691114</v>
      </c>
      <c r="I18" s="162">
        <f>38.27*0.7055</f>
        <v>26.999485000000004</v>
      </c>
      <c r="J18" s="162">
        <f>27.355628*0.7055</f>
        <v>19.299395554</v>
      </c>
      <c r="K18" s="162">
        <f>60.41*0.7055</f>
        <v>42.619254999999995</v>
      </c>
      <c r="L18" s="162">
        <f>72.882337*0.7055</f>
        <v>51.418488753500007</v>
      </c>
      <c r="M18" s="162">
        <f>37.213963*0.7055</f>
        <v>26.2544508965</v>
      </c>
      <c r="N18" s="162">
        <f>19.64378*0.7055</f>
        <v>13.85868679</v>
      </c>
      <c r="O18" s="162">
        <f>SUM(C18:N18)</f>
        <v>373.23641059199997</v>
      </c>
      <c r="P18" s="181"/>
    </row>
    <row r="19" spans="2:16" s="35" customFormat="1" ht="15">
      <c r="B19" s="88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81"/>
    </row>
    <row r="20" spans="2:16" s="35" customFormat="1" ht="15">
      <c r="B20" s="88" t="s">
        <v>375</v>
      </c>
      <c r="C20" s="162">
        <v>8.7384640779999998</v>
      </c>
      <c r="D20" s="162">
        <v>14.786932171999998</v>
      </c>
      <c r="E20" s="162">
        <v>13.971184842</v>
      </c>
      <c r="F20" s="162">
        <v>15.401173178000001</v>
      </c>
      <c r="G20" s="162">
        <v>14.673176245999999</v>
      </c>
      <c r="H20" s="162">
        <v>12.904856885999999</v>
      </c>
      <c r="I20" s="162">
        <f>38.27*0.2945</f>
        <v>11.270515</v>
      </c>
      <c r="J20" s="162">
        <f>27.355628*0.2945</f>
        <v>8.0562324459999992</v>
      </c>
      <c r="K20" s="162">
        <f>60.41*0.2945</f>
        <v>17.790744999999998</v>
      </c>
      <c r="L20" s="162">
        <f>72.882337*0.2945</f>
        <v>21.4638482465</v>
      </c>
      <c r="M20" s="162">
        <f>37.213963*0.2945</f>
        <v>10.9595121035</v>
      </c>
      <c r="N20" s="162">
        <f>19.64378*0.2945</f>
        <v>5.7850932099999994</v>
      </c>
      <c r="O20" s="162">
        <f>SUM(C20:N20)</f>
        <v>155.80173340800002</v>
      </c>
      <c r="P20" s="181"/>
    </row>
    <row r="21" spans="2:16" s="35" customFormat="1" ht="15">
      <c r="B21" s="40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81"/>
    </row>
    <row r="22" spans="2:16" ht="15">
      <c r="B22" s="41" t="s">
        <v>127</v>
      </c>
      <c r="C22" s="132">
        <f>C18+C20</f>
        <v>29.672204000000001</v>
      </c>
      <c r="D22" s="132">
        <f t="shared" ref="D22:O22" si="2">D18+D20</f>
        <v>50.210296</v>
      </c>
      <c r="E22" s="132">
        <f t="shared" si="2"/>
        <v>47.440356000000001</v>
      </c>
      <c r="F22" s="132">
        <f t="shared" si="2"/>
        <v>52.296004000000003</v>
      </c>
      <c r="G22" s="132">
        <f t="shared" si="2"/>
        <v>49.824027999999998</v>
      </c>
      <c r="H22" s="132">
        <f t="shared" si="2"/>
        <v>43.819547999999998</v>
      </c>
      <c r="I22" s="132">
        <f t="shared" si="2"/>
        <v>38.270000000000003</v>
      </c>
      <c r="J22" s="132">
        <f t="shared" si="2"/>
        <v>27.355627999999999</v>
      </c>
      <c r="K22" s="132">
        <f t="shared" si="2"/>
        <v>60.41</v>
      </c>
      <c r="L22" s="132">
        <f t="shared" si="2"/>
        <v>72.882337000000007</v>
      </c>
      <c r="M22" s="132">
        <f t="shared" si="2"/>
        <v>37.213963</v>
      </c>
      <c r="N22" s="132">
        <f t="shared" si="2"/>
        <v>19.64378</v>
      </c>
      <c r="O22" s="132">
        <f t="shared" si="2"/>
        <v>529.03814399999999</v>
      </c>
    </row>
    <row r="24" spans="2:16" ht="16.5">
      <c r="B24" s="26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  <c r="O24" s="178"/>
      <c r="P24" s="182"/>
    </row>
    <row r="25" spans="2:16" ht="15">
      <c r="B25" s="26" t="s">
        <v>318</v>
      </c>
      <c r="C25" s="179" t="s">
        <v>369</v>
      </c>
      <c r="D25" s="177"/>
      <c r="E25" s="177"/>
      <c r="F25" s="177"/>
      <c r="G25" s="177"/>
      <c r="H25" s="177"/>
      <c r="I25" s="178"/>
    </row>
    <row r="26" spans="2:16" ht="15">
      <c r="B26" s="26" t="s">
        <v>8</v>
      </c>
      <c r="C26" s="180"/>
      <c r="D26" s="180"/>
      <c r="O26" s="180" t="s">
        <v>128</v>
      </c>
    </row>
    <row r="27" spans="2:16" ht="15">
      <c r="B27" s="33" t="s">
        <v>314</v>
      </c>
      <c r="C27" s="161" t="s">
        <v>129</v>
      </c>
      <c r="D27" s="161" t="s">
        <v>130</v>
      </c>
      <c r="E27" s="161" t="s">
        <v>131</v>
      </c>
      <c r="F27" s="161" t="s">
        <v>132</v>
      </c>
      <c r="G27" s="161" t="s">
        <v>133</v>
      </c>
      <c r="H27" s="161" t="s">
        <v>134</v>
      </c>
      <c r="I27" s="161" t="s">
        <v>135</v>
      </c>
      <c r="J27" s="161" t="s">
        <v>136</v>
      </c>
      <c r="K27" s="161" t="s">
        <v>137</v>
      </c>
      <c r="L27" s="161" t="s">
        <v>138</v>
      </c>
      <c r="M27" s="161" t="s">
        <v>139</v>
      </c>
      <c r="N27" s="161" t="s">
        <v>140</v>
      </c>
      <c r="O27" s="161" t="s">
        <v>127</v>
      </c>
    </row>
    <row r="28" spans="2:16" ht="15">
      <c r="B28" s="88" t="s">
        <v>374</v>
      </c>
      <c r="C28" s="162">
        <v>11.718355000000001</v>
      </c>
      <c r="D28" s="162">
        <v>7.4994650000000007</v>
      </c>
      <c r="E28" s="162">
        <v>11.683079999999999</v>
      </c>
      <c r="F28" s="162">
        <v>22.66066</v>
      </c>
      <c r="G28" s="162">
        <v>148.105615</v>
      </c>
      <c r="H28" s="162">
        <v>175.77532500000001</v>
      </c>
      <c r="I28" s="162">
        <v>162.159175</v>
      </c>
      <c r="J28" s="162">
        <v>71.079125000000005</v>
      </c>
      <c r="K28" s="162">
        <v>29.299415</v>
      </c>
      <c r="L28" s="162">
        <v>32.149635000000004</v>
      </c>
      <c r="M28" s="162">
        <v>26.491524999999999</v>
      </c>
      <c r="N28" s="162">
        <v>24.339750000000002</v>
      </c>
      <c r="O28" s="162">
        <f>SUM(C28:N28)</f>
        <v>722.96112499999992</v>
      </c>
    </row>
    <row r="29" spans="2:16" ht="15">
      <c r="B29" s="88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</row>
    <row r="30" spans="2:16" ht="15">
      <c r="B30" s="88" t="s">
        <v>375</v>
      </c>
      <c r="C30" s="162">
        <v>4.8916449999999996</v>
      </c>
      <c r="D30" s="162">
        <v>3.1305350000000001</v>
      </c>
      <c r="E30" s="162">
        <v>4.8769199999999993</v>
      </c>
      <c r="F30" s="162">
        <v>9.4593399999999992</v>
      </c>
      <c r="G30" s="162">
        <v>61.824384999999999</v>
      </c>
      <c r="H30" s="162">
        <v>73.374674999999996</v>
      </c>
      <c r="I30" s="162">
        <v>67.69082499999999</v>
      </c>
      <c r="J30" s="162">
        <v>29.670874999999999</v>
      </c>
      <c r="K30" s="162">
        <v>12.230585</v>
      </c>
      <c r="L30" s="162">
        <v>13.420364999999999</v>
      </c>
      <c r="M30" s="162">
        <v>11.058474999999998</v>
      </c>
      <c r="N30" s="162">
        <v>10.16025</v>
      </c>
      <c r="O30" s="162">
        <f t="shared" ref="O30" si="3">SUM(C30:N30)</f>
        <v>301.78887500000002</v>
      </c>
    </row>
    <row r="31" spans="2:16" ht="15">
      <c r="B31" s="40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</row>
    <row r="32" spans="2:16" ht="15">
      <c r="B32" s="41" t="s">
        <v>127</v>
      </c>
      <c r="C32" s="132">
        <f>C28+C30</f>
        <v>16.61</v>
      </c>
      <c r="D32" s="132">
        <f t="shared" ref="D32:O32" si="4">D28+D30</f>
        <v>10.63</v>
      </c>
      <c r="E32" s="132">
        <f t="shared" si="4"/>
        <v>16.559999999999999</v>
      </c>
      <c r="F32" s="132">
        <f t="shared" si="4"/>
        <v>32.119999999999997</v>
      </c>
      <c r="G32" s="132">
        <f t="shared" si="4"/>
        <v>209.93</v>
      </c>
      <c r="H32" s="132">
        <f t="shared" si="4"/>
        <v>249.15</v>
      </c>
      <c r="I32" s="132">
        <f t="shared" si="4"/>
        <v>229.85</v>
      </c>
      <c r="J32" s="132">
        <f t="shared" si="4"/>
        <v>100.75</v>
      </c>
      <c r="K32" s="132">
        <f t="shared" si="4"/>
        <v>41.53</v>
      </c>
      <c r="L32" s="132">
        <f t="shared" si="4"/>
        <v>45.57</v>
      </c>
      <c r="M32" s="132">
        <f t="shared" si="4"/>
        <v>37.549999999999997</v>
      </c>
      <c r="N32" s="132">
        <f t="shared" si="4"/>
        <v>34.5</v>
      </c>
      <c r="O32" s="132">
        <f t="shared" si="4"/>
        <v>1024.75</v>
      </c>
    </row>
    <row r="35" spans="2:15" ht="15">
      <c r="B35" s="26" t="s">
        <v>319</v>
      </c>
      <c r="C35" s="179" t="s">
        <v>370</v>
      </c>
      <c r="D35" s="177"/>
      <c r="E35" s="177"/>
      <c r="F35" s="177"/>
      <c r="G35" s="177"/>
      <c r="H35" s="177"/>
      <c r="I35" s="178"/>
    </row>
    <row r="36" spans="2:15" ht="15">
      <c r="B36" s="26" t="s">
        <v>8</v>
      </c>
      <c r="C36" s="180"/>
      <c r="D36" s="180"/>
      <c r="O36" s="180" t="s">
        <v>128</v>
      </c>
    </row>
    <row r="37" spans="2:15" ht="15">
      <c r="B37" s="33" t="s">
        <v>314</v>
      </c>
      <c r="C37" s="161" t="s">
        <v>129</v>
      </c>
      <c r="D37" s="161" t="s">
        <v>130</v>
      </c>
      <c r="E37" s="161" t="s">
        <v>131</v>
      </c>
      <c r="F37" s="161" t="s">
        <v>132</v>
      </c>
      <c r="G37" s="161" t="s">
        <v>133</v>
      </c>
      <c r="H37" s="161" t="s">
        <v>134</v>
      </c>
      <c r="I37" s="161" t="s">
        <v>135</v>
      </c>
      <c r="J37" s="161" t="s">
        <v>136</v>
      </c>
      <c r="K37" s="161" t="s">
        <v>137</v>
      </c>
      <c r="L37" s="161" t="s">
        <v>138</v>
      </c>
      <c r="M37" s="161" t="s">
        <v>139</v>
      </c>
      <c r="N37" s="161" t="s">
        <v>140</v>
      </c>
      <c r="O37" s="161" t="s">
        <v>127</v>
      </c>
    </row>
    <row r="38" spans="2:15" ht="15">
      <c r="B38" s="88" t="s">
        <v>374</v>
      </c>
      <c r="C38" s="162">
        <v>12.423855</v>
      </c>
      <c r="D38" s="162">
        <v>8.2049650000000014</v>
      </c>
      <c r="E38" s="162">
        <v>12.388579999999999</v>
      </c>
      <c r="F38" s="162">
        <v>22.66066</v>
      </c>
      <c r="G38" s="162">
        <v>150.927615</v>
      </c>
      <c r="H38" s="162">
        <v>163.781825</v>
      </c>
      <c r="I38" s="162">
        <v>160.042675</v>
      </c>
      <c r="J38" s="162">
        <v>71.079125000000005</v>
      </c>
      <c r="K38" s="162">
        <v>30.689250000000001</v>
      </c>
      <c r="L38" s="162">
        <v>34.971634999999999</v>
      </c>
      <c r="M38" s="162">
        <v>27.902524999999997</v>
      </c>
      <c r="N38" s="162">
        <v>25.045249999999999</v>
      </c>
      <c r="O38" s="162">
        <f>SUM(C38:N38)</f>
        <v>720.11796000000004</v>
      </c>
    </row>
    <row r="39" spans="2:15" ht="15">
      <c r="B39" s="88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</row>
    <row r="40" spans="2:15" ht="15">
      <c r="B40" s="88" t="s">
        <v>375</v>
      </c>
      <c r="C40" s="162">
        <v>5.1861449999999998</v>
      </c>
      <c r="D40" s="162">
        <v>3.4250349999999998</v>
      </c>
      <c r="E40" s="162">
        <v>5.1714199999999995</v>
      </c>
      <c r="F40" s="162">
        <v>9.4593399999999992</v>
      </c>
      <c r="G40" s="162">
        <v>63.002384999999997</v>
      </c>
      <c r="H40" s="162">
        <v>68.368174999999994</v>
      </c>
      <c r="I40" s="162">
        <v>66.807324999999992</v>
      </c>
      <c r="J40" s="162">
        <v>29.670874999999999</v>
      </c>
      <c r="K40" s="162">
        <v>12.810749999999999</v>
      </c>
      <c r="L40" s="162">
        <v>14.598364999999999</v>
      </c>
      <c r="M40" s="162">
        <v>11.647474999999998</v>
      </c>
      <c r="N40" s="162">
        <v>10.454749999999999</v>
      </c>
      <c r="O40" s="162">
        <f t="shared" ref="O40" si="5">SUM(C40:N40)</f>
        <v>300.60203999999999</v>
      </c>
    </row>
    <row r="41" spans="2:15" ht="15">
      <c r="B41" s="40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</row>
    <row r="42" spans="2:15" ht="15">
      <c r="B42" s="41" t="s">
        <v>127</v>
      </c>
      <c r="C42" s="132">
        <f>C38+C40</f>
        <v>17.61</v>
      </c>
      <c r="D42" s="132">
        <f t="shared" ref="D42:N42" si="6">D38+D40</f>
        <v>11.63</v>
      </c>
      <c r="E42" s="132">
        <f t="shared" si="6"/>
        <v>17.559999999999999</v>
      </c>
      <c r="F42" s="132">
        <f t="shared" si="6"/>
        <v>32.119999999999997</v>
      </c>
      <c r="G42" s="132">
        <f t="shared" si="6"/>
        <v>213.93</v>
      </c>
      <c r="H42" s="132">
        <f t="shared" si="6"/>
        <v>232.14999999999998</v>
      </c>
      <c r="I42" s="132">
        <f t="shared" si="6"/>
        <v>226.85</v>
      </c>
      <c r="J42" s="132">
        <f t="shared" si="6"/>
        <v>100.75</v>
      </c>
      <c r="K42" s="132">
        <f t="shared" si="6"/>
        <v>43.5</v>
      </c>
      <c r="L42" s="132">
        <f t="shared" si="6"/>
        <v>49.57</v>
      </c>
      <c r="M42" s="132">
        <f t="shared" si="6"/>
        <v>39.549999999999997</v>
      </c>
      <c r="N42" s="132">
        <f t="shared" si="6"/>
        <v>35.5</v>
      </c>
      <c r="O42" s="132">
        <f>O38+O40</f>
        <v>1020.72</v>
      </c>
    </row>
    <row r="45" spans="2:15" ht="15">
      <c r="B45" s="26" t="s">
        <v>320</v>
      </c>
      <c r="C45" s="179" t="s">
        <v>371</v>
      </c>
      <c r="D45" s="177"/>
      <c r="E45" s="177"/>
      <c r="F45" s="177"/>
      <c r="G45" s="177"/>
      <c r="H45" s="177"/>
      <c r="I45" s="178"/>
    </row>
    <row r="46" spans="2:15" ht="15">
      <c r="B46" s="26" t="s">
        <v>8</v>
      </c>
      <c r="C46" s="180"/>
      <c r="D46" s="180"/>
      <c r="O46" s="180" t="s">
        <v>128</v>
      </c>
    </row>
    <row r="47" spans="2:15" ht="15">
      <c r="B47" s="33" t="s">
        <v>314</v>
      </c>
      <c r="C47" s="161" t="s">
        <v>129</v>
      </c>
      <c r="D47" s="161" t="s">
        <v>130</v>
      </c>
      <c r="E47" s="161" t="s">
        <v>131</v>
      </c>
      <c r="F47" s="161" t="s">
        <v>132</v>
      </c>
      <c r="G47" s="161" t="s">
        <v>133</v>
      </c>
      <c r="H47" s="161" t="s">
        <v>134</v>
      </c>
      <c r="I47" s="161" t="s">
        <v>135</v>
      </c>
      <c r="J47" s="161" t="s">
        <v>136</v>
      </c>
      <c r="K47" s="161" t="s">
        <v>137</v>
      </c>
      <c r="L47" s="161" t="s">
        <v>138</v>
      </c>
      <c r="M47" s="161" t="s">
        <v>139</v>
      </c>
      <c r="N47" s="161" t="s">
        <v>140</v>
      </c>
      <c r="O47" s="161" t="s">
        <v>127</v>
      </c>
    </row>
    <row r="48" spans="2:15" ht="15">
      <c r="B48" s="88" t="s">
        <v>374</v>
      </c>
      <c r="C48" s="162">
        <v>12.423855</v>
      </c>
      <c r="D48" s="162">
        <v>8.9104650000000003</v>
      </c>
      <c r="E48" s="162">
        <v>13.09408</v>
      </c>
      <c r="F48" s="162">
        <v>24.777159999999999</v>
      </c>
      <c r="G48" s="162">
        <v>165.03761500000002</v>
      </c>
      <c r="H48" s="162">
        <v>179.30282500000001</v>
      </c>
      <c r="I48" s="162">
        <v>175.56367499999999</v>
      </c>
      <c r="J48" s="162">
        <v>76.017624999999995</v>
      </c>
      <c r="K48" s="162">
        <v>31.415915000000002</v>
      </c>
      <c r="L48" s="162">
        <v>38.499135000000003</v>
      </c>
      <c r="M48" s="162">
        <v>29.313524999999998</v>
      </c>
      <c r="N48" s="162">
        <v>27.161750000000001</v>
      </c>
      <c r="O48" s="162">
        <f>SUM(C48:N48)</f>
        <v>781.51762500000007</v>
      </c>
    </row>
    <row r="49" spans="2:15" ht="15">
      <c r="B49" s="88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2:15" ht="15">
      <c r="B50" s="88" t="s">
        <v>375</v>
      </c>
      <c r="C50" s="162">
        <v>5.1861449999999998</v>
      </c>
      <c r="D50" s="162">
        <v>3.719535</v>
      </c>
      <c r="E50" s="162">
        <v>5.4659199999999997</v>
      </c>
      <c r="F50" s="162">
        <v>10.342839999999999</v>
      </c>
      <c r="G50" s="162">
        <v>68.892385000000004</v>
      </c>
      <c r="H50" s="162">
        <v>74.847174999999993</v>
      </c>
      <c r="I50" s="162">
        <v>73.286324999999991</v>
      </c>
      <c r="J50" s="162">
        <v>31.732374999999998</v>
      </c>
      <c r="K50" s="162">
        <v>13.114084999999999</v>
      </c>
      <c r="L50" s="162">
        <v>16.070864999999998</v>
      </c>
      <c r="M50" s="162">
        <v>12.236474999999999</v>
      </c>
      <c r="N50" s="162">
        <v>11.338249999999999</v>
      </c>
      <c r="O50" s="162">
        <f t="shared" ref="O50" si="7">SUM(C50:N50)</f>
        <v>326.23237499999999</v>
      </c>
    </row>
    <row r="51" spans="2:15" ht="15">
      <c r="B51" s="40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2:15" ht="15">
      <c r="B52" s="41" t="s">
        <v>127</v>
      </c>
      <c r="C52" s="132">
        <f>C48+C50</f>
        <v>17.61</v>
      </c>
      <c r="D52" s="132">
        <f t="shared" ref="D52:N52" si="8">D48+D50</f>
        <v>12.63</v>
      </c>
      <c r="E52" s="132">
        <f t="shared" si="8"/>
        <v>18.559999999999999</v>
      </c>
      <c r="F52" s="132">
        <f t="shared" si="8"/>
        <v>35.119999999999997</v>
      </c>
      <c r="G52" s="132">
        <f t="shared" si="8"/>
        <v>233.93</v>
      </c>
      <c r="H52" s="132">
        <f t="shared" si="8"/>
        <v>254.15</v>
      </c>
      <c r="I52" s="132">
        <f t="shared" si="8"/>
        <v>248.84999999999997</v>
      </c>
      <c r="J52" s="132">
        <f t="shared" si="8"/>
        <v>107.75</v>
      </c>
      <c r="K52" s="132">
        <f t="shared" si="8"/>
        <v>44.53</v>
      </c>
      <c r="L52" s="132">
        <f t="shared" si="8"/>
        <v>54.57</v>
      </c>
      <c r="M52" s="132">
        <f t="shared" si="8"/>
        <v>41.55</v>
      </c>
      <c r="N52" s="132">
        <f t="shared" si="8"/>
        <v>38.5</v>
      </c>
      <c r="O52" s="132">
        <f>O48+O50</f>
        <v>1107.75</v>
      </c>
    </row>
    <row r="55" spans="2:15" ht="15">
      <c r="B55" s="26" t="s">
        <v>321</v>
      </c>
      <c r="C55" s="179" t="s">
        <v>372</v>
      </c>
      <c r="D55" s="177"/>
      <c r="E55" s="177"/>
      <c r="F55" s="177"/>
      <c r="G55" s="177"/>
      <c r="H55" s="177"/>
      <c r="I55" s="178"/>
    </row>
    <row r="56" spans="2:15" ht="15">
      <c r="B56" s="26" t="s">
        <v>8</v>
      </c>
      <c r="C56" s="180"/>
      <c r="D56" s="180"/>
      <c r="O56" s="180" t="s">
        <v>128</v>
      </c>
    </row>
    <row r="57" spans="2:15" ht="15">
      <c r="B57" s="33" t="s">
        <v>314</v>
      </c>
      <c r="C57" s="161" t="s">
        <v>129</v>
      </c>
      <c r="D57" s="161" t="s">
        <v>130</v>
      </c>
      <c r="E57" s="161" t="s">
        <v>131</v>
      </c>
      <c r="F57" s="161" t="s">
        <v>132</v>
      </c>
      <c r="G57" s="161" t="s">
        <v>133</v>
      </c>
      <c r="H57" s="161" t="s">
        <v>134</v>
      </c>
      <c r="I57" s="161" t="s">
        <v>135</v>
      </c>
      <c r="J57" s="161" t="s">
        <v>136</v>
      </c>
      <c r="K57" s="161" t="s">
        <v>137</v>
      </c>
      <c r="L57" s="161" t="s">
        <v>138</v>
      </c>
      <c r="M57" s="161" t="s">
        <v>139</v>
      </c>
      <c r="N57" s="161" t="s">
        <v>140</v>
      </c>
      <c r="O57" s="161" t="s">
        <v>127</v>
      </c>
    </row>
    <row r="58" spans="2:15" ht="15">
      <c r="B58" s="88" t="s">
        <v>374</v>
      </c>
      <c r="C58" s="162">
        <v>13.834854999999999</v>
      </c>
      <c r="D58" s="162">
        <v>9.615965000000001</v>
      </c>
      <c r="E58" s="162">
        <v>13.799579999999999</v>
      </c>
      <c r="F58" s="162">
        <v>27.599159999999998</v>
      </c>
      <c r="G58" s="162">
        <v>173.503615</v>
      </c>
      <c r="H58" s="162">
        <v>196.234825</v>
      </c>
      <c r="I58" s="162">
        <v>191.79017500000003</v>
      </c>
      <c r="J58" s="162">
        <v>83.072625000000002</v>
      </c>
      <c r="K58" s="162">
        <v>33.532415</v>
      </c>
      <c r="L58" s="162">
        <v>39.204635000000003</v>
      </c>
      <c r="M58" s="162">
        <v>31.430024999999997</v>
      </c>
      <c r="N58" s="162">
        <v>28.572749999999999</v>
      </c>
      <c r="O58" s="162">
        <f>SUM(C58:N58)</f>
        <v>842.19062500000018</v>
      </c>
    </row>
    <row r="59" spans="2:15" ht="15">
      <c r="B59" s="88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</row>
    <row r="60" spans="2:15" ht="15">
      <c r="B60" s="88" t="s">
        <v>375</v>
      </c>
      <c r="C60" s="162">
        <v>5.7751449999999993</v>
      </c>
      <c r="D60" s="162">
        <v>4.0140349999999998</v>
      </c>
      <c r="E60" s="162">
        <v>5.760419999999999</v>
      </c>
      <c r="F60" s="162">
        <v>11.520839999999998</v>
      </c>
      <c r="G60" s="162">
        <v>72.426384999999996</v>
      </c>
      <c r="H60" s="162">
        <v>81.915174999999991</v>
      </c>
      <c r="I60" s="162">
        <v>80.059825000000004</v>
      </c>
      <c r="J60" s="162">
        <v>34.677374999999998</v>
      </c>
      <c r="K60" s="162">
        <v>13.997584999999999</v>
      </c>
      <c r="L60" s="162">
        <v>16.365365000000001</v>
      </c>
      <c r="M60" s="162">
        <v>13.119974999999998</v>
      </c>
      <c r="N60" s="162">
        <v>11.927249999999999</v>
      </c>
      <c r="O60" s="162">
        <f t="shared" ref="O60" si="9">SUM(C60:N60)</f>
        <v>351.55937499999999</v>
      </c>
    </row>
    <row r="61" spans="2:15" ht="15">
      <c r="B61" s="40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</row>
    <row r="62" spans="2:15" ht="15">
      <c r="B62" s="41" t="s">
        <v>127</v>
      </c>
      <c r="C62" s="132">
        <f>C58+C60</f>
        <v>19.61</v>
      </c>
      <c r="D62" s="132">
        <f t="shared" ref="D62:N62" si="10">D58+D60</f>
        <v>13.63</v>
      </c>
      <c r="E62" s="132">
        <f t="shared" si="10"/>
        <v>19.559999999999999</v>
      </c>
      <c r="F62" s="132">
        <f t="shared" si="10"/>
        <v>39.119999999999997</v>
      </c>
      <c r="G62" s="132">
        <f t="shared" si="10"/>
        <v>245.93</v>
      </c>
      <c r="H62" s="132">
        <f t="shared" si="10"/>
        <v>278.14999999999998</v>
      </c>
      <c r="I62" s="132">
        <f t="shared" si="10"/>
        <v>271.85000000000002</v>
      </c>
      <c r="J62" s="132">
        <f t="shared" si="10"/>
        <v>117.75</v>
      </c>
      <c r="K62" s="132">
        <f t="shared" si="10"/>
        <v>47.53</v>
      </c>
      <c r="L62" s="132">
        <f t="shared" si="10"/>
        <v>55.570000000000007</v>
      </c>
      <c r="M62" s="132">
        <f t="shared" si="10"/>
        <v>44.55</v>
      </c>
      <c r="N62" s="132">
        <f t="shared" si="10"/>
        <v>40.5</v>
      </c>
      <c r="O62" s="132">
        <f>O58+O60</f>
        <v>1193.7500000000002</v>
      </c>
    </row>
    <row r="65" spans="2:15" ht="15">
      <c r="B65" s="26" t="s">
        <v>322</v>
      </c>
      <c r="C65" s="179" t="s">
        <v>373</v>
      </c>
      <c r="D65" s="177"/>
      <c r="E65" s="177"/>
      <c r="F65" s="177"/>
      <c r="G65" s="177"/>
      <c r="H65" s="177"/>
      <c r="I65" s="178"/>
    </row>
    <row r="66" spans="2:15" ht="15">
      <c r="B66" s="26" t="s">
        <v>8</v>
      </c>
      <c r="C66" s="180"/>
      <c r="D66" s="180"/>
      <c r="O66" s="180" t="s">
        <v>128</v>
      </c>
    </row>
    <row r="67" spans="2:15" ht="15">
      <c r="B67" s="33" t="s">
        <v>314</v>
      </c>
      <c r="C67" s="161" t="s">
        <v>129</v>
      </c>
      <c r="D67" s="161" t="s">
        <v>130</v>
      </c>
      <c r="E67" s="161" t="s">
        <v>131</v>
      </c>
      <c r="F67" s="161" t="s">
        <v>132</v>
      </c>
      <c r="G67" s="161" t="s">
        <v>133</v>
      </c>
      <c r="H67" s="161" t="s">
        <v>134</v>
      </c>
      <c r="I67" s="161" t="s">
        <v>135</v>
      </c>
      <c r="J67" s="161" t="s">
        <v>136</v>
      </c>
      <c r="K67" s="161" t="s">
        <v>137</v>
      </c>
      <c r="L67" s="161" t="s">
        <v>138</v>
      </c>
      <c r="M67" s="161" t="s">
        <v>139</v>
      </c>
      <c r="N67" s="161" t="s">
        <v>140</v>
      </c>
      <c r="O67" s="161" t="s">
        <v>127</v>
      </c>
    </row>
    <row r="68" spans="2:15" ht="15">
      <c r="B68" s="88" t="s">
        <v>374</v>
      </c>
      <c r="C68" s="162">
        <v>13.834854999999999</v>
      </c>
      <c r="D68" s="162">
        <v>9.615965000000001</v>
      </c>
      <c r="E68" s="162">
        <v>15.21058</v>
      </c>
      <c r="F68" s="162">
        <v>30.42116</v>
      </c>
      <c r="G68" s="162">
        <v>190.41444999999999</v>
      </c>
      <c r="H68" s="162">
        <v>215.26215999999999</v>
      </c>
      <c r="I68" s="162">
        <v>210.13317500000002</v>
      </c>
      <c r="J68" s="162">
        <v>90.127625000000009</v>
      </c>
      <c r="K68" s="162">
        <v>32.121414999999999</v>
      </c>
      <c r="L68" s="162">
        <v>41.321134999999998</v>
      </c>
      <c r="M68" s="162">
        <v>32.841025000000002</v>
      </c>
      <c r="N68" s="162">
        <v>29.27825</v>
      </c>
      <c r="O68" s="162">
        <f>SUM(C68:N68)</f>
        <v>910.58179499999994</v>
      </c>
    </row>
    <row r="69" spans="2:15" ht="15">
      <c r="B69" s="88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</row>
    <row r="70" spans="2:15" ht="15">
      <c r="B70" s="88" t="s">
        <v>375</v>
      </c>
      <c r="C70" s="162">
        <v>5.7751449999999993</v>
      </c>
      <c r="D70" s="162">
        <v>4.0140349999999998</v>
      </c>
      <c r="E70" s="162">
        <v>6.3494199999999994</v>
      </c>
      <c r="F70" s="162">
        <v>12.698839999999999</v>
      </c>
      <c r="G70" s="162">
        <v>79.485549999999989</v>
      </c>
      <c r="H70" s="162">
        <v>89.857839999999996</v>
      </c>
      <c r="I70" s="162">
        <v>87.716825</v>
      </c>
      <c r="J70" s="162">
        <v>37.622374999999998</v>
      </c>
      <c r="K70" s="162">
        <v>13.408585</v>
      </c>
      <c r="L70" s="162">
        <v>17.248864999999999</v>
      </c>
      <c r="M70" s="162">
        <v>13.708974999999999</v>
      </c>
      <c r="N70" s="162">
        <v>12.22175</v>
      </c>
      <c r="O70" s="162">
        <f t="shared" ref="O70" si="11">SUM(C70:N70)</f>
        <v>380.108205</v>
      </c>
    </row>
    <row r="71" spans="2:15" ht="15">
      <c r="B71" s="40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</row>
    <row r="72" spans="2:15" ht="15">
      <c r="B72" s="41" t="s">
        <v>127</v>
      </c>
      <c r="C72" s="132">
        <f>C68+C70</f>
        <v>19.61</v>
      </c>
      <c r="D72" s="132">
        <f t="shared" ref="D72:N72" si="12">D68+D70</f>
        <v>13.63</v>
      </c>
      <c r="E72" s="132">
        <f t="shared" si="12"/>
        <v>21.56</v>
      </c>
      <c r="F72" s="132">
        <f t="shared" si="12"/>
        <v>43.12</v>
      </c>
      <c r="G72" s="132">
        <f t="shared" si="12"/>
        <v>269.89999999999998</v>
      </c>
      <c r="H72" s="132">
        <f t="shared" si="12"/>
        <v>305.12</v>
      </c>
      <c r="I72" s="132">
        <f t="shared" si="12"/>
        <v>297.85000000000002</v>
      </c>
      <c r="J72" s="132">
        <f t="shared" si="12"/>
        <v>127.75</v>
      </c>
      <c r="K72" s="132">
        <f t="shared" si="12"/>
        <v>45.53</v>
      </c>
      <c r="L72" s="132">
        <f t="shared" si="12"/>
        <v>58.569999999999993</v>
      </c>
      <c r="M72" s="132">
        <f t="shared" si="12"/>
        <v>46.55</v>
      </c>
      <c r="N72" s="132">
        <f t="shared" si="12"/>
        <v>41.5</v>
      </c>
      <c r="O72" s="132">
        <f>O68+O70</f>
        <v>1290.69</v>
      </c>
    </row>
  </sheetData>
  <mergeCells count="6">
    <mergeCell ref="B16:B17"/>
    <mergeCell ref="I16:N16"/>
    <mergeCell ref="C16:H16"/>
    <mergeCell ref="B2:O2"/>
    <mergeCell ref="B3:O3"/>
    <mergeCell ref="B4:O4"/>
  </mergeCells>
  <pageMargins left="1.63" right="1.33" top="1" bottom="0.37" header="0.5" footer="0.5"/>
  <pageSetup paperSize="9" scale="47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9"/>
  <sheetViews>
    <sheetView showGridLines="0" zoomScale="80" zoomScaleNormal="80" zoomScaleSheetLayoutView="70" workbookViewId="0">
      <selection activeCell="B4" sqref="B4:N4"/>
    </sheetView>
  </sheetViews>
  <sheetFormatPr defaultColWidth="9.28515625" defaultRowHeight="14.25"/>
  <cols>
    <col min="1" max="1" width="3.28515625" style="19" customWidth="1"/>
    <col min="2" max="2" width="20.28515625" style="19" customWidth="1"/>
    <col min="3" max="3" width="18.5703125" style="19" customWidth="1"/>
    <col min="4" max="4" width="14.42578125" style="19" customWidth="1"/>
    <col min="5" max="5" width="20.7109375" style="19" customWidth="1"/>
    <col min="6" max="6" width="19.7109375" style="19" customWidth="1"/>
    <col min="7" max="9" width="12.5703125" style="19" customWidth="1"/>
    <col min="10" max="10" width="18.28515625" style="19" customWidth="1"/>
    <col min="11" max="11" width="15.42578125" style="19" customWidth="1"/>
    <col min="12" max="12" width="21.5703125" style="19" customWidth="1"/>
    <col min="13" max="14" width="12.5703125" style="19" customWidth="1"/>
    <col min="15" max="16384" width="9.28515625" style="19"/>
  </cols>
  <sheetData>
    <row r="1" spans="2:14" s="5" customFormat="1" ht="15">
      <c r="B1" s="109"/>
    </row>
    <row r="2" spans="2:14" s="5" customFormat="1" ht="15" customHeight="1">
      <c r="B2" s="256" t="s">
        <v>404</v>
      </c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</row>
    <row r="3" spans="2:14" s="5" customFormat="1" ht="15" customHeight="1">
      <c r="B3" s="256" t="s">
        <v>376</v>
      </c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</row>
    <row r="4" spans="2:14" ht="14.25" customHeight="1">
      <c r="B4" s="273" t="s">
        <v>323</v>
      </c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</row>
    <row r="5" spans="2:14" ht="15">
      <c r="B5" s="26" t="s">
        <v>377</v>
      </c>
    </row>
    <row r="6" spans="2:14" ht="15">
      <c r="B6" s="26" t="s">
        <v>12</v>
      </c>
      <c r="N6" s="39" t="s">
        <v>4</v>
      </c>
    </row>
    <row r="7" spans="2:14" s="57" customFormat="1" ht="45.75" customHeight="1">
      <c r="B7" s="283" t="s">
        <v>314</v>
      </c>
      <c r="C7" s="282" t="s">
        <v>143</v>
      </c>
      <c r="D7" s="282"/>
      <c r="E7" s="282"/>
      <c r="F7" s="282"/>
      <c r="G7" s="281" t="s">
        <v>144</v>
      </c>
      <c r="H7" s="281"/>
      <c r="I7" s="281"/>
      <c r="J7" s="281" t="s">
        <v>145</v>
      </c>
      <c r="K7" s="281"/>
      <c r="L7" s="281"/>
      <c r="M7" s="281"/>
      <c r="N7" s="281"/>
    </row>
    <row r="8" spans="2:14" ht="45">
      <c r="B8" s="284"/>
      <c r="C8" s="33" t="s">
        <v>161</v>
      </c>
      <c r="D8" s="33" t="s">
        <v>159</v>
      </c>
      <c r="E8" s="33" t="s">
        <v>221</v>
      </c>
      <c r="F8" s="33" t="s">
        <v>160</v>
      </c>
      <c r="G8" s="33" t="s">
        <v>146</v>
      </c>
      <c r="H8" s="33" t="s">
        <v>222</v>
      </c>
      <c r="I8" s="33" t="s">
        <v>147</v>
      </c>
      <c r="J8" s="33" t="s">
        <v>148</v>
      </c>
      <c r="K8" s="33" t="s">
        <v>149</v>
      </c>
      <c r="L8" s="33" t="s">
        <v>223</v>
      </c>
      <c r="M8" s="33" t="s">
        <v>224</v>
      </c>
      <c r="N8" s="25" t="s">
        <v>127</v>
      </c>
    </row>
    <row r="9" spans="2:14" ht="15">
      <c r="B9" s="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25"/>
    </row>
    <row r="10" spans="2:14" ht="15">
      <c r="B10" s="88" t="s">
        <v>315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2:14" ht="15">
      <c r="B11" s="88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2:14" ht="15">
      <c r="B12" s="88" t="s">
        <v>316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4">
      <c r="B13" s="4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2:14" ht="15">
      <c r="B14" s="88" t="s">
        <v>317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2:14">
      <c r="B15" s="8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2:14" ht="15">
      <c r="B16" s="88" t="s">
        <v>9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4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4" ht="15">
      <c r="B18" s="88" t="s">
        <v>127</v>
      </c>
      <c r="C18" s="131">
        <f>C10+C12+C14</f>
        <v>0</v>
      </c>
      <c r="D18" s="131">
        <f>D10+D12+D14</f>
        <v>0</v>
      </c>
      <c r="E18" s="131">
        <f>E10+E12+E14</f>
        <v>0</v>
      </c>
      <c r="F18" s="131">
        <f>F10+F12+F14</f>
        <v>0</v>
      </c>
      <c r="G18" s="131">
        <f>G10+G12+G14</f>
        <v>0</v>
      </c>
      <c r="H18" s="3"/>
      <c r="I18" s="3"/>
      <c r="J18" s="131">
        <f>J10+J12+J14</f>
        <v>0</v>
      </c>
      <c r="K18" s="131">
        <f>K10+K12+K14</f>
        <v>0</v>
      </c>
      <c r="L18" s="131">
        <f>L10+L12+L14</f>
        <v>0</v>
      </c>
      <c r="M18" s="131">
        <f>M10+M12+M14</f>
        <v>0</v>
      </c>
      <c r="N18" s="131">
        <f>N10+N12+N14</f>
        <v>0</v>
      </c>
    </row>
    <row r="19" spans="2:14" ht="15">
      <c r="B19" s="39"/>
    </row>
  </sheetData>
  <mergeCells count="7">
    <mergeCell ref="B3:N3"/>
    <mergeCell ref="B2:N2"/>
    <mergeCell ref="B4:N4"/>
    <mergeCell ref="B7:B8"/>
    <mergeCell ref="C7:F7"/>
    <mergeCell ref="G7:I7"/>
    <mergeCell ref="J7:N7"/>
  </mergeCells>
  <pageMargins left="2.2000000000000002" right="0.93" top="0.77" bottom="1" header="0.5" footer="0.5"/>
  <pageSetup paperSize="9" scale="51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1"/>
  <sheetViews>
    <sheetView showGridLines="0" zoomScale="80" zoomScaleNormal="80" workbookViewId="0">
      <selection activeCell="B5" sqref="B5:Q5"/>
    </sheetView>
  </sheetViews>
  <sheetFormatPr defaultColWidth="9.28515625" defaultRowHeight="14.25"/>
  <cols>
    <col min="1" max="1" width="2.42578125" style="19" customWidth="1"/>
    <col min="2" max="2" width="5" style="19" customWidth="1"/>
    <col min="3" max="3" width="40.5703125" style="19" customWidth="1"/>
    <col min="4" max="4" width="13" style="19" customWidth="1"/>
    <col min="5" max="5" width="9.85546875" style="19" customWidth="1"/>
    <col min="6" max="6" width="10.42578125" style="19" customWidth="1"/>
    <col min="7" max="7" width="9" style="19" customWidth="1"/>
    <col min="8" max="8" width="9.7109375" style="19" customWidth="1"/>
    <col min="9" max="9" width="10" style="19" customWidth="1"/>
    <col min="10" max="10" width="11.140625" style="19" customWidth="1"/>
    <col min="11" max="11" width="9.5703125" style="19" customWidth="1"/>
    <col min="12" max="12" width="9" style="19" customWidth="1"/>
    <col min="13" max="13" width="9.7109375" style="19" customWidth="1"/>
    <col min="14" max="15" width="9" style="19" customWidth="1"/>
    <col min="16" max="16" width="10" style="19" customWidth="1"/>
    <col min="17" max="17" width="11.7109375" style="19" customWidth="1"/>
    <col min="18" max="16384" width="9.28515625" style="19"/>
  </cols>
  <sheetData>
    <row r="1" spans="2:17" s="5" customFormat="1" ht="15">
      <c r="B1" s="109"/>
    </row>
    <row r="2" spans="2:17" s="5" customFormat="1" ht="15" customHeight="1"/>
    <row r="3" spans="2:17" s="5" customFormat="1" ht="15" customHeight="1">
      <c r="B3" s="256" t="s">
        <v>404</v>
      </c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</row>
    <row r="4" spans="2:17" s="5" customFormat="1" ht="15" customHeight="1">
      <c r="B4" s="256" t="s">
        <v>376</v>
      </c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</row>
    <row r="5" spans="2:17" ht="15">
      <c r="B5" s="26" t="s">
        <v>377</v>
      </c>
      <c r="I5" s="38" t="s">
        <v>326</v>
      </c>
    </row>
    <row r="6" spans="2:17" ht="15">
      <c r="B6" s="39" t="s">
        <v>12</v>
      </c>
    </row>
    <row r="7" spans="2:17" ht="30">
      <c r="B7" s="111" t="s">
        <v>186</v>
      </c>
      <c r="C7" s="111" t="s">
        <v>18</v>
      </c>
      <c r="D7" s="111" t="s">
        <v>39</v>
      </c>
      <c r="E7" s="33" t="s">
        <v>129</v>
      </c>
      <c r="F7" s="33" t="s">
        <v>130</v>
      </c>
      <c r="G7" s="110" t="s">
        <v>131</v>
      </c>
      <c r="H7" s="110" t="s">
        <v>132</v>
      </c>
      <c r="I7" s="110" t="s">
        <v>133</v>
      </c>
      <c r="J7" s="110" t="s">
        <v>134</v>
      </c>
      <c r="K7" s="110" t="s">
        <v>135</v>
      </c>
      <c r="L7" s="110" t="s">
        <v>136</v>
      </c>
      <c r="M7" s="110" t="s">
        <v>137</v>
      </c>
      <c r="N7" s="110" t="s">
        <v>138</v>
      </c>
      <c r="O7" s="110" t="s">
        <v>139</v>
      </c>
      <c r="P7" s="110" t="s">
        <v>140</v>
      </c>
      <c r="Q7" s="112" t="s">
        <v>127</v>
      </c>
    </row>
    <row r="8" spans="2:17">
      <c r="B8" s="113">
        <v>1</v>
      </c>
      <c r="C8" s="114" t="s">
        <v>164</v>
      </c>
      <c r="D8" s="113" t="s">
        <v>40</v>
      </c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>
        <v>85</v>
      </c>
    </row>
    <row r="9" spans="2:17">
      <c r="B9" s="113">
        <f>B8+1</f>
        <v>2</v>
      </c>
      <c r="C9" s="114" t="s">
        <v>187</v>
      </c>
      <c r="D9" s="113" t="s">
        <v>40</v>
      </c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6"/>
    </row>
    <row r="10" spans="2:17">
      <c r="B10" s="113">
        <f t="shared" ref="B10:B26" si="0">B9+1</f>
        <v>3</v>
      </c>
      <c r="C10" s="114" t="s">
        <v>188</v>
      </c>
      <c r="D10" s="113" t="s">
        <v>40</v>
      </c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>
        <v>96.14</v>
      </c>
    </row>
    <row r="11" spans="2:17">
      <c r="B11" s="113">
        <f t="shared" si="0"/>
        <v>4</v>
      </c>
      <c r="C11" s="114" t="s">
        <v>41</v>
      </c>
      <c r="D11" s="113" t="s">
        <v>40</v>
      </c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</row>
    <row r="12" spans="2:17">
      <c r="B12" s="113">
        <f t="shared" si="0"/>
        <v>5</v>
      </c>
      <c r="C12" s="114" t="s">
        <v>189</v>
      </c>
      <c r="D12" s="113" t="s">
        <v>40</v>
      </c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</row>
    <row r="13" spans="2:17">
      <c r="B13" s="113">
        <f t="shared" si="0"/>
        <v>6</v>
      </c>
      <c r="C13" s="114" t="s">
        <v>190</v>
      </c>
      <c r="D13" s="113" t="s">
        <v>40</v>
      </c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</row>
    <row r="14" spans="2:17" ht="16.5">
      <c r="B14" s="113">
        <f t="shared" si="0"/>
        <v>7</v>
      </c>
      <c r="C14" s="108" t="s">
        <v>191</v>
      </c>
      <c r="D14" s="117" t="s">
        <v>42</v>
      </c>
      <c r="E14" s="167">
        <v>50.267400000000002</v>
      </c>
      <c r="F14" s="167">
        <v>38.122</v>
      </c>
      <c r="G14" s="167">
        <v>63.566000000000003</v>
      </c>
      <c r="H14" s="167">
        <v>43.716000000000001</v>
      </c>
      <c r="I14" s="167">
        <v>486.46600000000001</v>
      </c>
      <c r="J14" s="167">
        <v>587.43100000000004</v>
      </c>
      <c r="K14" s="167">
        <v>619.74800000000005</v>
      </c>
      <c r="L14" s="167">
        <v>293.61200000000002</v>
      </c>
      <c r="M14" s="167">
        <v>87.626000000000005</v>
      </c>
      <c r="N14" s="167">
        <v>98.606999999999999</v>
      </c>
      <c r="O14" s="167">
        <v>97.513999999999996</v>
      </c>
      <c r="P14" s="167">
        <v>29.004999999999999</v>
      </c>
      <c r="Q14" s="167">
        <v>2495.6804000000006</v>
      </c>
    </row>
    <row r="15" spans="2:17" ht="16.5">
      <c r="B15" s="113">
        <f t="shared" si="0"/>
        <v>8</v>
      </c>
      <c r="C15" s="108" t="s">
        <v>192</v>
      </c>
      <c r="D15" s="117" t="s">
        <v>42</v>
      </c>
      <c r="E15" s="167">
        <v>0.74893600000000005</v>
      </c>
      <c r="F15" s="167">
        <v>2.1001760000000074</v>
      </c>
      <c r="G15" s="167">
        <v>1.3912199999999999</v>
      </c>
      <c r="H15" s="167">
        <v>1.1345559999999999</v>
      </c>
      <c r="I15" s="167">
        <v>6.6968839999999998</v>
      </c>
      <c r="J15" s="167">
        <v>7.9684119999999998</v>
      </c>
      <c r="K15" s="167">
        <v>8.0186399999999995</v>
      </c>
      <c r="L15" s="167">
        <v>4.2154119999999997</v>
      </c>
      <c r="M15" s="167">
        <v>1.5289160000000148</v>
      </c>
      <c r="N15" s="167">
        <v>1.866744</v>
      </c>
      <c r="O15" s="167">
        <v>1.918415999999985</v>
      </c>
      <c r="P15" s="167">
        <v>0.83976799999998508</v>
      </c>
      <c r="Q15" s="167">
        <v>38.428079999999994</v>
      </c>
    </row>
    <row r="16" spans="2:17" ht="15">
      <c r="B16" s="113">
        <f t="shared" si="0"/>
        <v>9</v>
      </c>
      <c r="C16" s="108" t="s">
        <v>207</v>
      </c>
      <c r="D16" s="117" t="s">
        <v>42</v>
      </c>
      <c r="E16" s="130">
        <f>E14-E15</f>
        <v>49.518464000000002</v>
      </c>
      <c r="F16" s="130">
        <f t="shared" ref="F16:Q16" si="1">F14-F15</f>
        <v>36.021823999999995</v>
      </c>
      <c r="G16" s="130">
        <f t="shared" si="1"/>
        <v>62.174780000000005</v>
      </c>
      <c r="H16" s="130">
        <f t="shared" si="1"/>
        <v>42.581444000000005</v>
      </c>
      <c r="I16" s="130">
        <f t="shared" si="1"/>
        <v>479.769116</v>
      </c>
      <c r="J16" s="130">
        <f t="shared" si="1"/>
        <v>579.4625880000001</v>
      </c>
      <c r="K16" s="130">
        <f t="shared" si="1"/>
        <v>611.72936000000004</v>
      </c>
      <c r="L16" s="130">
        <f t="shared" si="1"/>
        <v>289.39658800000001</v>
      </c>
      <c r="M16" s="130">
        <f t="shared" si="1"/>
        <v>86.097083999999995</v>
      </c>
      <c r="N16" s="130">
        <f t="shared" si="1"/>
        <v>96.740256000000002</v>
      </c>
      <c r="O16" s="130">
        <f t="shared" si="1"/>
        <v>95.595584000000017</v>
      </c>
      <c r="P16" s="130">
        <f t="shared" si="1"/>
        <v>28.165232000000014</v>
      </c>
      <c r="Q16" s="130">
        <f t="shared" si="1"/>
        <v>2457.2523200000005</v>
      </c>
    </row>
    <row r="17" spans="2:17">
      <c r="B17" s="113">
        <f t="shared" si="0"/>
        <v>10</v>
      </c>
      <c r="C17" s="108" t="s">
        <v>208</v>
      </c>
      <c r="D17" s="117" t="s">
        <v>42</v>
      </c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9"/>
    </row>
    <row r="18" spans="2:17">
      <c r="B18" s="113">
        <f t="shared" si="0"/>
        <v>11</v>
      </c>
      <c r="C18" s="108" t="s">
        <v>193</v>
      </c>
      <c r="D18" s="117" t="s">
        <v>197</v>
      </c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</row>
    <row r="19" spans="2:17" ht="16.5">
      <c r="B19" s="113">
        <f t="shared" si="0"/>
        <v>12</v>
      </c>
      <c r="C19" s="108" t="s">
        <v>209</v>
      </c>
      <c r="D19" s="117" t="s">
        <v>198</v>
      </c>
      <c r="E19" s="168">
        <v>28.914999999999999</v>
      </c>
      <c r="F19" s="168">
        <v>28.914999999999999</v>
      </c>
      <c r="G19" s="168">
        <v>28.914999999999999</v>
      </c>
      <c r="H19" s="168">
        <v>28.914999999999999</v>
      </c>
      <c r="I19" s="168">
        <v>28.914999999999999</v>
      </c>
      <c r="J19" s="168">
        <v>28.914999999999999</v>
      </c>
      <c r="K19" s="168">
        <v>28.914999999999999</v>
      </c>
      <c r="L19" s="168">
        <v>28.914999999999999</v>
      </c>
      <c r="M19" s="168">
        <v>28.914999999999999</v>
      </c>
      <c r="N19" s="168">
        <v>28.914999999999999</v>
      </c>
      <c r="O19" s="168">
        <v>28.914999999999999</v>
      </c>
      <c r="P19" s="168">
        <v>28.914999999999999</v>
      </c>
      <c r="Q19" s="168">
        <f>SUM(E19:P19)</f>
        <v>346.98</v>
      </c>
    </row>
    <row r="20" spans="2:17" ht="16.5">
      <c r="B20" s="113">
        <f t="shared" si="0"/>
        <v>13</v>
      </c>
      <c r="C20" s="108" t="s">
        <v>324</v>
      </c>
      <c r="D20" s="117" t="s">
        <v>197</v>
      </c>
      <c r="E20" s="169">
        <v>0</v>
      </c>
      <c r="F20" s="169">
        <v>0</v>
      </c>
      <c r="G20" s="169">
        <v>0</v>
      </c>
      <c r="H20" s="169">
        <v>0</v>
      </c>
      <c r="I20" s="169">
        <v>0</v>
      </c>
      <c r="J20" s="169">
        <v>0</v>
      </c>
      <c r="K20" s="169">
        <v>0</v>
      </c>
      <c r="L20" s="169">
        <v>0</v>
      </c>
      <c r="M20" s="169">
        <v>0</v>
      </c>
      <c r="N20" s="169">
        <v>0</v>
      </c>
      <c r="O20" s="169">
        <v>0</v>
      </c>
      <c r="P20" s="169">
        <v>0</v>
      </c>
      <c r="Q20" s="169">
        <v>0</v>
      </c>
    </row>
    <row r="21" spans="2:17" ht="16.5">
      <c r="B21" s="113">
        <f t="shared" si="0"/>
        <v>14</v>
      </c>
      <c r="C21" s="108" t="s">
        <v>194</v>
      </c>
      <c r="D21" s="117" t="s">
        <v>198</v>
      </c>
      <c r="E21" s="168">
        <v>28.914999999999999</v>
      </c>
      <c r="F21" s="168">
        <v>28.914999999999999</v>
      </c>
      <c r="G21" s="168">
        <v>28.914999999999999</v>
      </c>
      <c r="H21" s="168">
        <v>28.914999999999999</v>
      </c>
      <c r="I21" s="168">
        <v>28.914999999999999</v>
      </c>
      <c r="J21" s="168">
        <v>28.914999999999999</v>
      </c>
      <c r="K21" s="168">
        <v>28.914999999999999</v>
      </c>
      <c r="L21" s="168">
        <v>28.914999999999999</v>
      </c>
      <c r="M21" s="168">
        <v>28.914999999999999</v>
      </c>
      <c r="N21" s="168">
        <v>28.914999999999999</v>
      </c>
      <c r="O21" s="168">
        <v>28.914999999999999</v>
      </c>
      <c r="P21" s="168">
        <v>28.914999999999999</v>
      </c>
      <c r="Q21" s="168">
        <f>SUM(E21:P21)</f>
        <v>346.98</v>
      </c>
    </row>
    <row r="22" spans="2:17">
      <c r="B22" s="113">
        <f t="shared" si="0"/>
        <v>15</v>
      </c>
      <c r="C22" s="108" t="s">
        <v>325</v>
      </c>
      <c r="D22" s="117" t="s">
        <v>198</v>
      </c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16"/>
    </row>
    <row r="23" spans="2:17">
      <c r="B23" s="113">
        <f t="shared" si="0"/>
        <v>16</v>
      </c>
      <c r="C23" s="108" t="s">
        <v>210</v>
      </c>
      <c r="D23" s="117" t="s">
        <v>198</v>
      </c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16"/>
    </row>
    <row r="24" spans="2:17">
      <c r="B24" s="113">
        <f t="shared" si="0"/>
        <v>17</v>
      </c>
      <c r="C24" s="108" t="s">
        <v>195</v>
      </c>
      <c r="D24" s="117" t="s">
        <v>198</v>
      </c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16"/>
    </row>
    <row r="25" spans="2:17" ht="16.5">
      <c r="B25" s="113">
        <f t="shared" si="0"/>
        <v>18</v>
      </c>
      <c r="C25" s="122" t="s">
        <v>151</v>
      </c>
      <c r="D25" s="117" t="s">
        <v>198</v>
      </c>
      <c r="E25" s="170">
        <f>E21+E22+E23+E24</f>
        <v>28.914999999999999</v>
      </c>
      <c r="F25" s="170">
        <f t="shared" ref="F25:Q25" si="2">F21+F22+F23+F24</f>
        <v>28.914999999999999</v>
      </c>
      <c r="G25" s="170">
        <f t="shared" si="2"/>
        <v>28.914999999999999</v>
      </c>
      <c r="H25" s="170">
        <f t="shared" si="2"/>
        <v>28.914999999999999</v>
      </c>
      <c r="I25" s="170">
        <f t="shared" si="2"/>
        <v>28.914999999999999</v>
      </c>
      <c r="J25" s="170">
        <f t="shared" si="2"/>
        <v>28.914999999999999</v>
      </c>
      <c r="K25" s="170">
        <f t="shared" si="2"/>
        <v>28.914999999999999</v>
      </c>
      <c r="L25" s="170">
        <f t="shared" si="2"/>
        <v>28.914999999999999</v>
      </c>
      <c r="M25" s="170">
        <f t="shared" si="2"/>
        <v>28.914999999999999</v>
      </c>
      <c r="N25" s="170">
        <f t="shared" si="2"/>
        <v>28.914999999999999</v>
      </c>
      <c r="O25" s="170">
        <f t="shared" si="2"/>
        <v>28.914999999999999</v>
      </c>
      <c r="P25" s="170">
        <f t="shared" si="2"/>
        <v>28.914999999999999</v>
      </c>
      <c r="Q25" s="170">
        <f t="shared" si="2"/>
        <v>346.98</v>
      </c>
    </row>
    <row r="26" spans="2:17" ht="15">
      <c r="B26" s="113">
        <f t="shared" si="0"/>
        <v>19</v>
      </c>
      <c r="C26" s="124" t="s">
        <v>196</v>
      </c>
      <c r="D26" s="117" t="s">
        <v>198</v>
      </c>
      <c r="E26" s="121"/>
      <c r="F26" s="115"/>
      <c r="G26" s="115"/>
      <c r="H26" s="115"/>
      <c r="I26" s="115"/>
      <c r="J26" s="115"/>
      <c r="K26" s="115"/>
      <c r="L26" s="115"/>
      <c r="M26" s="116"/>
      <c r="N26" s="116"/>
      <c r="O26" s="116"/>
      <c r="P26" s="116"/>
      <c r="Q26" s="123"/>
    </row>
    <row r="27" spans="2:17" ht="33">
      <c r="B27" s="171"/>
      <c r="C27" s="172" t="s">
        <v>365</v>
      </c>
      <c r="D27" s="173" t="s">
        <v>198</v>
      </c>
      <c r="E27" s="174"/>
      <c r="F27" s="167"/>
      <c r="G27" s="167"/>
      <c r="H27" s="167"/>
      <c r="I27" s="167"/>
      <c r="J27" s="167"/>
      <c r="K27" s="167"/>
      <c r="L27" s="167"/>
      <c r="M27" s="168"/>
      <c r="N27" s="168"/>
      <c r="O27" s="168"/>
      <c r="P27" s="168"/>
      <c r="Q27" s="175">
        <v>0</v>
      </c>
    </row>
    <row r="28" spans="2:17" ht="33">
      <c r="B28" s="171"/>
      <c r="C28" s="172" t="s">
        <v>366</v>
      </c>
      <c r="D28" s="173" t="s">
        <v>198</v>
      </c>
      <c r="E28" s="174"/>
      <c r="F28" s="167"/>
      <c r="G28" s="167"/>
      <c r="H28" s="167"/>
      <c r="I28" s="167"/>
      <c r="J28" s="167"/>
      <c r="K28" s="167"/>
      <c r="L28" s="167"/>
      <c r="M28" s="168"/>
      <c r="N28" s="168"/>
      <c r="O28" s="168"/>
      <c r="P28" s="168"/>
      <c r="Q28" s="175">
        <v>-17.510000000000012</v>
      </c>
    </row>
    <row r="29" spans="2:17" ht="16.5">
      <c r="B29" s="171"/>
      <c r="C29" s="172" t="s">
        <v>93</v>
      </c>
      <c r="D29" s="173" t="s">
        <v>198</v>
      </c>
      <c r="E29" s="174"/>
      <c r="F29" s="167"/>
      <c r="G29" s="167"/>
      <c r="H29" s="167"/>
      <c r="I29" s="167"/>
      <c r="J29" s="167"/>
      <c r="K29" s="167"/>
      <c r="L29" s="167"/>
      <c r="M29" s="168"/>
      <c r="N29" s="168"/>
      <c r="O29" s="168"/>
      <c r="P29" s="168"/>
      <c r="Q29" s="175">
        <v>10.130592200000001</v>
      </c>
    </row>
    <row r="30" spans="2:17" ht="15">
      <c r="B30" s="117">
        <f>B26+1</f>
        <v>20</v>
      </c>
      <c r="C30" s="107" t="s">
        <v>163</v>
      </c>
      <c r="D30" s="117" t="s">
        <v>198</v>
      </c>
      <c r="E30" s="130">
        <f>E25+E26</f>
        <v>28.914999999999999</v>
      </c>
      <c r="F30" s="130">
        <f t="shared" ref="F30:P30" si="3">F25+F26</f>
        <v>28.914999999999999</v>
      </c>
      <c r="G30" s="130">
        <f t="shared" si="3"/>
        <v>28.914999999999999</v>
      </c>
      <c r="H30" s="130">
        <f t="shared" si="3"/>
        <v>28.914999999999999</v>
      </c>
      <c r="I30" s="130">
        <f t="shared" si="3"/>
        <v>28.914999999999999</v>
      </c>
      <c r="J30" s="130">
        <f t="shared" si="3"/>
        <v>28.914999999999999</v>
      </c>
      <c r="K30" s="130">
        <f t="shared" si="3"/>
        <v>28.914999999999999</v>
      </c>
      <c r="L30" s="130">
        <f t="shared" si="3"/>
        <v>28.914999999999999</v>
      </c>
      <c r="M30" s="130">
        <f t="shared" si="3"/>
        <v>28.914999999999999</v>
      </c>
      <c r="N30" s="130">
        <f t="shared" si="3"/>
        <v>28.914999999999999</v>
      </c>
      <c r="O30" s="130">
        <f t="shared" si="3"/>
        <v>28.914999999999999</v>
      </c>
      <c r="P30" s="130">
        <f t="shared" si="3"/>
        <v>28.914999999999999</v>
      </c>
      <c r="Q30" s="130">
        <f>Q25+Q26+Q27+Q28+Q29</f>
        <v>339.60059220000005</v>
      </c>
    </row>
    <row r="31" spans="2:17" ht="15">
      <c r="B31" s="117">
        <f>B30+1</f>
        <v>21</v>
      </c>
      <c r="C31" s="107" t="s">
        <v>199</v>
      </c>
      <c r="D31" s="117" t="s">
        <v>198</v>
      </c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5"/>
    </row>
  </sheetData>
  <mergeCells count="2">
    <mergeCell ref="B3:Q3"/>
    <mergeCell ref="B4:Q4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24"/>
  <sheetViews>
    <sheetView showGridLines="0" topLeftCell="A5" zoomScale="80" zoomScaleNormal="80" workbookViewId="0">
      <selection activeCell="Q5" sqref="Q1:Q1048576"/>
    </sheetView>
  </sheetViews>
  <sheetFormatPr defaultColWidth="9.28515625" defaultRowHeight="15"/>
  <cols>
    <col min="1" max="1" width="3" style="6" customWidth="1"/>
    <col min="2" max="2" width="6.28515625" style="6" customWidth="1"/>
    <col min="3" max="3" width="37.28515625" style="6" customWidth="1"/>
    <col min="4" max="4" width="14.28515625" style="6" customWidth="1"/>
    <col min="5" max="5" width="11.5703125" style="6" customWidth="1"/>
    <col min="6" max="6" width="13.85546875" style="6" customWidth="1"/>
    <col min="7" max="7" width="13.140625" style="6" customWidth="1"/>
    <col min="8" max="8" width="14.140625" style="6" customWidth="1"/>
    <col min="9" max="9" width="15.5703125" style="6" customWidth="1"/>
    <col min="10" max="10" width="13.85546875" style="6" customWidth="1"/>
    <col min="11" max="11" width="12.42578125" style="6" customWidth="1"/>
    <col min="12" max="12" width="11.42578125" style="6" customWidth="1"/>
    <col min="13" max="13" width="13.5703125" style="6" customWidth="1"/>
    <col min="14" max="14" width="11.85546875" style="6" customWidth="1"/>
    <col min="15" max="15" width="12" style="6" customWidth="1"/>
    <col min="16" max="16" width="15.7109375" style="6" customWidth="1"/>
    <col min="17" max="17" width="9.5703125" style="6" hidden="1" customWidth="1"/>
    <col min="18" max="16384" width="9.28515625" style="6"/>
  </cols>
  <sheetData>
    <row r="2" spans="2:17" ht="15.75">
      <c r="B2" s="256" t="s">
        <v>404</v>
      </c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2"/>
    </row>
    <row r="3" spans="2:17" ht="15.75">
      <c r="B3" s="256" t="s">
        <v>409</v>
      </c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85"/>
    </row>
    <row r="4" spans="2:17" s="15" customFormat="1" ht="15.75">
      <c r="B4" s="256" t="s">
        <v>333</v>
      </c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85"/>
    </row>
    <row r="7" spans="2:17" ht="12.75" customHeight="1">
      <c r="B7" s="263" t="s">
        <v>186</v>
      </c>
      <c r="C7" s="266" t="s">
        <v>18</v>
      </c>
      <c r="D7" s="260" t="s">
        <v>39</v>
      </c>
      <c r="E7" s="266" t="s">
        <v>1</v>
      </c>
      <c r="F7" s="270" t="s">
        <v>377</v>
      </c>
      <c r="G7" s="271"/>
      <c r="H7" s="272"/>
      <c r="I7" s="270" t="s">
        <v>378</v>
      </c>
      <c r="J7" s="271"/>
      <c r="K7" s="268" t="s">
        <v>225</v>
      </c>
      <c r="L7" s="268"/>
      <c r="M7" s="268"/>
      <c r="N7" s="268"/>
      <c r="O7" s="268"/>
      <c r="P7" s="268" t="s">
        <v>11</v>
      </c>
    </row>
    <row r="8" spans="2:17" ht="30" customHeight="1">
      <c r="B8" s="264"/>
      <c r="C8" s="266"/>
      <c r="D8" s="261"/>
      <c r="E8" s="266"/>
      <c r="F8" s="201" t="s">
        <v>327</v>
      </c>
      <c r="G8" s="201" t="s">
        <v>233</v>
      </c>
      <c r="H8" s="201" t="s">
        <v>201</v>
      </c>
      <c r="I8" s="201" t="s">
        <v>327</v>
      </c>
      <c r="J8" s="201" t="s">
        <v>237</v>
      </c>
      <c r="K8" s="201" t="s">
        <v>379</v>
      </c>
      <c r="L8" s="201" t="s">
        <v>380</v>
      </c>
      <c r="M8" s="201" t="s">
        <v>381</v>
      </c>
      <c r="N8" s="201" t="s">
        <v>382</v>
      </c>
      <c r="O8" s="201" t="s">
        <v>383</v>
      </c>
      <c r="P8" s="268"/>
    </row>
    <row r="9" spans="2:17" ht="31.5">
      <c r="B9" s="265"/>
      <c r="C9" s="267"/>
      <c r="D9" s="262"/>
      <c r="E9" s="267"/>
      <c r="F9" s="201" t="s">
        <v>10</v>
      </c>
      <c r="G9" s="201" t="s">
        <v>12</v>
      </c>
      <c r="H9" s="201" t="s">
        <v>234</v>
      </c>
      <c r="I9" s="201" t="s">
        <v>10</v>
      </c>
      <c r="J9" s="201" t="s">
        <v>5</v>
      </c>
      <c r="K9" s="201" t="s">
        <v>8</v>
      </c>
      <c r="L9" s="201" t="s">
        <v>8</v>
      </c>
      <c r="M9" s="201" t="s">
        <v>8</v>
      </c>
      <c r="N9" s="201" t="s">
        <v>8</v>
      </c>
      <c r="O9" s="201" t="s">
        <v>8</v>
      </c>
      <c r="P9" s="269"/>
    </row>
    <row r="10" spans="2:17" ht="15.75">
      <c r="B10" s="229" t="s">
        <v>55</v>
      </c>
      <c r="C10" s="230" t="s">
        <v>240</v>
      </c>
      <c r="D10" s="205"/>
      <c r="E10" s="205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4"/>
    </row>
    <row r="11" spans="2:17" ht="15.75">
      <c r="B11" s="8">
        <v>1</v>
      </c>
      <c r="C11" s="9" t="s">
        <v>36</v>
      </c>
      <c r="D11" s="8" t="s">
        <v>198</v>
      </c>
      <c r="E11" s="231" t="s">
        <v>275</v>
      </c>
      <c r="F11" s="232">
        <v>100.3</v>
      </c>
      <c r="G11" s="232">
        <f>'F2'!F14</f>
        <v>173.69969078231409</v>
      </c>
      <c r="H11" s="232">
        <f>'F2'!G14</f>
        <v>173.69969078231409</v>
      </c>
      <c r="I11" s="232">
        <v>106.02</v>
      </c>
      <c r="J11" s="232">
        <f>'F2'!I14</f>
        <v>184.79328998202678</v>
      </c>
      <c r="K11" s="232">
        <f>'F2'!J14</f>
        <v>153.50519748132035</v>
      </c>
      <c r="L11" s="232">
        <f>'F2'!K14</f>
        <v>162.20733996346712</v>
      </c>
      <c r="M11" s="232">
        <f>'F2'!L14</f>
        <v>170.97859604783946</v>
      </c>
      <c r="N11" s="232">
        <f>'F2'!M14</f>
        <v>180.20466537772575</v>
      </c>
      <c r="O11" s="232">
        <f>'F2'!N14</f>
        <v>189.84209752869538</v>
      </c>
      <c r="P11" s="233"/>
      <c r="Q11" s="249">
        <f>SUM(K11:O11)</f>
        <v>856.73789639904805</v>
      </c>
    </row>
    <row r="12" spans="2:17" ht="15.75">
      <c r="B12" s="8">
        <f t="shared" ref="B12:B17" si="0">B11+1</f>
        <v>2</v>
      </c>
      <c r="C12" s="11" t="s">
        <v>157</v>
      </c>
      <c r="D12" s="8" t="s">
        <v>198</v>
      </c>
      <c r="E12" s="231" t="s">
        <v>23</v>
      </c>
      <c r="F12" s="234">
        <v>87.97</v>
      </c>
      <c r="G12" s="234">
        <f>H12</f>
        <v>100.41721809477866</v>
      </c>
      <c r="H12" s="232">
        <f>'F4'!K21-'F4'!L21</f>
        <v>100.41721809477866</v>
      </c>
      <c r="I12" s="233">
        <v>87.97</v>
      </c>
      <c r="J12" s="232">
        <f>'F4'!K38-'F4'!L38</f>
        <v>100.49722438160502</v>
      </c>
      <c r="K12" s="232">
        <f>'F4'!K47-'F4'!L47</f>
        <v>56.359944690452039</v>
      </c>
      <c r="L12" s="232">
        <f>'F4'!K56-'F4'!L56</f>
        <v>68.57680183330919</v>
      </c>
      <c r="M12" s="232">
        <f>'F4'!K65-'F4'!L65</f>
        <v>72.559301833309178</v>
      </c>
      <c r="N12" s="232">
        <f>'F4'!K74-'F4'!L74</f>
        <v>76.11430183330917</v>
      </c>
      <c r="O12" s="232">
        <f>'F4'!K83-'F4'!L83</f>
        <v>76.249301833309119</v>
      </c>
      <c r="P12" s="233"/>
      <c r="Q12" s="249">
        <f t="shared" ref="Q12:Q17" si="1">SUM(K12:O12)</f>
        <v>349.85965202368868</v>
      </c>
    </row>
    <row r="13" spans="2:17" ht="15.75">
      <c r="B13" s="8">
        <f t="shared" si="0"/>
        <v>3</v>
      </c>
      <c r="C13" s="9" t="s">
        <v>238</v>
      </c>
      <c r="D13" s="8" t="s">
        <v>198</v>
      </c>
      <c r="E13" s="10" t="s">
        <v>29</v>
      </c>
      <c r="F13" s="232">
        <v>19.57</v>
      </c>
      <c r="G13" s="232">
        <f>'F5'!E22</f>
        <v>22.298562838651552</v>
      </c>
      <c r="H13" s="232">
        <f>'F5'!F22</f>
        <v>22.298562838651552</v>
      </c>
      <c r="I13" s="232">
        <v>10.173999999999999</v>
      </c>
      <c r="J13" s="232">
        <f>'F5'!J22</f>
        <v>11.781338061886279</v>
      </c>
      <c r="K13" s="232">
        <f>'F5'!K22</f>
        <v>7.2687984392113743</v>
      </c>
      <c r="L13" s="232">
        <f>'F5'!L22</f>
        <v>5.2370733664995406</v>
      </c>
      <c r="M13" s="232">
        <f>'F5'!M22</f>
        <v>1.3437457365003862</v>
      </c>
      <c r="N13" s="232">
        <v>0</v>
      </c>
      <c r="O13" s="232">
        <v>0</v>
      </c>
      <c r="P13" s="233"/>
      <c r="Q13" s="249">
        <f t="shared" si="1"/>
        <v>13.8496175422113</v>
      </c>
    </row>
    <row r="14" spans="2:17" ht="15.75">
      <c r="B14" s="8">
        <f t="shared" si="0"/>
        <v>4</v>
      </c>
      <c r="C14" s="11" t="s">
        <v>37</v>
      </c>
      <c r="D14" s="8" t="s">
        <v>198</v>
      </c>
      <c r="E14" s="10" t="s">
        <v>30</v>
      </c>
      <c r="F14" s="232">
        <v>7.03</v>
      </c>
      <c r="G14" s="232">
        <f ca="1">'F6'!E20</f>
        <v>10.654277147931348</v>
      </c>
      <c r="H14" s="232">
        <f ca="1">'F6'!F20</f>
        <v>10.654277147931348</v>
      </c>
      <c r="I14" s="232">
        <v>7.28</v>
      </c>
      <c r="J14" s="232">
        <f ca="1">'F6'!H20</f>
        <v>11.665750973647448</v>
      </c>
      <c r="K14" s="232">
        <f ca="1">'F6'!I20</f>
        <v>7.6956374259906459</v>
      </c>
      <c r="L14" s="232">
        <f ca="1">'F6'!J20</f>
        <v>8.158140926476781</v>
      </c>
      <c r="M14" s="232">
        <f ca="1">'F6'!K20</f>
        <v>8.3922482687008202</v>
      </c>
      <c r="N14" s="232">
        <f ca="1">'F6'!L20</f>
        <v>8.64504071814269</v>
      </c>
      <c r="O14" s="232">
        <f ca="1">'F6'!M20</f>
        <v>8.8618032095394419</v>
      </c>
      <c r="P14" s="233"/>
      <c r="Q14" s="249">
        <f t="shared" ca="1" si="1"/>
        <v>41.752870548850382</v>
      </c>
    </row>
    <row r="15" spans="2:17" ht="15.75">
      <c r="B15" s="8">
        <f t="shared" si="0"/>
        <v>5</v>
      </c>
      <c r="C15" s="9" t="s">
        <v>239</v>
      </c>
      <c r="D15" s="8" t="s">
        <v>198</v>
      </c>
      <c r="E15" s="10" t="s">
        <v>31</v>
      </c>
      <c r="F15" s="232">
        <v>115.21</v>
      </c>
      <c r="G15" s="232">
        <f>'F7'!E22</f>
        <v>127.05708773256494</v>
      </c>
      <c r="H15" s="232">
        <f>'F7'!F22</f>
        <v>127.05708773256494</v>
      </c>
      <c r="I15" s="232">
        <v>115.214</v>
      </c>
      <c r="J15" s="232">
        <f>'F7'!H22</f>
        <v>127.14506480119869</v>
      </c>
      <c r="K15" s="232">
        <f>'F7'!I22</f>
        <v>130.37574151704217</v>
      </c>
      <c r="L15" s="232">
        <f>'F7'!J22</f>
        <v>134.39655814629171</v>
      </c>
      <c r="M15" s="232">
        <f>'F7'!K22</f>
        <v>135.927888325894</v>
      </c>
      <c r="N15" s="232">
        <f>'F7'!L22</f>
        <v>136.60094597502805</v>
      </c>
      <c r="O15" s="232">
        <f>'F7'!M22</f>
        <v>137.37091069600302</v>
      </c>
      <c r="P15" s="233"/>
      <c r="Q15" s="249">
        <f t="shared" si="1"/>
        <v>674.67204466025896</v>
      </c>
    </row>
    <row r="16" spans="2:17" ht="15.75">
      <c r="B16" s="8">
        <f t="shared" si="0"/>
        <v>6</v>
      </c>
      <c r="C16" s="9" t="s">
        <v>38</v>
      </c>
      <c r="D16" s="8" t="s">
        <v>198</v>
      </c>
      <c r="E16" s="10" t="s">
        <v>32</v>
      </c>
      <c r="F16" s="232"/>
      <c r="G16" s="232">
        <f>'F8'!E22</f>
        <v>2.3537467169681889</v>
      </c>
      <c r="H16" s="232">
        <f>'F8'!F22</f>
        <v>2.3537467169681889</v>
      </c>
      <c r="I16" s="232"/>
      <c r="J16" s="232">
        <f>'F8'!H22</f>
        <v>0.99655876336320592</v>
      </c>
      <c r="K16" s="232">
        <f>'F8'!I22</f>
        <v>0.99655876336320592</v>
      </c>
      <c r="L16" s="232">
        <f>'F8'!J22</f>
        <v>1.0364211138977342</v>
      </c>
      <c r="M16" s="232">
        <f>'F8'!K22</f>
        <v>1.0778779584536438</v>
      </c>
      <c r="N16" s="232">
        <f>'F8'!L22</f>
        <v>1.1209930767917895</v>
      </c>
      <c r="O16" s="232">
        <f>'F8'!M22</f>
        <v>1.1658327998634612</v>
      </c>
      <c r="P16" s="233"/>
      <c r="Q16" s="249">
        <f t="shared" si="1"/>
        <v>5.3976837123698349</v>
      </c>
    </row>
    <row r="17" spans="2:17" ht="15.75">
      <c r="B17" s="18">
        <f t="shared" si="0"/>
        <v>7</v>
      </c>
      <c r="C17" s="235" t="s">
        <v>240</v>
      </c>
      <c r="D17" s="18" t="s">
        <v>198</v>
      </c>
      <c r="E17" s="10"/>
      <c r="F17" s="232">
        <f>SUM(F11:F15)-F16</f>
        <v>330.08</v>
      </c>
      <c r="G17" s="232">
        <f t="shared" ref="G17:O17" ca="1" si="2">SUM(G11:G15)-G16</f>
        <v>431.77308987927239</v>
      </c>
      <c r="H17" s="232">
        <f t="shared" ca="1" si="2"/>
        <v>431.77308987927239</v>
      </c>
      <c r="I17" s="232">
        <f t="shared" si="2"/>
        <v>326.65800000000002</v>
      </c>
      <c r="J17" s="232">
        <f t="shared" ca="1" si="2"/>
        <v>434.88610943700104</v>
      </c>
      <c r="K17" s="232">
        <f t="shared" ca="1" si="2"/>
        <v>354.20876079065334</v>
      </c>
      <c r="L17" s="232">
        <f t="shared" ca="1" si="2"/>
        <v>377.53949312214661</v>
      </c>
      <c r="M17" s="232">
        <f t="shared" ca="1" si="2"/>
        <v>388.12390225379022</v>
      </c>
      <c r="N17" s="232">
        <f t="shared" ca="1" si="2"/>
        <v>400.44396082741395</v>
      </c>
      <c r="O17" s="232">
        <f t="shared" ca="1" si="2"/>
        <v>411.15828046768354</v>
      </c>
      <c r="P17" s="233"/>
      <c r="Q17" s="249">
        <f t="shared" ca="1" si="1"/>
        <v>1931.4743974616877</v>
      </c>
    </row>
    <row r="18" spans="2:17" ht="15.75">
      <c r="B18" s="18" t="s">
        <v>59</v>
      </c>
      <c r="C18" s="18" t="s">
        <v>241</v>
      </c>
      <c r="D18" s="10"/>
      <c r="E18" s="10"/>
      <c r="F18" s="10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pans="2:17" ht="15.75">
      <c r="B19" s="8">
        <v>1</v>
      </c>
      <c r="C19" s="10" t="s">
        <v>242</v>
      </c>
      <c r="D19" s="8" t="s">
        <v>197</v>
      </c>
      <c r="E19" s="10" t="s">
        <v>153</v>
      </c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9"/>
    </row>
    <row r="20" spans="2:17" ht="15.75">
      <c r="B20" s="8">
        <f>B19+1</f>
        <v>2</v>
      </c>
      <c r="C20" s="10" t="s">
        <v>243</v>
      </c>
      <c r="D20" s="8" t="s">
        <v>42</v>
      </c>
      <c r="E20" s="10" t="s">
        <v>34</v>
      </c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9"/>
    </row>
    <row r="21" spans="2:17" ht="15.75">
      <c r="B21" s="8">
        <f>B20+1</f>
        <v>3</v>
      </c>
      <c r="C21" s="10" t="s">
        <v>241</v>
      </c>
      <c r="D21" s="8" t="s">
        <v>198</v>
      </c>
      <c r="E21" s="10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9"/>
    </row>
    <row r="22" spans="2:17" ht="15.75">
      <c r="B22" s="18" t="s">
        <v>60</v>
      </c>
      <c r="C22" s="18" t="s">
        <v>362</v>
      </c>
      <c r="D22" s="8" t="s">
        <v>198</v>
      </c>
      <c r="E22" s="9"/>
      <c r="F22" s="232">
        <f>F17+F21</f>
        <v>330.08</v>
      </c>
      <c r="G22" s="232">
        <f t="shared" ref="G22:O22" ca="1" si="3">G17+G21</f>
        <v>431.77308987927239</v>
      </c>
      <c r="H22" s="232">
        <f t="shared" ca="1" si="3"/>
        <v>431.77308987927239</v>
      </c>
      <c r="I22" s="232">
        <f t="shared" si="3"/>
        <v>326.65800000000002</v>
      </c>
      <c r="J22" s="232">
        <f t="shared" ca="1" si="3"/>
        <v>434.88610943700104</v>
      </c>
      <c r="K22" s="232">
        <f t="shared" ca="1" si="3"/>
        <v>354.20876079065334</v>
      </c>
      <c r="L22" s="232">
        <f t="shared" ca="1" si="3"/>
        <v>377.53949312214661</v>
      </c>
      <c r="M22" s="232">
        <f t="shared" ca="1" si="3"/>
        <v>388.12390225379022</v>
      </c>
      <c r="N22" s="232">
        <f t="shared" ca="1" si="3"/>
        <v>400.44396082741395</v>
      </c>
      <c r="O22" s="232">
        <f t="shared" ca="1" si="3"/>
        <v>411.15828046768354</v>
      </c>
      <c r="P22" s="9"/>
    </row>
    <row r="23" spans="2:17" hidden="1">
      <c r="F23" s="249">
        <f>SUM(F17+F16)</f>
        <v>330.08</v>
      </c>
      <c r="G23" s="249">
        <f t="shared" ref="G23:O23" ca="1" si="4">SUM(G17+G16)</f>
        <v>434.12683659624059</v>
      </c>
      <c r="H23" s="249">
        <f t="shared" ca="1" si="4"/>
        <v>434.12683659624059</v>
      </c>
      <c r="I23" s="249">
        <f t="shared" si="4"/>
        <v>326.65800000000002</v>
      </c>
      <c r="J23" s="249">
        <f t="shared" ca="1" si="4"/>
        <v>435.88266820036426</v>
      </c>
      <c r="K23" s="249">
        <f t="shared" ca="1" si="4"/>
        <v>355.20531955401657</v>
      </c>
      <c r="L23" s="249">
        <f t="shared" ca="1" si="4"/>
        <v>378.57591423604435</v>
      </c>
      <c r="M23" s="249">
        <f t="shared" ca="1" si="4"/>
        <v>389.20178021224388</v>
      </c>
      <c r="N23" s="249">
        <f t="shared" ca="1" si="4"/>
        <v>401.56495390420571</v>
      </c>
      <c r="O23" s="249">
        <f t="shared" ca="1" si="4"/>
        <v>412.32411326754698</v>
      </c>
      <c r="Q23" s="249">
        <f ca="1">Q17+Q16</f>
        <v>1936.8720811740575</v>
      </c>
    </row>
    <row r="24" spans="2:17">
      <c r="G24" s="255"/>
    </row>
  </sheetData>
  <mergeCells count="11">
    <mergeCell ref="B2:P2"/>
    <mergeCell ref="B3:P3"/>
    <mergeCell ref="B4:P4"/>
    <mergeCell ref="D7:D9"/>
    <mergeCell ref="B7:B9"/>
    <mergeCell ref="C7:C9"/>
    <mergeCell ref="E7:E9"/>
    <mergeCell ref="P7:P9"/>
    <mergeCell ref="K7:O7"/>
    <mergeCell ref="F7:H7"/>
    <mergeCell ref="I7:J7"/>
  </mergeCells>
  <pageMargins left="0.23" right="0.23" top="0.92" bottom="1" header="0.5" footer="0.5"/>
  <pageSetup paperSize="9" scale="6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8"/>
  <sheetViews>
    <sheetView showGridLines="0" zoomScale="80" zoomScaleNormal="80" zoomScaleSheetLayoutView="80" workbookViewId="0">
      <selection activeCell="C32" sqref="C32"/>
    </sheetView>
  </sheetViews>
  <sheetFormatPr defaultColWidth="9.28515625" defaultRowHeight="14.25"/>
  <cols>
    <col min="1" max="1" width="9.28515625" style="5"/>
    <col min="2" max="2" width="7.28515625" style="5" customWidth="1"/>
    <col min="3" max="3" width="32.28515625" style="5" customWidth="1"/>
    <col min="4" max="4" width="14.42578125" style="5" customWidth="1"/>
    <col min="5" max="7" width="14.7109375" style="5" customWidth="1"/>
    <col min="8" max="8" width="12.28515625" style="5" bestFit="1" customWidth="1"/>
    <col min="9" max="10" width="12.28515625" style="5" customWidth="1"/>
    <col min="11" max="11" width="12.28515625" style="5" bestFit="1" customWidth="1"/>
    <col min="12" max="12" width="13" style="5" customWidth="1"/>
    <col min="13" max="13" width="13.42578125" style="5" customWidth="1"/>
    <col min="14" max="14" width="12.7109375" style="5" customWidth="1"/>
    <col min="15" max="16384" width="9.28515625" style="5"/>
  </cols>
  <sheetData>
    <row r="1" spans="2:14" ht="15">
      <c r="C1" s="39"/>
      <c r="D1" s="39"/>
      <c r="E1" s="39"/>
      <c r="F1" s="39"/>
      <c r="G1" s="39"/>
      <c r="I1" s="36"/>
      <c r="J1" s="39"/>
    </row>
    <row r="2" spans="2:14" ht="15" customHeight="1">
      <c r="B2" s="256" t="s">
        <v>404</v>
      </c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</row>
    <row r="3" spans="2:14" ht="15" customHeight="1">
      <c r="B3" s="256" t="s">
        <v>376</v>
      </c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</row>
    <row r="4" spans="2:14" ht="15">
      <c r="B4" s="273" t="s">
        <v>334</v>
      </c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</row>
    <row r="5" spans="2:14" ht="15">
      <c r="B5" s="38"/>
      <c r="C5" s="38"/>
      <c r="D5" s="38"/>
      <c r="E5" s="38"/>
      <c r="F5" s="38"/>
      <c r="G5" s="38"/>
      <c r="H5" s="38"/>
      <c r="I5" s="38"/>
      <c r="J5" s="38"/>
    </row>
    <row r="6" spans="2:14" ht="15">
      <c r="B6" s="280" t="s">
        <v>56</v>
      </c>
      <c r="C6" s="280"/>
      <c r="D6" s="280"/>
      <c r="E6" s="280"/>
      <c r="F6" s="280"/>
      <c r="G6" s="280"/>
      <c r="H6" s="280"/>
      <c r="I6" s="280"/>
      <c r="J6" s="280"/>
    </row>
    <row r="7" spans="2:14" ht="15">
      <c r="N7" s="28" t="s">
        <v>4</v>
      </c>
    </row>
    <row r="8" spans="2:14" ht="15" customHeight="1">
      <c r="B8" s="281" t="s">
        <v>186</v>
      </c>
      <c r="C8" s="281" t="s">
        <v>18</v>
      </c>
      <c r="D8" s="277" t="s">
        <v>1</v>
      </c>
      <c r="E8" s="274" t="s">
        <v>377</v>
      </c>
      <c r="F8" s="275"/>
      <c r="G8" s="276"/>
      <c r="H8" s="274" t="s">
        <v>378</v>
      </c>
      <c r="I8" s="275"/>
      <c r="J8" s="282" t="s">
        <v>225</v>
      </c>
      <c r="K8" s="282"/>
      <c r="L8" s="282"/>
      <c r="M8" s="282"/>
      <c r="N8" s="282"/>
    </row>
    <row r="9" spans="2:14" ht="30">
      <c r="B9" s="281"/>
      <c r="C9" s="281"/>
      <c r="D9" s="278"/>
      <c r="E9" s="21" t="s">
        <v>327</v>
      </c>
      <c r="F9" s="21" t="s">
        <v>245</v>
      </c>
      <c r="G9" s="21" t="s">
        <v>201</v>
      </c>
      <c r="H9" s="21" t="s">
        <v>327</v>
      </c>
      <c r="I9" s="21" t="s">
        <v>244</v>
      </c>
      <c r="J9" s="21" t="s">
        <v>379</v>
      </c>
      <c r="K9" s="21" t="s">
        <v>380</v>
      </c>
      <c r="L9" s="21" t="s">
        <v>381</v>
      </c>
      <c r="M9" s="21" t="s">
        <v>382</v>
      </c>
      <c r="N9" s="21" t="s">
        <v>383</v>
      </c>
    </row>
    <row r="10" spans="2:14" ht="15">
      <c r="B10" s="281"/>
      <c r="C10" s="281"/>
      <c r="D10" s="279"/>
      <c r="E10" s="21" t="s">
        <v>10</v>
      </c>
      <c r="F10" s="21" t="s">
        <v>12</v>
      </c>
      <c r="G10" s="21" t="s">
        <v>234</v>
      </c>
      <c r="H10" s="21" t="s">
        <v>10</v>
      </c>
      <c r="I10" s="21" t="s">
        <v>5</v>
      </c>
      <c r="J10" s="21" t="s">
        <v>8</v>
      </c>
      <c r="K10" s="21" t="s">
        <v>8</v>
      </c>
      <c r="L10" s="21" t="s">
        <v>8</v>
      </c>
      <c r="M10" s="21" t="s">
        <v>8</v>
      </c>
      <c r="N10" s="21" t="s">
        <v>8</v>
      </c>
    </row>
    <row r="11" spans="2:14">
      <c r="B11" s="23">
        <v>1</v>
      </c>
      <c r="C11" s="31" t="s">
        <v>57</v>
      </c>
      <c r="D11" s="31" t="s">
        <v>24</v>
      </c>
      <c r="E11" s="157">
        <v>84.31</v>
      </c>
      <c r="F11" s="165">
        <f>F2.1!G36</f>
        <v>155.62335550783388</v>
      </c>
      <c r="G11" s="165">
        <f>F11</f>
        <v>155.62335550783388</v>
      </c>
      <c r="H11" s="126">
        <v>89.37</v>
      </c>
      <c r="I11" s="165">
        <f>F2.1!H36</f>
        <v>162.83976183030092</v>
      </c>
      <c r="J11" s="165">
        <f>F2.1!I36</f>
        <v>130.6560861212244</v>
      </c>
      <c r="K11" s="165">
        <f>F2.1!J36</f>
        <v>138.23413911625542</v>
      </c>
      <c r="L11" s="165">
        <f>F2.1!K36</f>
        <v>146.25171918499825</v>
      </c>
      <c r="M11" s="165">
        <f>F2.1!L36</f>
        <v>154.73431889772814</v>
      </c>
      <c r="N11" s="165">
        <f>F2.1!M36</f>
        <v>163.70890939379638</v>
      </c>
    </row>
    <row r="12" spans="2:14">
      <c r="B12" s="23">
        <f>B11+1</f>
        <v>2</v>
      </c>
      <c r="C12" s="40" t="s">
        <v>246</v>
      </c>
      <c r="D12" s="40" t="s">
        <v>25</v>
      </c>
      <c r="E12" s="159">
        <v>7.65</v>
      </c>
      <c r="F12" s="166">
        <f>F2.2!G40</f>
        <v>9.6835792676675201</v>
      </c>
      <c r="G12" s="165">
        <f>F12</f>
        <v>9.6835792676675201</v>
      </c>
      <c r="H12" s="126">
        <v>7.82</v>
      </c>
      <c r="I12" s="165">
        <f>F2.2!H40</f>
        <v>11.36097443716733</v>
      </c>
      <c r="J12" s="165">
        <f>F2.2!I40</f>
        <v>11.657187327836413</v>
      </c>
      <c r="K12" s="165">
        <f>F2.2!J40</f>
        <v>12.228389506900395</v>
      </c>
      <c r="L12" s="165">
        <f>F2.2!K40</f>
        <v>12.827580592738514</v>
      </c>
      <c r="M12" s="165">
        <f>F2.2!L40</f>
        <v>13.4561320417827</v>
      </c>
      <c r="N12" s="165">
        <f>F2.2!M40</f>
        <v>14.115482511830052</v>
      </c>
    </row>
    <row r="13" spans="2:14">
      <c r="B13" s="23">
        <f>B12+1</f>
        <v>3</v>
      </c>
      <c r="C13" s="31" t="s">
        <v>203</v>
      </c>
      <c r="D13" s="31" t="s">
        <v>276</v>
      </c>
      <c r="E13" s="157">
        <v>9.35</v>
      </c>
      <c r="F13" s="165">
        <f>F2.3!G18</f>
        <v>8.3927560068127161</v>
      </c>
      <c r="G13" s="165">
        <f>F13</f>
        <v>8.3927560068127161</v>
      </c>
      <c r="H13" s="126">
        <v>9.91</v>
      </c>
      <c r="I13" s="165">
        <f>F2.3!H18</f>
        <v>10.592553714558525</v>
      </c>
      <c r="J13" s="165">
        <f>F2.3!I18</f>
        <v>11.191924032259532</v>
      </c>
      <c r="K13" s="165">
        <f>F2.3!J18</f>
        <v>11.744811340311324</v>
      </c>
      <c r="L13" s="165">
        <f>F2.3!K18</f>
        <v>11.899296270102685</v>
      </c>
      <c r="M13" s="165">
        <f>F2.3!L18</f>
        <v>12.0142144382149</v>
      </c>
      <c r="N13" s="165">
        <f>F2.3!M18</f>
        <v>12.017705623068942</v>
      </c>
    </row>
    <row r="14" spans="2:14" ht="15">
      <c r="B14" s="23">
        <f>B13+1</f>
        <v>4</v>
      </c>
      <c r="C14" s="31" t="s">
        <v>58</v>
      </c>
      <c r="D14" s="31"/>
      <c r="E14" s="129">
        <f t="shared" ref="E14:I14" si="0">SUM(E11:E13)</f>
        <v>101.31</v>
      </c>
      <c r="F14" s="129">
        <f t="shared" si="0"/>
        <v>173.69969078231409</v>
      </c>
      <c r="G14" s="129">
        <f>SUM(G11:G13)</f>
        <v>173.69969078231409</v>
      </c>
      <c r="H14" s="129">
        <f t="shared" si="0"/>
        <v>107.1</v>
      </c>
      <c r="I14" s="129">
        <f t="shared" si="0"/>
        <v>184.79328998202678</v>
      </c>
      <c r="J14" s="129">
        <f>SUM(J11:J13)</f>
        <v>153.50519748132035</v>
      </c>
      <c r="K14" s="129">
        <f t="shared" ref="K14:N14" si="1">SUM(K11:K13)</f>
        <v>162.20733996346712</v>
      </c>
      <c r="L14" s="129">
        <f t="shared" si="1"/>
        <v>170.97859604783946</v>
      </c>
      <c r="M14" s="129">
        <f t="shared" si="1"/>
        <v>180.20466537772575</v>
      </c>
      <c r="N14" s="129">
        <f t="shared" si="1"/>
        <v>189.84209752869538</v>
      </c>
    </row>
    <row r="15" spans="2:14">
      <c r="B15" s="51" t="s">
        <v>247</v>
      </c>
      <c r="C15" s="52"/>
      <c r="D15" s="49"/>
      <c r="E15" s="49"/>
      <c r="F15" s="49"/>
      <c r="G15" s="50"/>
      <c r="H15" s="50"/>
      <c r="I15" s="50"/>
      <c r="J15" s="50"/>
      <c r="K15" s="50"/>
      <c r="L15" s="50"/>
      <c r="M15" s="50"/>
      <c r="N15" s="50"/>
    </row>
    <row r="16" spans="2:14">
      <c r="B16" s="53">
        <v>1</v>
      </c>
      <c r="C16" s="52" t="s">
        <v>248</v>
      </c>
    </row>
    <row r="18" spans="2:2">
      <c r="B18" s="37"/>
    </row>
  </sheetData>
  <mergeCells count="10">
    <mergeCell ref="B2:N2"/>
    <mergeCell ref="B3:N3"/>
    <mergeCell ref="B4:N4"/>
    <mergeCell ref="E8:G8"/>
    <mergeCell ref="D8:D10"/>
    <mergeCell ref="B6:J6"/>
    <mergeCell ref="B8:B10"/>
    <mergeCell ref="C8:C10"/>
    <mergeCell ref="J8:N8"/>
    <mergeCell ref="H8:I8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M39"/>
  <sheetViews>
    <sheetView showGridLines="0" topLeftCell="B6" zoomScale="80" zoomScaleNormal="80" zoomScaleSheetLayoutView="70" workbookViewId="0">
      <selection activeCell="P28" sqref="P28"/>
    </sheetView>
  </sheetViews>
  <sheetFormatPr defaultColWidth="9.28515625" defaultRowHeight="14.25"/>
  <cols>
    <col min="1" max="1" width="6.7109375" style="19" customWidth="1"/>
    <col min="2" max="2" width="7" style="19" customWidth="1"/>
    <col min="3" max="3" width="44.42578125" style="19" customWidth="1"/>
    <col min="4" max="6" width="16.7109375" style="19" customWidth="1"/>
    <col min="7" max="7" width="16" style="19" customWidth="1"/>
    <col min="8" max="8" width="18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">
      <c r="B2" s="285" t="s">
        <v>405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</row>
    <row r="3" spans="2:13" ht="15">
      <c r="B3" s="285" t="s">
        <v>410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</row>
    <row r="4" spans="2:13" s="4" customFormat="1" ht="15">
      <c r="B4" s="286" t="s">
        <v>416</v>
      </c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</row>
    <row r="5" spans="2:13" s="4" customFormat="1" ht="15">
      <c r="C5" s="42"/>
      <c r="D5" s="42"/>
      <c r="E5" s="42"/>
      <c r="F5" s="42"/>
      <c r="G5" s="43"/>
      <c r="H5" s="43"/>
    </row>
    <row r="6" spans="2:13" ht="15">
      <c r="M6" s="28" t="s">
        <v>4</v>
      </c>
    </row>
    <row r="7" spans="2:13" ht="12.75" customHeight="1">
      <c r="B7" s="283" t="s">
        <v>2</v>
      </c>
      <c r="C7" s="283" t="s">
        <v>18</v>
      </c>
      <c r="D7" s="21" t="s">
        <v>384</v>
      </c>
      <c r="E7" s="21" t="s">
        <v>385</v>
      </c>
      <c r="F7" s="21" t="s">
        <v>386</v>
      </c>
      <c r="G7" s="21" t="s">
        <v>377</v>
      </c>
      <c r="H7" s="21" t="s">
        <v>378</v>
      </c>
      <c r="I7" s="282" t="s">
        <v>225</v>
      </c>
      <c r="J7" s="282"/>
      <c r="K7" s="282"/>
      <c r="L7" s="282"/>
      <c r="M7" s="282"/>
    </row>
    <row r="8" spans="2:13" ht="15">
      <c r="B8" s="283"/>
      <c r="C8" s="283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379</v>
      </c>
      <c r="J8" s="21" t="s">
        <v>380</v>
      </c>
      <c r="K8" s="21" t="s">
        <v>381</v>
      </c>
      <c r="L8" s="21" t="s">
        <v>382</v>
      </c>
      <c r="M8" s="21" t="s">
        <v>383</v>
      </c>
    </row>
    <row r="9" spans="2:13" ht="15">
      <c r="B9" s="284"/>
      <c r="C9" s="283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44" t="s">
        <v>61</v>
      </c>
      <c r="D10" s="156"/>
      <c r="E10" s="156"/>
      <c r="F10" s="156"/>
      <c r="G10" s="153">
        <v>67.930650223263513</v>
      </c>
      <c r="H10" s="243">
        <v>69.407666797893313</v>
      </c>
      <c r="I10" s="3"/>
      <c r="J10" s="3"/>
      <c r="K10" s="3"/>
      <c r="L10" s="3"/>
      <c r="M10" s="3"/>
    </row>
    <row r="11" spans="2:13">
      <c r="B11" s="2">
        <v>2</v>
      </c>
      <c r="C11" s="44" t="s">
        <v>62</v>
      </c>
      <c r="D11" s="156"/>
      <c r="E11" s="156"/>
      <c r="F11" s="156"/>
      <c r="G11" s="153">
        <v>2.5440655873973292</v>
      </c>
      <c r="H11" s="243">
        <v>6.8430556195687018</v>
      </c>
      <c r="I11" s="3"/>
      <c r="J11" s="3"/>
      <c r="K11" s="3"/>
      <c r="L11" s="3"/>
      <c r="M11" s="3"/>
    </row>
    <row r="12" spans="2:13">
      <c r="B12" s="2">
        <v>3</v>
      </c>
      <c r="C12" s="3" t="s">
        <v>63</v>
      </c>
      <c r="D12" s="153"/>
      <c r="E12" s="153"/>
      <c r="F12" s="153"/>
      <c r="G12" s="153">
        <v>4.2649274707972022</v>
      </c>
      <c r="H12" s="243">
        <v>4.2823170624232709</v>
      </c>
      <c r="I12" s="3"/>
      <c r="J12" s="3"/>
      <c r="K12" s="3"/>
      <c r="L12" s="3"/>
      <c r="M12" s="3"/>
    </row>
    <row r="13" spans="2:13">
      <c r="B13" s="2">
        <v>4</v>
      </c>
      <c r="C13" s="44" t="s">
        <v>64</v>
      </c>
      <c r="D13" s="156"/>
      <c r="E13" s="156"/>
      <c r="F13" s="156"/>
      <c r="G13" s="153">
        <v>0.53298507466269873</v>
      </c>
      <c r="H13" s="243">
        <v>0.50701224129086575</v>
      </c>
      <c r="I13" s="3"/>
      <c r="J13" s="3"/>
      <c r="K13" s="3"/>
      <c r="L13" s="3"/>
      <c r="M13" s="3"/>
    </row>
    <row r="14" spans="2:13">
      <c r="B14" s="2">
        <v>5</v>
      </c>
      <c r="C14" s="44" t="s">
        <v>65</v>
      </c>
      <c r="D14" s="156"/>
      <c r="E14" s="156"/>
      <c r="F14" s="156"/>
      <c r="G14" s="153">
        <v>3.9680329360245478E-4</v>
      </c>
      <c r="H14" s="243">
        <v>6.276794453884656E-4</v>
      </c>
      <c r="I14" s="3"/>
      <c r="J14" s="3"/>
      <c r="K14" s="3"/>
      <c r="L14" s="3"/>
      <c r="M14" s="3"/>
    </row>
    <row r="15" spans="2:13">
      <c r="B15" s="2">
        <v>6</v>
      </c>
      <c r="C15" s="3" t="s">
        <v>66</v>
      </c>
      <c r="D15" s="153"/>
      <c r="E15" s="153"/>
      <c r="F15" s="153"/>
      <c r="G15" s="153">
        <v>30.662308665127284</v>
      </c>
      <c r="H15" s="243">
        <v>15.866334713680782</v>
      </c>
      <c r="I15" s="3"/>
      <c r="J15" s="3"/>
      <c r="K15" s="3"/>
      <c r="L15" s="3"/>
      <c r="M15" s="3"/>
    </row>
    <row r="16" spans="2:13">
      <c r="B16" s="2">
        <v>7</v>
      </c>
      <c r="C16" s="44" t="s">
        <v>67</v>
      </c>
      <c r="D16" s="156"/>
      <c r="E16" s="156"/>
      <c r="F16" s="156"/>
      <c r="G16" s="153">
        <v>13.398325246782832</v>
      </c>
      <c r="H16" s="243">
        <v>11.196765249865171</v>
      </c>
      <c r="I16" s="3"/>
      <c r="J16" s="3"/>
      <c r="K16" s="3"/>
      <c r="L16" s="3"/>
      <c r="M16" s="3"/>
    </row>
    <row r="17" spans="2:13">
      <c r="B17" s="2">
        <v>8</v>
      </c>
      <c r="C17" s="44" t="s">
        <v>68</v>
      </c>
      <c r="D17" s="156"/>
      <c r="E17" s="156"/>
      <c r="F17" s="156"/>
      <c r="G17" s="153">
        <v>5.2183681478639237</v>
      </c>
      <c r="H17" s="243">
        <v>2.50925743254404</v>
      </c>
      <c r="I17" s="3"/>
      <c r="J17" s="3"/>
      <c r="K17" s="3"/>
      <c r="L17" s="3"/>
      <c r="M17" s="3"/>
    </row>
    <row r="18" spans="2:13">
      <c r="B18" s="2">
        <v>9</v>
      </c>
      <c r="C18" s="44" t="s">
        <v>69</v>
      </c>
      <c r="D18" s="156"/>
      <c r="E18" s="156"/>
      <c r="F18" s="156"/>
      <c r="G18" s="153">
        <v>0</v>
      </c>
      <c r="H18" s="243">
        <v>0</v>
      </c>
      <c r="I18" s="3"/>
      <c r="J18" s="3"/>
      <c r="K18" s="3"/>
      <c r="L18" s="3"/>
      <c r="M18" s="3"/>
    </row>
    <row r="19" spans="2:13">
      <c r="B19" s="2">
        <v>10</v>
      </c>
      <c r="C19" s="44" t="s">
        <v>70</v>
      </c>
      <c r="D19" s="156"/>
      <c r="E19" s="156"/>
      <c r="F19" s="156"/>
      <c r="G19" s="156">
        <v>0</v>
      </c>
      <c r="H19" s="243">
        <v>0</v>
      </c>
      <c r="I19" s="3"/>
      <c r="J19" s="3"/>
      <c r="K19" s="3"/>
      <c r="L19" s="3"/>
      <c r="M19" s="3"/>
    </row>
    <row r="20" spans="2:13">
      <c r="B20" s="2">
        <v>11</v>
      </c>
      <c r="C20" s="44" t="s">
        <v>71</v>
      </c>
      <c r="D20" s="156"/>
      <c r="E20" s="156"/>
      <c r="F20" s="156"/>
      <c r="G20" s="156">
        <v>0</v>
      </c>
      <c r="H20" s="243">
        <v>1.4672226433481467E-3</v>
      </c>
      <c r="I20" s="3"/>
      <c r="J20" s="3"/>
      <c r="K20" s="3"/>
      <c r="L20" s="3"/>
      <c r="M20" s="3"/>
    </row>
    <row r="21" spans="2:13">
      <c r="B21" s="2">
        <v>12</v>
      </c>
      <c r="C21" s="44" t="s">
        <v>72</v>
      </c>
      <c r="D21" s="156"/>
      <c r="E21" s="156"/>
      <c r="F21" s="156"/>
      <c r="G21" s="156">
        <v>3.4319873153074183</v>
      </c>
      <c r="H21" s="243">
        <v>2.857245759240608</v>
      </c>
      <c r="I21" s="3"/>
      <c r="J21" s="3"/>
      <c r="K21" s="3"/>
      <c r="L21" s="3"/>
      <c r="M21" s="3"/>
    </row>
    <row r="22" spans="2:13">
      <c r="B22" s="2">
        <v>13</v>
      </c>
      <c r="C22" s="44" t="s">
        <v>73</v>
      </c>
      <c r="D22" s="156"/>
      <c r="E22" s="156"/>
      <c r="F22" s="156"/>
      <c r="G22" s="156">
        <v>0</v>
      </c>
      <c r="H22" s="243">
        <v>0</v>
      </c>
      <c r="I22" s="3"/>
      <c r="J22" s="3"/>
      <c r="K22" s="3"/>
      <c r="L22" s="3"/>
      <c r="M22" s="3"/>
    </row>
    <row r="23" spans="2:13">
      <c r="B23" s="2">
        <v>14</v>
      </c>
      <c r="C23" s="44" t="s">
        <v>74</v>
      </c>
      <c r="D23" s="156"/>
      <c r="E23" s="156"/>
      <c r="F23" s="156"/>
      <c r="G23" s="156">
        <v>0</v>
      </c>
      <c r="H23" s="243">
        <v>0</v>
      </c>
      <c r="I23" s="3"/>
      <c r="J23" s="3"/>
      <c r="K23" s="3"/>
      <c r="L23" s="3"/>
      <c r="M23" s="3"/>
    </row>
    <row r="24" spans="2:13">
      <c r="B24" s="2">
        <v>15</v>
      </c>
      <c r="C24" s="44" t="s">
        <v>75</v>
      </c>
      <c r="D24" s="156"/>
      <c r="E24" s="156"/>
      <c r="F24" s="156"/>
      <c r="G24" s="153">
        <v>0</v>
      </c>
      <c r="H24" s="243">
        <v>0</v>
      </c>
      <c r="I24" s="3"/>
      <c r="J24" s="3"/>
      <c r="K24" s="3"/>
      <c r="L24" s="3"/>
      <c r="M24" s="3"/>
    </row>
    <row r="25" spans="2:13">
      <c r="B25" s="2">
        <v>16</v>
      </c>
      <c r="C25" s="44" t="s">
        <v>76</v>
      </c>
      <c r="D25" s="156"/>
      <c r="E25" s="156"/>
      <c r="F25" s="156"/>
      <c r="G25" s="185">
        <v>0</v>
      </c>
      <c r="H25" s="243">
        <v>0</v>
      </c>
      <c r="I25" s="3"/>
      <c r="J25" s="3"/>
      <c r="K25" s="3"/>
      <c r="L25" s="3"/>
      <c r="M25" s="3"/>
    </row>
    <row r="26" spans="2:13" ht="15">
      <c r="B26" s="2">
        <v>17</v>
      </c>
      <c r="C26" s="44" t="s">
        <v>77</v>
      </c>
      <c r="D26" s="156"/>
      <c r="E26" s="156"/>
      <c r="F26" s="156"/>
      <c r="G26" s="185">
        <v>127.9840145344958</v>
      </c>
      <c r="H26" s="244">
        <v>113.47174977859549</v>
      </c>
      <c r="I26" s="3"/>
      <c r="J26" s="3"/>
      <c r="K26" s="3"/>
      <c r="L26" s="3"/>
      <c r="M26" s="3"/>
    </row>
    <row r="27" spans="2:13">
      <c r="B27" s="2">
        <v>18</v>
      </c>
      <c r="C27" s="44" t="s">
        <v>78</v>
      </c>
      <c r="D27" s="156"/>
      <c r="E27" s="156"/>
      <c r="F27" s="156"/>
      <c r="G27" s="185">
        <v>0</v>
      </c>
      <c r="H27" s="243">
        <v>0</v>
      </c>
      <c r="I27" s="3"/>
      <c r="J27" s="3"/>
      <c r="K27" s="3"/>
      <c r="L27" s="3"/>
      <c r="M27" s="3"/>
    </row>
    <row r="28" spans="2:13">
      <c r="B28" s="2">
        <f>+B27+0.1</f>
        <v>18.100000000000001</v>
      </c>
      <c r="C28" s="44" t="s">
        <v>79</v>
      </c>
      <c r="D28" s="156"/>
      <c r="E28" s="156"/>
      <c r="F28" s="156"/>
      <c r="G28" s="185">
        <v>6.1025770697518089</v>
      </c>
      <c r="H28" s="243">
        <v>6.4660726234022761</v>
      </c>
      <c r="I28" s="3"/>
      <c r="J28" s="3"/>
      <c r="K28" s="3"/>
      <c r="L28" s="3"/>
      <c r="M28" s="3"/>
    </row>
    <row r="29" spans="2:13">
      <c r="B29" s="2">
        <f>+B28+0.1</f>
        <v>18.200000000000003</v>
      </c>
      <c r="C29" s="44" t="s">
        <v>80</v>
      </c>
      <c r="D29" s="156"/>
      <c r="E29" s="156"/>
      <c r="F29" s="156"/>
      <c r="G29" s="185">
        <v>0</v>
      </c>
      <c r="H29" s="243">
        <v>0</v>
      </c>
      <c r="I29" s="3"/>
      <c r="J29" s="3"/>
      <c r="K29" s="3"/>
      <c r="L29" s="3"/>
      <c r="M29" s="3"/>
    </row>
    <row r="30" spans="2:13">
      <c r="B30" s="2">
        <f>+B29+0.1</f>
        <v>18.300000000000004</v>
      </c>
      <c r="C30" s="44" t="s">
        <v>81</v>
      </c>
      <c r="D30" s="156"/>
      <c r="E30" s="156"/>
      <c r="F30" s="156"/>
      <c r="G30" s="185">
        <v>0</v>
      </c>
      <c r="H30" s="243">
        <v>0</v>
      </c>
      <c r="I30" s="3"/>
      <c r="J30" s="3"/>
      <c r="K30" s="3"/>
      <c r="L30" s="3"/>
      <c r="M30" s="3"/>
    </row>
    <row r="31" spans="2:13">
      <c r="B31" s="2">
        <f>+B30+0.1</f>
        <v>18.400000000000006</v>
      </c>
      <c r="C31" s="44" t="s">
        <v>82</v>
      </c>
      <c r="D31" s="156"/>
      <c r="E31" s="156"/>
      <c r="F31" s="156"/>
      <c r="G31" s="153">
        <v>21.536763903586277</v>
      </c>
      <c r="H31" s="243">
        <v>42.901939428303137</v>
      </c>
      <c r="I31" s="3"/>
      <c r="J31" s="3"/>
      <c r="K31" s="3"/>
      <c r="L31" s="3"/>
      <c r="M31" s="3"/>
    </row>
    <row r="32" spans="2:13">
      <c r="B32" s="2">
        <v>19</v>
      </c>
      <c r="C32" s="48" t="s">
        <v>361</v>
      </c>
      <c r="D32" s="156"/>
      <c r="E32" s="156"/>
      <c r="F32" s="156"/>
      <c r="G32" s="153">
        <v>0</v>
      </c>
      <c r="H32" s="243">
        <v>0</v>
      </c>
      <c r="I32" s="3"/>
      <c r="J32" s="3"/>
      <c r="K32" s="3"/>
      <c r="L32" s="3"/>
      <c r="M32" s="3"/>
    </row>
    <row r="33" spans="2:13">
      <c r="B33" s="2">
        <v>20</v>
      </c>
      <c r="C33" s="44" t="s">
        <v>83</v>
      </c>
      <c r="D33" s="156"/>
      <c r="E33" s="156"/>
      <c r="F33" s="156"/>
      <c r="G33" s="153">
        <v>0</v>
      </c>
      <c r="H33" s="243">
        <v>0</v>
      </c>
      <c r="I33" s="153">
        <v>130.6560861212244</v>
      </c>
      <c r="J33" s="153">
        <v>138.23413911625542</v>
      </c>
      <c r="K33" s="153">
        <v>146.25171918499825</v>
      </c>
      <c r="L33" s="153">
        <v>154.73431889772814</v>
      </c>
      <c r="M33" s="153">
        <v>163.70890939379638</v>
      </c>
    </row>
    <row r="34" spans="2:13" ht="15">
      <c r="B34" s="20">
        <v>21</v>
      </c>
      <c r="C34" s="45" t="s">
        <v>84</v>
      </c>
      <c r="D34" s="155">
        <f>SUM(D26:D33)</f>
        <v>0</v>
      </c>
      <c r="E34" s="155">
        <f t="shared" ref="E34:G34" si="0">SUM(E26:E33)</f>
        <v>0</v>
      </c>
      <c r="F34" s="155">
        <f t="shared" si="0"/>
        <v>0</v>
      </c>
      <c r="G34" s="155">
        <f t="shared" si="0"/>
        <v>155.62335550783388</v>
      </c>
      <c r="H34" s="155">
        <f>SUM(H26:H33)</f>
        <v>162.83976183030092</v>
      </c>
      <c r="I34" s="155">
        <f t="shared" ref="I34:M34" si="1">SUM(I10:I33)</f>
        <v>130.6560861212244</v>
      </c>
      <c r="J34" s="155">
        <f t="shared" si="1"/>
        <v>138.23413911625542</v>
      </c>
      <c r="K34" s="155">
        <f t="shared" si="1"/>
        <v>146.25171918499825</v>
      </c>
      <c r="L34" s="155">
        <f t="shared" si="1"/>
        <v>154.73431889772814</v>
      </c>
      <c r="M34" s="155">
        <f t="shared" si="1"/>
        <v>163.70890939379638</v>
      </c>
    </row>
    <row r="35" spans="2:13">
      <c r="B35" s="2">
        <v>22</v>
      </c>
      <c r="C35" s="44" t="s">
        <v>17</v>
      </c>
      <c r="D35" s="156"/>
      <c r="E35" s="156"/>
      <c r="F35" s="156"/>
      <c r="G35" s="153"/>
      <c r="H35" s="153"/>
      <c r="I35" s="153"/>
      <c r="J35" s="153"/>
      <c r="K35" s="153"/>
      <c r="L35" s="153"/>
      <c r="M35" s="153"/>
    </row>
    <row r="36" spans="2:13" ht="15">
      <c r="B36" s="20">
        <v>23</v>
      </c>
      <c r="C36" s="22" t="s">
        <v>85</v>
      </c>
      <c r="D36" s="131">
        <v>71.39</v>
      </c>
      <c r="E36" s="131">
        <v>82.23</v>
      </c>
      <c r="F36" s="131">
        <v>79.540000000000006</v>
      </c>
      <c r="G36" s="131">
        <f t="shared" ref="G36:M36" si="2">G34-G35</f>
        <v>155.62335550783388</v>
      </c>
      <c r="H36" s="131">
        <f t="shared" si="2"/>
        <v>162.83976183030092</v>
      </c>
      <c r="I36" s="131">
        <f t="shared" si="2"/>
        <v>130.6560861212244</v>
      </c>
      <c r="J36" s="131">
        <f t="shared" si="2"/>
        <v>138.23413911625542</v>
      </c>
      <c r="K36" s="131">
        <f t="shared" si="2"/>
        <v>146.25171918499825</v>
      </c>
      <c r="L36" s="131">
        <f t="shared" si="2"/>
        <v>154.73431889772814</v>
      </c>
      <c r="M36" s="131">
        <f t="shared" si="2"/>
        <v>163.70890939379638</v>
      </c>
    </row>
    <row r="38" spans="2:13" ht="15">
      <c r="B38" s="46"/>
    </row>
    <row r="39" spans="2:13">
      <c r="B39" s="47"/>
    </row>
  </sheetData>
  <mergeCells count="6">
    <mergeCell ref="I7:M7"/>
    <mergeCell ref="B7:B9"/>
    <mergeCell ref="C7:C9"/>
    <mergeCell ref="B2:M2"/>
    <mergeCell ref="B3:M3"/>
    <mergeCell ref="B4:M4"/>
  </mergeCells>
  <pageMargins left="0.28999999999999998" right="0.45" top="1" bottom="1" header="0.5" footer="0.5"/>
  <pageSetup paperSize="9" scale="69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40"/>
  <sheetViews>
    <sheetView showGridLines="0" zoomScale="80" zoomScaleNormal="80" zoomScaleSheetLayoutView="70" workbookViewId="0">
      <selection activeCell="B2" sqref="B2:M4"/>
    </sheetView>
  </sheetViews>
  <sheetFormatPr defaultColWidth="9.28515625" defaultRowHeight="14.25"/>
  <cols>
    <col min="1" max="1" width="2" style="19" customWidth="1"/>
    <col min="2" max="2" width="7" style="19" customWidth="1"/>
    <col min="3" max="3" width="50.2851562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.75">
      <c r="B2" s="256" t="s">
        <v>404</v>
      </c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</row>
    <row r="3" spans="2:13" ht="15.75">
      <c r="B3" s="256" t="s">
        <v>409</v>
      </c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</row>
    <row r="4" spans="2:13" s="4" customFormat="1" ht="15.75">
      <c r="B4" s="256" t="s">
        <v>406</v>
      </c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</row>
    <row r="6" spans="2:13" ht="15">
      <c r="M6" s="28" t="s">
        <v>4</v>
      </c>
    </row>
    <row r="7" spans="2:13" ht="12.75" customHeight="1">
      <c r="B7" s="287" t="s">
        <v>186</v>
      </c>
      <c r="C7" s="283" t="s">
        <v>18</v>
      </c>
      <c r="D7" s="21" t="s">
        <v>384</v>
      </c>
      <c r="E7" s="21" t="s">
        <v>385</v>
      </c>
      <c r="F7" s="21" t="s">
        <v>386</v>
      </c>
      <c r="G7" s="21" t="s">
        <v>377</v>
      </c>
      <c r="H7" s="21" t="s">
        <v>378</v>
      </c>
      <c r="I7" s="282" t="s">
        <v>225</v>
      </c>
      <c r="J7" s="282"/>
      <c r="K7" s="282"/>
      <c r="L7" s="282"/>
      <c r="M7" s="282"/>
    </row>
    <row r="8" spans="2:13" ht="15">
      <c r="B8" s="287"/>
      <c r="C8" s="283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379</v>
      </c>
      <c r="J8" s="21" t="s">
        <v>380</v>
      </c>
      <c r="K8" s="21" t="s">
        <v>381</v>
      </c>
      <c r="L8" s="21" t="s">
        <v>382</v>
      </c>
      <c r="M8" s="21" t="s">
        <v>383</v>
      </c>
    </row>
    <row r="9" spans="2:13" ht="15">
      <c r="B9" s="287"/>
      <c r="C9" s="283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3">
        <v>1</v>
      </c>
      <c r="C10" s="54" t="s">
        <v>86</v>
      </c>
      <c r="D10" s="153">
        <v>2.9715256450150777E-2</v>
      </c>
      <c r="E10" s="153">
        <v>7.6007067064262912E-2</v>
      </c>
      <c r="F10" s="153">
        <v>0.45504756237749644</v>
      </c>
      <c r="G10" s="153">
        <v>4.5207121912187898E-2</v>
      </c>
      <c r="H10" s="245">
        <v>0.14161158329411622</v>
      </c>
      <c r="I10" s="3"/>
      <c r="J10" s="3"/>
      <c r="K10" s="3"/>
      <c r="L10" s="3"/>
      <c r="M10" s="3"/>
    </row>
    <row r="11" spans="2:13">
      <c r="B11" s="3">
        <v>2</v>
      </c>
      <c r="C11" s="55" t="s">
        <v>87</v>
      </c>
      <c r="D11" s="153">
        <v>4.2472423805265204E-2</v>
      </c>
      <c r="E11" s="153">
        <v>3.9509280310472988E-2</v>
      </c>
      <c r="F11" s="153">
        <v>3.2012569038508396E-2</v>
      </c>
      <c r="G11" s="153">
        <v>1.5913276972071004E-2</v>
      </c>
      <c r="H11" s="245">
        <v>1.6201609364003909E-2</v>
      </c>
      <c r="I11" s="3"/>
      <c r="J11" s="3"/>
      <c r="K11" s="3"/>
      <c r="L11" s="3"/>
      <c r="M11" s="3"/>
    </row>
    <row r="12" spans="2:13">
      <c r="B12" s="3">
        <v>3</v>
      </c>
      <c r="C12" s="55" t="s">
        <v>88</v>
      </c>
      <c r="D12" s="153">
        <v>0.14072972599898248</v>
      </c>
      <c r="E12" s="153">
        <v>0.12484407630766622</v>
      </c>
      <c r="F12" s="153">
        <v>0.10107244871218174</v>
      </c>
      <c r="G12" s="153">
        <v>0.2203766972682325</v>
      </c>
      <c r="H12" s="245">
        <v>0.21928573437148244</v>
      </c>
      <c r="I12" s="3"/>
      <c r="J12" s="3"/>
      <c r="K12" s="3"/>
      <c r="L12" s="3"/>
      <c r="M12" s="3"/>
    </row>
    <row r="13" spans="2:13">
      <c r="B13" s="3">
        <v>4</v>
      </c>
      <c r="C13" s="55" t="s">
        <v>89</v>
      </c>
      <c r="D13" s="153">
        <v>0.2351109511873902</v>
      </c>
      <c r="E13" s="153">
        <v>0.17221879771139523</v>
      </c>
      <c r="F13" s="153">
        <v>0.1410386848171738</v>
      </c>
      <c r="G13" s="153">
        <v>0.22876377720339902</v>
      </c>
      <c r="H13" s="245">
        <v>0.15490519799668789</v>
      </c>
      <c r="I13" s="3"/>
      <c r="J13" s="3"/>
      <c r="K13" s="3"/>
      <c r="L13" s="3"/>
      <c r="M13" s="3"/>
    </row>
    <row r="14" spans="2:13">
      <c r="B14" s="3">
        <v>5</v>
      </c>
      <c r="C14" s="55" t="s">
        <v>90</v>
      </c>
      <c r="D14" s="153">
        <v>3.1683551253325434E-2</v>
      </c>
      <c r="E14" s="153">
        <v>2.6974281054238703E-2</v>
      </c>
      <c r="F14" s="153">
        <v>8.5201498758539856E-2</v>
      </c>
      <c r="G14" s="153">
        <v>8.8816988652036452E-2</v>
      </c>
      <c r="H14" s="245">
        <v>2.2690470186237717E-2</v>
      </c>
      <c r="I14" s="3"/>
      <c r="J14" s="3"/>
      <c r="K14" s="3"/>
      <c r="L14" s="3"/>
      <c r="M14" s="3"/>
    </row>
    <row r="15" spans="2:13">
      <c r="B15" s="3">
        <v>6</v>
      </c>
      <c r="C15" s="55" t="s">
        <v>91</v>
      </c>
      <c r="D15" s="153">
        <v>0.16137180416783525</v>
      </c>
      <c r="E15" s="153">
        <v>3.4015046827475595E-2</v>
      </c>
      <c r="F15" s="153">
        <v>3.6087279873694929E-2</v>
      </c>
      <c r="G15" s="153">
        <v>9.5954536867510765E-2</v>
      </c>
      <c r="H15" s="245">
        <v>7.9883117984783966E-2</v>
      </c>
      <c r="I15" s="3"/>
      <c r="J15" s="3"/>
      <c r="K15" s="3"/>
      <c r="L15" s="3"/>
      <c r="M15" s="3"/>
    </row>
    <row r="16" spans="2:13">
      <c r="B16" s="3">
        <v>7</v>
      </c>
      <c r="C16" s="55" t="s">
        <v>92</v>
      </c>
      <c r="D16" s="153">
        <v>0.16142541318957321</v>
      </c>
      <c r="E16" s="153">
        <v>1.2300101173449098</v>
      </c>
      <c r="F16" s="153">
        <v>2.9351470890211742</v>
      </c>
      <c r="G16" s="153">
        <v>1.3371627038600928</v>
      </c>
      <c r="H16" s="245">
        <v>1.3982187641497796</v>
      </c>
      <c r="I16" s="3"/>
      <c r="J16" s="3"/>
      <c r="K16" s="3"/>
      <c r="L16" s="3"/>
      <c r="M16" s="3"/>
    </row>
    <row r="17" spans="2:13">
      <c r="B17" s="3">
        <v>8</v>
      </c>
      <c r="C17" s="55" t="s">
        <v>93</v>
      </c>
      <c r="D17" s="153">
        <v>1.5145948470205169E-2</v>
      </c>
      <c r="E17" s="153">
        <v>1.8533377198155548E-2</v>
      </c>
      <c r="F17" s="153">
        <v>7.8974707138781373E-3</v>
      </c>
      <c r="G17" s="153">
        <v>3.4040663241984488E-3</v>
      </c>
      <c r="H17" s="245">
        <v>4.9282948264217624E-3</v>
      </c>
      <c r="I17" s="3"/>
      <c r="J17" s="3"/>
      <c r="K17" s="3"/>
      <c r="L17" s="3"/>
      <c r="M17" s="3"/>
    </row>
    <row r="18" spans="2:13">
      <c r="B18" s="3">
        <v>9</v>
      </c>
      <c r="C18" s="55" t="s">
        <v>94</v>
      </c>
      <c r="D18" s="153">
        <v>4.8977944129320479</v>
      </c>
      <c r="E18" s="153">
        <v>5.1333959141584442</v>
      </c>
      <c r="F18" s="153">
        <v>7.225831907617569</v>
      </c>
      <c r="G18" s="153">
        <v>6.1322141161447812</v>
      </c>
      <c r="H18" s="245">
        <v>5.9724589362441911</v>
      </c>
      <c r="I18" s="3"/>
      <c r="J18" s="3"/>
      <c r="K18" s="3"/>
      <c r="L18" s="3"/>
      <c r="M18" s="3"/>
    </row>
    <row r="19" spans="2:13">
      <c r="B19" s="3">
        <v>10</v>
      </c>
      <c r="C19" s="55" t="s">
        <v>95</v>
      </c>
      <c r="D19" s="153">
        <v>4.1216067992525848E-2</v>
      </c>
      <c r="E19" s="153">
        <v>0.22716361256573572</v>
      </c>
      <c r="F19" s="153">
        <v>4.1078107675462272E-2</v>
      </c>
      <c r="G19" s="153">
        <v>3.2415037971716298E-2</v>
      </c>
      <c r="H19" s="245">
        <v>3.1683622035199824E-2</v>
      </c>
      <c r="I19" s="3"/>
      <c r="J19" s="3"/>
      <c r="K19" s="3"/>
      <c r="L19" s="3"/>
      <c r="M19" s="3"/>
    </row>
    <row r="20" spans="2:13">
      <c r="B20" s="3">
        <v>11</v>
      </c>
      <c r="C20" s="55" t="s">
        <v>96</v>
      </c>
      <c r="D20" s="153">
        <v>2.2395000000000002E-3</v>
      </c>
      <c r="E20" s="153">
        <v>2.7759999999999998E-3</v>
      </c>
      <c r="F20" s="153">
        <v>6.2100000000000002E-4</v>
      </c>
      <c r="G20" s="153">
        <v>1.8390059620930555E-3</v>
      </c>
      <c r="H20" s="245">
        <v>1.2770130048756719E-3</v>
      </c>
      <c r="I20" s="3"/>
      <c r="J20" s="3"/>
      <c r="K20" s="3"/>
      <c r="L20" s="3"/>
      <c r="M20" s="3"/>
    </row>
    <row r="21" spans="2:13">
      <c r="B21" s="3">
        <v>12</v>
      </c>
      <c r="C21" s="55" t="s">
        <v>97</v>
      </c>
      <c r="D21" s="153">
        <v>0</v>
      </c>
      <c r="E21" s="153">
        <v>0</v>
      </c>
      <c r="F21" s="153">
        <v>0</v>
      </c>
      <c r="G21" s="153">
        <v>0</v>
      </c>
      <c r="H21" s="245">
        <v>0</v>
      </c>
      <c r="I21" s="3"/>
      <c r="J21" s="3"/>
      <c r="K21" s="3"/>
      <c r="L21" s="3"/>
      <c r="M21" s="3"/>
    </row>
    <row r="22" spans="2:13">
      <c r="B22" s="3">
        <v>13</v>
      </c>
      <c r="C22" s="55" t="s">
        <v>98</v>
      </c>
      <c r="D22" s="153">
        <v>2.0991690553789799E-2</v>
      </c>
      <c r="E22" s="153">
        <v>2.7940260589778391E-2</v>
      </c>
      <c r="F22" s="153">
        <v>1.568136992748639E-2</v>
      </c>
      <c r="G22" s="153">
        <v>3.1455769945252385E-2</v>
      </c>
      <c r="H22" s="245">
        <v>2.4084717715558052E-2</v>
      </c>
      <c r="I22" s="3"/>
      <c r="J22" s="3"/>
      <c r="K22" s="3"/>
      <c r="L22" s="3"/>
      <c r="M22" s="3"/>
    </row>
    <row r="23" spans="2:13">
      <c r="B23" s="3">
        <v>14</v>
      </c>
      <c r="C23" s="55" t="s">
        <v>99</v>
      </c>
      <c r="D23" s="153">
        <v>1.2161289451275599</v>
      </c>
      <c r="E23" s="153">
        <v>5.661183848548032E-2</v>
      </c>
      <c r="F23" s="153">
        <v>9.6317197600218993E-2</v>
      </c>
      <c r="G23" s="153">
        <v>3.2201897662168626E-2</v>
      </c>
      <c r="H23" s="245">
        <v>4.6497709233754701E-2</v>
      </c>
      <c r="I23" s="3"/>
      <c r="J23" s="3"/>
      <c r="K23" s="3"/>
      <c r="L23" s="3"/>
      <c r="M23" s="3"/>
    </row>
    <row r="24" spans="2:13">
      <c r="B24" s="3">
        <v>15</v>
      </c>
      <c r="C24" s="55" t="s">
        <v>100</v>
      </c>
      <c r="D24" s="153">
        <v>0</v>
      </c>
      <c r="E24" s="153">
        <v>0</v>
      </c>
      <c r="F24" s="153">
        <v>0</v>
      </c>
      <c r="G24" s="153">
        <v>0</v>
      </c>
      <c r="H24" s="245">
        <v>0</v>
      </c>
      <c r="I24" s="3"/>
      <c r="J24" s="3"/>
      <c r="K24" s="3"/>
      <c r="L24" s="3"/>
      <c r="M24" s="3"/>
    </row>
    <row r="25" spans="2:13">
      <c r="B25" s="3">
        <v>16</v>
      </c>
      <c r="C25" s="54" t="s">
        <v>101</v>
      </c>
      <c r="D25" s="153">
        <v>0</v>
      </c>
      <c r="E25" s="153">
        <v>0</v>
      </c>
      <c r="F25" s="153">
        <v>0</v>
      </c>
      <c r="G25" s="153">
        <v>0</v>
      </c>
      <c r="H25" s="245">
        <v>0</v>
      </c>
      <c r="I25" s="3"/>
      <c r="J25" s="3"/>
      <c r="K25" s="3"/>
      <c r="L25" s="3"/>
      <c r="M25" s="3"/>
    </row>
    <row r="26" spans="2:13">
      <c r="B26" s="3">
        <v>17</v>
      </c>
      <c r="C26" s="54" t="s">
        <v>102</v>
      </c>
      <c r="D26" s="153">
        <v>0</v>
      </c>
      <c r="E26" s="153">
        <v>0</v>
      </c>
      <c r="F26" s="153">
        <v>0</v>
      </c>
      <c r="G26" s="153">
        <v>0</v>
      </c>
      <c r="H26" s="245">
        <v>0</v>
      </c>
      <c r="I26" s="3"/>
      <c r="J26" s="3"/>
      <c r="K26" s="3"/>
      <c r="L26" s="3"/>
      <c r="M26" s="3"/>
    </row>
    <row r="27" spans="2:13">
      <c r="B27" s="3">
        <v>18</v>
      </c>
      <c r="C27" s="55" t="s">
        <v>103</v>
      </c>
      <c r="D27" s="153">
        <v>5.7753997130594051E-2</v>
      </c>
      <c r="E27" s="153">
        <v>2.7502618942615242E-2</v>
      </c>
      <c r="F27" s="153">
        <v>3.6913423430347155E-2</v>
      </c>
      <c r="G27" s="153">
        <v>0.10937877467396637</v>
      </c>
      <c r="H27" s="245">
        <v>9.9835698228906783E-2</v>
      </c>
      <c r="I27" s="3"/>
      <c r="J27" s="3"/>
      <c r="K27" s="3"/>
      <c r="L27" s="3"/>
      <c r="M27" s="3"/>
    </row>
    <row r="28" spans="2:13">
      <c r="B28" s="3">
        <v>19</v>
      </c>
      <c r="C28" s="55" t="s">
        <v>104</v>
      </c>
      <c r="D28" s="153">
        <v>1.0724505126368933</v>
      </c>
      <c r="E28" s="153">
        <v>1.0098139467592029</v>
      </c>
      <c r="F28" s="153">
        <v>0.99290392417864692</v>
      </c>
      <c r="G28" s="153">
        <v>1.1003026566059715</v>
      </c>
      <c r="H28" s="245">
        <v>1.1014025524039837</v>
      </c>
      <c r="I28" s="3"/>
      <c r="J28" s="3"/>
      <c r="K28" s="3"/>
      <c r="L28" s="3"/>
      <c r="M28" s="3"/>
    </row>
    <row r="29" spans="2:13">
      <c r="B29" s="3">
        <v>20</v>
      </c>
      <c r="C29" s="55" t="s">
        <v>105</v>
      </c>
      <c r="D29" s="153">
        <v>0</v>
      </c>
      <c r="E29" s="153">
        <v>0</v>
      </c>
      <c r="F29" s="153">
        <v>0</v>
      </c>
      <c r="G29" s="153">
        <v>0</v>
      </c>
      <c r="H29" s="245">
        <v>0</v>
      </c>
      <c r="I29" s="3"/>
      <c r="J29" s="3"/>
      <c r="K29" s="3"/>
      <c r="L29" s="3"/>
      <c r="M29" s="3"/>
    </row>
    <row r="30" spans="2:13">
      <c r="B30" s="3">
        <v>21</v>
      </c>
      <c r="C30" s="55" t="s">
        <v>106</v>
      </c>
      <c r="D30" s="153">
        <v>0</v>
      </c>
      <c r="E30" s="153">
        <v>0</v>
      </c>
      <c r="F30" s="153">
        <v>0</v>
      </c>
      <c r="G30" s="153">
        <v>0</v>
      </c>
      <c r="H30" s="245">
        <v>0</v>
      </c>
      <c r="I30" s="3"/>
      <c r="J30" s="3"/>
      <c r="K30" s="3"/>
      <c r="L30" s="3"/>
      <c r="M30" s="3"/>
    </row>
    <row r="31" spans="2:13">
      <c r="B31" s="3">
        <v>22</v>
      </c>
      <c r="C31" s="55" t="s">
        <v>107</v>
      </c>
      <c r="D31" s="153">
        <v>7.1500000000000003E-4</v>
      </c>
      <c r="E31" s="153">
        <v>0</v>
      </c>
      <c r="F31" s="153">
        <v>0</v>
      </c>
      <c r="G31" s="153">
        <v>0</v>
      </c>
      <c r="H31" s="245">
        <v>0</v>
      </c>
      <c r="I31" s="3"/>
      <c r="J31" s="3"/>
      <c r="K31" s="3"/>
      <c r="L31" s="3"/>
      <c r="M31" s="3"/>
    </row>
    <row r="32" spans="2:13">
      <c r="B32" s="3">
        <v>23</v>
      </c>
      <c r="C32" s="55" t="s">
        <v>108</v>
      </c>
      <c r="D32" s="153">
        <v>0</v>
      </c>
      <c r="E32" s="153">
        <v>0</v>
      </c>
      <c r="F32" s="153">
        <v>0</v>
      </c>
      <c r="G32" s="153">
        <v>0</v>
      </c>
      <c r="H32" s="245">
        <v>0</v>
      </c>
      <c r="I32" s="3"/>
      <c r="J32" s="3"/>
      <c r="K32" s="3"/>
      <c r="L32" s="3"/>
      <c r="M32" s="3"/>
    </row>
    <row r="33" spans="2:13">
      <c r="B33" s="3">
        <v>24</v>
      </c>
      <c r="C33" s="55" t="s">
        <v>109</v>
      </c>
      <c r="D33" s="153">
        <v>7.155349869742661E-2</v>
      </c>
      <c r="E33" s="153">
        <v>1.7866487993029319E-2</v>
      </c>
      <c r="F33" s="153">
        <v>8.6614146047715279E-2</v>
      </c>
      <c r="G33" s="153">
        <v>4.7640525174714315E-2</v>
      </c>
      <c r="H33" s="245">
        <v>7.5026557358748927E-2</v>
      </c>
      <c r="I33" s="3"/>
      <c r="J33" s="3"/>
      <c r="K33" s="3"/>
      <c r="L33" s="3"/>
      <c r="M33" s="3"/>
    </row>
    <row r="34" spans="2:13">
      <c r="B34" s="3">
        <v>25</v>
      </c>
      <c r="C34" s="55" t="s">
        <v>110</v>
      </c>
      <c r="D34" s="153">
        <v>0</v>
      </c>
      <c r="E34" s="153">
        <v>0</v>
      </c>
      <c r="F34" s="153">
        <v>0</v>
      </c>
      <c r="G34" s="153">
        <v>0</v>
      </c>
      <c r="H34" s="245">
        <v>0</v>
      </c>
      <c r="I34" s="3"/>
      <c r="J34" s="3"/>
      <c r="K34" s="3"/>
      <c r="L34" s="3"/>
      <c r="M34" s="3"/>
    </row>
    <row r="35" spans="2:13">
      <c r="B35" s="3">
        <v>26</v>
      </c>
      <c r="C35" s="55" t="s">
        <v>111</v>
      </c>
      <c r="D35" s="153">
        <v>0</v>
      </c>
      <c r="E35" s="153">
        <v>0</v>
      </c>
      <c r="F35" s="153">
        <v>0</v>
      </c>
      <c r="G35" s="153">
        <v>0</v>
      </c>
      <c r="H35" s="245">
        <v>0</v>
      </c>
      <c r="I35" s="3"/>
      <c r="J35" s="3"/>
      <c r="K35" s="3"/>
      <c r="L35" s="3"/>
      <c r="M35" s="3"/>
    </row>
    <row r="36" spans="2:13">
      <c r="B36" s="3">
        <v>27</v>
      </c>
      <c r="C36" s="55" t="s">
        <v>112</v>
      </c>
      <c r="D36" s="153">
        <v>9.0700904135570647E-3</v>
      </c>
      <c r="E36" s="153">
        <v>8.4911121352806013E-3</v>
      </c>
      <c r="F36" s="153">
        <v>1.2293403392501892E-2</v>
      </c>
      <c r="G36" s="153">
        <v>1.2751226033280386E-2</v>
      </c>
      <c r="H36" s="245">
        <v>0</v>
      </c>
      <c r="I36" s="3"/>
      <c r="J36" s="3"/>
      <c r="K36" s="3"/>
      <c r="L36" s="3"/>
      <c r="M36" s="3"/>
    </row>
    <row r="37" spans="2:13">
      <c r="B37" s="3">
        <v>28</v>
      </c>
      <c r="C37" s="55" t="s">
        <v>83</v>
      </c>
      <c r="D37" s="153">
        <v>0.11215303177089152</v>
      </c>
      <c r="E37" s="153">
        <v>0.3577307840259859</v>
      </c>
      <c r="F37" s="153">
        <v>0.2362747051348488</v>
      </c>
      <c r="G37" s="153">
        <v>0.14778108843384793</v>
      </c>
      <c r="H37" s="245">
        <v>1.9709828587685982</v>
      </c>
      <c r="I37" s="153">
        <v>11.657187327836413</v>
      </c>
      <c r="J37" s="153">
        <v>12.228389506900395</v>
      </c>
      <c r="K37" s="153">
        <v>12.827580592738514</v>
      </c>
      <c r="L37" s="153">
        <v>13.4561320417827</v>
      </c>
      <c r="M37" s="153">
        <v>14.115482511830052</v>
      </c>
    </row>
    <row r="38" spans="2:13" ht="15">
      <c r="B38" s="3">
        <v>29</v>
      </c>
      <c r="C38" s="56" t="s">
        <v>113</v>
      </c>
      <c r="D38" s="131">
        <f>SUM(D10:D37)</f>
        <v>8.3197218217780122</v>
      </c>
      <c r="E38" s="131">
        <f t="shared" ref="E38:M38" si="0">SUM(E10:E37)</f>
        <v>8.5914046194741278</v>
      </c>
      <c r="F38" s="131">
        <f t="shared" si="0"/>
        <v>12.538033788317444</v>
      </c>
      <c r="G38" s="131">
        <f t="shared" si="0"/>
        <v>9.6835792676675201</v>
      </c>
      <c r="H38" s="131">
        <f t="shared" si="0"/>
        <v>11.36097443716733</v>
      </c>
      <c r="I38" s="131">
        <f t="shared" si="0"/>
        <v>11.657187327836413</v>
      </c>
      <c r="J38" s="131">
        <f t="shared" si="0"/>
        <v>12.228389506900395</v>
      </c>
      <c r="K38" s="131">
        <f t="shared" si="0"/>
        <v>12.827580592738514</v>
      </c>
      <c r="L38" s="131">
        <f t="shared" si="0"/>
        <v>13.4561320417827</v>
      </c>
      <c r="M38" s="131">
        <f t="shared" si="0"/>
        <v>14.115482511830052</v>
      </c>
    </row>
    <row r="39" spans="2:13">
      <c r="B39" s="3">
        <v>30</v>
      </c>
      <c r="C39" s="44" t="s">
        <v>17</v>
      </c>
      <c r="D39" s="153"/>
      <c r="E39" s="153"/>
      <c r="F39" s="153"/>
      <c r="G39" s="153"/>
      <c r="H39" s="153"/>
      <c r="I39" s="153"/>
      <c r="J39" s="153"/>
      <c r="K39" s="153"/>
      <c r="L39" s="153"/>
      <c r="M39" s="153"/>
    </row>
    <row r="40" spans="2:13" ht="15">
      <c r="B40" s="3">
        <v>31</v>
      </c>
      <c r="C40" s="22" t="s">
        <v>114</v>
      </c>
      <c r="D40" s="131">
        <f>D38-D39</f>
        <v>8.3197218217780122</v>
      </c>
      <c r="E40" s="131">
        <f t="shared" ref="E40:M40" si="1">E38-E39</f>
        <v>8.5914046194741278</v>
      </c>
      <c r="F40" s="131">
        <f t="shared" si="1"/>
        <v>12.538033788317444</v>
      </c>
      <c r="G40" s="131">
        <f t="shared" si="1"/>
        <v>9.6835792676675201</v>
      </c>
      <c r="H40" s="131">
        <f t="shared" si="1"/>
        <v>11.36097443716733</v>
      </c>
      <c r="I40" s="131">
        <f t="shared" si="1"/>
        <v>11.657187327836413</v>
      </c>
      <c r="J40" s="131">
        <f t="shared" si="1"/>
        <v>12.228389506900395</v>
      </c>
      <c r="K40" s="131">
        <f t="shared" si="1"/>
        <v>12.827580592738514</v>
      </c>
      <c r="L40" s="131">
        <f t="shared" si="1"/>
        <v>13.4561320417827</v>
      </c>
      <c r="M40" s="131">
        <f t="shared" si="1"/>
        <v>14.115482511830052</v>
      </c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22"/>
  <sheetViews>
    <sheetView showGridLines="0" zoomScale="80" zoomScaleNormal="80" zoomScaleSheetLayoutView="90" workbookViewId="0">
      <selection activeCell="I24" sqref="I24"/>
    </sheetView>
  </sheetViews>
  <sheetFormatPr defaultColWidth="9.28515625" defaultRowHeight="14.25"/>
  <cols>
    <col min="1" max="1" width="4.5703125" style="19" customWidth="1"/>
    <col min="2" max="2" width="8.7109375" style="57" customWidth="1"/>
    <col min="3" max="3" width="45.710937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">
      <c r="B2" s="285" t="s">
        <v>405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</row>
    <row r="3" spans="2:13" ht="15">
      <c r="B3" s="285" t="s">
        <v>410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</row>
    <row r="4" spans="2:13" s="4" customFormat="1" ht="15">
      <c r="B4" s="273" t="s">
        <v>407</v>
      </c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</row>
    <row r="6" spans="2:13" ht="15">
      <c r="M6" s="28" t="s">
        <v>4</v>
      </c>
    </row>
    <row r="7" spans="2:13" ht="12.75" customHeight="1">
      <c r="B7" s="287" t="s">
        <v>186</v>
      </c>
      <c r="C7" s="283" t="s">
        <v>18</v>
      </c>
      <c r="D7" s="21" t="s">
        <v>384</v>
      </c>
      <c r="E7" s="21" t="s">
        <v>385</v>
      </c>
      <c r="F7" s="21" t="s">
        <v>386</v>
      </c>
      <c r="G7" s="21" t="s">
        <v>377</v>
      </c>
      <c r="H7" s="21" t="s">
        <v>378</v>
      </c>
      <c r="I7" s="282" t="s">
        <v>225</v>
      </c>
      <c r="J7" s="282"/>
      <c r="K7" s="282"/>
      <c r="L7" s="282"/>
      <c r="M7" s="282"/>
    </row>
    <row r="8" spans="2:13" ht="15">
      <c r="B8" s="287"/>
      <c r="C8" s="283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379</v>
      </c>
      <c r="J8" s="21" t="s">
        <v>380</v>
      </c>
      <c r="K8" s="21" t="s">
        <v>381</v>
      </c>
      <c r="L8" s="21" t="s">
        <v>382</v>
      </c>
      <c r="M8" s="21" t="s">
        <v>383</v>
      </c>
    </row>
    <row r="9" spans="2:13" ht="15">
      <c r="B9" s="287"/>
      <c r="C9" s="283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55" t="s">
        <v>115</v>
      </c>
      <c r="D10" s="153">
        <v>3.7193367790565848</v>
      </c>
      <c r="E10" s="153">
        <v>9.4087013181229917</v>
      </c>
      <c r="F10" s="153">
        <v>6.4339294563011276</v>
      </c>
      <c r="G10" s="153">
        <v>5.5806600094276479</v>
      </c>
      <c r="H10" s="245">
        <v>4.8624300340672351</v>
      </c>
      <c r="I10" s="3"/>
      <c r="J10" s="3"/>
      <c r="K10" s="3"/>
      <c r="L10" s="3"/>
      <c r="M10" s="3"/>
    </row>
    <row r="11" spans="2:13">
      <c r="B11" s="2">
        <v>2</v>
      </c>
      <c r="C11" s="55" t="s">
        <v>116</v>
      </c>
      <c r="D11" s="153">
        <v>9.1945779000000005E-2</v>
      </c>
      <c r="E11" s="153">
        <v>0.14977704376766959</v>
      </c>
      <c r="F11" s="153">
        <v>7.6680499999999999E-2</v>
      </c>
      <c r="G11" s="153">
        <v>0.22221072545937109</v>
      </c>
      <c r="H11" s="245">
        <v>0.49434644500000002</v>
      </c>
      <c r="I11" s="3"/>
      <c r="J11" s="3"/>
      <c r="K11" s="3"/>
      <c r="L11" s="3"/>
      <c r="M11" s="3"/>
    </row>
    <row r="12" spans="2:13">
      <c r="B12" s="2">
        <v>3</v>
      </c>
      <c r="C12" s="55" t="s">
        <v>117</v>
      </c>
      <c r="D12" s="153">
        <v>2.6358310818121309</v>
      </c>
      <c r="E12" s="153">
        <v>1.5962633152877568</v>
      </c>
      <c r="F12" s="153">
        <v>1.2871832033570778</v>
      </c>
      <c r="G12" s="153">
        <v>1.9057139000689205</v>
      </c>
      <c r="H12" s="245">
        <v>3.3120421013556895</v>
      </c>
      <c r="I12" s="3"/>
      <c r="J12" s="3"/>
      <c r="K12" s="3"/>
      <c r="L12" s="3"/>
      <c r="M12" s="3"/>
    </row>
    <row r="13" spans="2:13">
      <c r="B13" s="2">
        <v>4</v>
      </c>
      <c r="C13" s="55" t="s">
        <v>118</v>
      </c>
      <c r="D13" s="153">
        <v>0.73689554099999999</v>
      </c>
      <c r="E13" s="153">
        <v>0.20654716299999998</v>
      </c>
      <c r="F13" s="153">
        <v>4.9788297999999995E-2</v>
      </c>
      <c r="G13" s="153">
        <v>5.1124999999999999E-3</v>
      </c>
      <c r="H13" s="245">
        <v>0.19911954800000001</v>
      </c>
      <c r="I13" s="3"/>
      <c r="J13" s="3"/>
      <c r="K13" s="3"/>
      <c r="L13" s="3"/>
      <c r="M13" s="3"/>
    </row>
    <row r="14" spans="2:13">
      <c r="B14" s="2">
        <v>5</v>
      </c>
      <c r="C14" s="55" t="s">
        <v>119</v>
      </c>
      <c r="D14" s="153">
        <v>0.23301088060960712</v>
      </c>
      <c r="E14" s="153">
        <v>0.21548440018171583</v>
      </c>
      <c r="F14" s="153">
        <v>0.96774397622552943</v>
      </c>
      <c r="G14" s="153">
        <v>0.31271183175533207</v>
      </c>
      <c r="H14" s="245">
        <v>1.3717544328951532</v>
      </c>
      <c r="I14" s="3"/>
      <c r="J14" s="3"/>
      <c r="K14" s="3"/>
      <c r="L14" s="3"/>
      <c r="M14" s="3"/>
    </row>
    <row r="15" spans="2:13">
      <c r="B15" s="2">
        <v>6</v>
      </c>
      <c r="C15" s="55" t="s">
        <v>120</v>
      </c>
      <c r="D15" s="153">
        <v>1.8302541000000002E-2</v>
      </c>
      <c r="E15" s="153">
        <v>2.5852834999999998E-2</v>
      </c>
      <c r="F15" s="153">
        <v>1.1690020000000001E-3</v>
      </c>
      <c r="G15" s="153">
        <v>0</v>
      </c>
      <c r="H15" s="245">
        <v>7.7317677766319311E-3</v>
      </c>
      <c r="I15" s="3"/>
      <c r="J15" s="3"/>
      <c r="K15" s="3"/>
      <c r="L15" s="3"/>
      <c r="M15" s="3"/>
    </row>
    <row r="16" spans="2:13">
      <c r="B16" s="2">
        <v>7</v>
      </c>
      <c r="C16" s="55" t="s">
        <v>121</v>
      </c>
      <c r="D16" s="153">
        <v>1.2977477712192145E-3</v>
      </c>
      <c r="E16" s="153">
        <v>1.7991251330135869E-3</v>
      </c>
      <c r="F16" s="153">
        <v>2.6647303999999997E-2</v>
      </c>
      <c r="G16" s="153">
        <v>1.31415E-2</v>
      </c>
      <c r="H16" s="245">
        <v>0</v>
      </c>
      <c r="I16" s="3"/>
      <c r="J16" s="3"/>
      <c r="K16" s="3"/>
      <c r="L16" s="3"/>
      <c r="M16" s="3"/>
    </row>
    <row r="17" spans="2:13">
      <c r="B17" s="2">
        <v>8</v>
      </c>
      <c r="C17" s="55" t="s">
        <v>122</v>
      </c>
      <c r="D17" s="153">
        <v>0.39318101886362705</v>
      </c>
      <c r="E17" s="153">
        <v>0.54906874706929054</v>
      </c>
      <c r="F17" s="153">
        <v>0.59953964055230335</v>
      </c>
      <c r="G17" s="153">
        <v>0.35320554010144506</v>
      </c>
      <c r="H17" s="245">
        <v>0.34512938546381489</v>
      </c>
      <c r="I17" s="153">
        <v>11.191924032259532</v>
      </c>
      <c r="J17" s="153">
        <v>11.744811340311324</v>
      </c>
      <c r="K17" s="153">
        <v>11.899296270102685</v>
      </c>
      <c r="L17" s="153">
        <v>12.0142144382149</v>
      </c>
      <c r="M17" s="153">
        <v>12.017705623068942</v>
      </c>
    </row>
    <row r="18" spans="2:13" ht="15">
      <c r="B18" s="2">
        <v>9</v>
      </c>
      <c r="C18" s="56" t="s">
        <v>123</v>
      </c>
      <c r="D18" s="131">
        <f>SUM(D10:D17)</f>
        <v>7.8298013691131692</v>
      </c>
      <c r="E18" s="131">
        <f t="shared" ref="E18:M18" si="0">SUM(E10:E17)</f>
        <v>12.153493947562437</v>
      </c>
      <c r="F18" s="131">
        <f t="shared" si="0"/>
        <v>9.4426813804360386</v>
      </c>
      <c r="G18" s="131">
        <f t="shared" si="0"/>
        <v>8.3927560068127161</v>
      </c>
      <c r="H18" s="131">
        <f t="shared" si="0"/>
        <v>10.592553714558525</v>
      </c>
      <c r="I18" s="131">
        <f t="shared" si="0"/>
        <v>11.191924032259532</v>
      </c>
      <c r="J18" s="131">
        <f t="shared" si="0"/>
        <v>11.744811340311324</v>
      </c>
      <c r="K18" s="131">
        <f t="shared" si="0"/>
        <v>11.899296270102685</v>
      </c>
      <c r="L18" s="131">
        <f t="shared" si="0"/>
        <v>12.0142144382149</v>
      </c>
      <c r="M18" s="131">
        <f t="shared" si="0"/>
        <v>12.017705623068942</v>
      </c>
    </row>
    <row r="19" spans="2:13">
      <c r="B19" s="2"/>
      <c r="C19" s="54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ht="15">
      <c r="B20" s="2">
        <v>10</v>
      </c>
      <c r="C20" s="58" t="s">
        <v>124</v>
      </c>
      <c r="D20" s="153">
        <v>1920.8</v>
      </c>
      <c r="E20" s="153">
        <v>1920.8</v>
      </c>
      <c r="F20" s="153">
        <v>1920.8</v>
      </c>
      <c r="G20" s="131">
        <f>'F4'!F21</f>
        <v>1920.7951493339999</v>
      </c>
      <c r="H20" s="131">
        <f>'F4'!F38</f>
        <v>1920.7951493339999</v>
      </c>
      <c r="I20" s="131">
        <f>'F4'!F47</f>
        <v>1923.455149334</v>
      </c>
      <c r="J20" s="131">
        <f>'F4'!F56</f>
        <v>2018.475149334</v>
      </c>
      <c r="K20" s="131">
        <f>'F4'!F65</f>
        <v>2045.0251493339999</v>
      </c>
      <c r="L20" s="131">
        <f>'F4'!F74</f>
        <v>2064.7751493340002</v>
      </c>
      <c r="M20" s="131">
        <f>'F4'!F83</f>
        <v>2065.3751493340001</v>
      </c>
    </row>
    <row r="21" spans="2:13" ht="28.5">
      <c r="B21" s="2">
        <v>11</v>
      </c>
      <c r="C21" s="58" t="s">
        <v>125</v>
      </c>
      <c r="D21" s="154">
        <f>IFERROR(D18/D20,0)</f>
        <v>4.0763230784637491E-3</v>
      </c>
      <c r="E21" s="154">
        <f t="shared" ref="E21:M21" si="1">IFERROR(E18/E20,0)</f>
        <v>6.3273083858613266E-3</v>
      </c>
      <c r="F21" s="154">
        <f t="shared" si="1"/>
        <v>4.9160148794440018E-3</v>
      </c>
      <c r="G21" s="154">
        <f t="shared" si="1"/>
        <v>4.3694175350883976E-3</v>
      </c>
      <c r="H21" s="154">
        <f t="shared" si="1"/>
        <v>5.5146712121963114E-3</v>
      </c>
      <c r="I21" s="154">
        <f t="shared" si="1"/>
        <v>5.8186560971461992E-3</v>
      </c>
      <c r="J21" s="154">
        <f t="shared" si="1"/>
        <v>5.8186554063777048E-3</v>
      </c>
      <c r="K21" s="154">
        <f t="shared" si="1"/>
        <v>5.8186552248405896E-3</v>
      </c>
      <c r="L21" s="154">
        <f t="shared" si="1"/>
        <v>5.8186550928269951E-3</v>
      </c>
      <c r="M21" s="154">
        <f t="shared" si="1"/>
        <v>5.8186550888559719E-3</v>
      </c>
    </row>
    <row r="22" spans="2:13">
      <c r="B22" s="2"/>
      <c r="C22" s="54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6"/>
  <sheetViews>
    <sheetView showGridLines="0" zoomScale="90" zoomScaleNormal="90" zoomScaleSheetLayoutView="90" workbookViewId="0">
      <selection activeCell="M13" sqref="M13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2.5703125" style="4" customWidth="1"/>
    <col min="9" max="9" width="11.7109375" style="4" bestFit="1" customWidth="1"/>
    <col min="10" max="10" width="13.7109375" style="4" bestFit="1" customWidth="1"/>
    <col min="11" max="16" width="11.7109375" style="4" bestFit="1" customWidth="1"/>
    <col min="17" max="16384" width="9.28515625" style="4"/>
  </cols>
  <sheetData>
    <row r="1" spans="2:13" ht="15">
      <c r="B1" s="59"/>
    </row>
    <row r="2" spans="2:13" ht="15">
      <c r="B2" s="285" t="s">
        <v>405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</row>
    <row r="3" spans="2:13" ht="15">
      <c r="B3" s="285" t="s">
        <v>410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</row>
    <row r="4" spans="2:13" ht="15">
      <c r="B4" s="273" t="s">
        <v>408</v>
      </c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</row>
    <row r="5" spans="2:13" ht="15">
      <c r="B5" s="39"/>
      <c r="C5" s="60"/>
      <c r="D5" s="60"/>
      <c r="E5" s="60"/>
      <c r="F5" s="60"/>
      <c r="G5" s="60"/>
      <c r="H5" s="60"/>
      <c r="I5" s="60"/>
      <c r="J5" s="60"/>
    </row>
    <row r="6" spans="2:13" ht="15">
      <c r="M6" s="28" t="s">
        <v>4</v>
      </c>
    </row>
    <row r="7" spans="2:13" s="19" customFormat="1" ht="15" customHeight="1">
      <c r="B7" s="288" t="s">
        <v>186</v>
      </c>
      <c r="C7" s="283" t="s">
        <v>18</v>
      </c>
      <c r="D7" s="274" t="s">
        <v>377</v>
      </c>
      <c r="E7" s="275"/>
      <c r="F7" s="276"/>
      <c r="G7" s="274" t="s">
        <v>378</v>
      </c>
      <c r="H7" s="275"/>
      <c r="I7" s="282" t="s">
        <v>225</v>
      </c>
      <c r="J7" s="282"/>
      <c r="K7" s="282"/>
      <c r="L7" s="282"/>
      <c r="M7" s="282"/>
    </row>
    <row r="8" spans="2:13" s="19" customFormat="1" ht="45">
      <c r="B8" s="289"/>
      <c r="C8" s="283"/>
      <c r="D8" s="21" t="s">
        <v>327</v>
      </c>
      <c r="E8" s="21" t="s">
        <v>245</v>
      </c>
      <c r="F8" s="21" t="s">
        <v>201</v>
      </c>
      <c r="G8" s="21" t="s">
        <v>327</v>
      </c>
      <c r="H8" s="21" t="s">
        <v>244</v>
      </c>
      <c r="I8" s="21" t="s">
        <v>379</v>
      </c>
      <c r="J8" s="21" t="s">
        <v>380</v>
      </c>
      <c r="K8" s="21" t="s">
        <v>381</v>
      </c>
      <c r="L8" s="21" t="s">
        <v>382</v>
      </c>
      <c r="M8" s="21" t="s">
        <v>383</v>
      </c>
    </row>
    <row r="9" spans="2:13" s="19" customFormat="1" ht="15">
      <c r="B9" s="290"/>
      <c r="C9" s="291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 s="5" customFormat="1">
      <c r="B10" s="63">
        <v>1</v>
      </c>
      <c r="C10" s="29" t="s">
        <v>249</v>
      </c>
      <c r="D10" s="2"/>
      <c r="E10" s="29"/>
      <c r="F10" s="29"/>
      <c r="G10" s="128"/>
      <c r="H10" s="128">
        <f>E13</f>
        <v>0</v>
      </c>
      <c r="I10" s="128">
        <f>H13</f>
        <v>0</v>
      </c>
      <c r="J10" s="128">
        <f>I13</f>
        <v>0</v>
      </c>
      <c r="K10" s="128">
        <f>J13</f>
        <v>0</v>
      </c>
      <c r="L10" s="128">
        <f>K13</f>
        <v>0</v>
      </c>
      <c r="M10" s="128">
        <f>L13</f>
        <v>0</v>
      </c>
    </row>
    <row r="11" spans="2:13" s="5" customFormat="1">
      <c r="B11" s="23">
        <v>2</v>
      </c>
      <c r="C11" s="29" t="s">
        <v>279</v>
      </c>
      <c r="D11" s="2"/>
      <c r="E11" s="126">
        <f>F3.1!G15</f>
        <v>0</v>
      </c>
      <c r="F11" s="126">
        <f>E11</f>
        <v>0</v>
      </c>
      <c r="G11" s="24"/>
      <c r="H11" s="128">
        <f>F3.1!G24</f>
        <v>2.66</v>
      </c>
      <c r="I11" s="128">
        <f>F3.1!G32</f>
        <v>95.02</v>
      </c>
      <c r="J11" s="128">
        <f>F3.1!G38</f>
        <v>26.55</v>
      </c>
      <c r="K11" s="128">
        <f>F3.1!G44</f>
        <v>19.75</v>
      </c>
      <c r="L11" s="128">
        <f>F3.1!G50</f>
        <v>0.6</v>
      </c>
      <c r="M11" s="128">
        <f>F3.1!G56</f>
        <v>22.68</v>
      </c>
    </row>
    <row r="12" spans="2:13" s="5" customFormat="1" ht="15">
      <c r="B12" s="23">
        <v>3</v>
      </c>
      <c r="C12" s="31" t="s">
        <v>216</v>
      </c>
      <c r="D12" s="150"/>
      <c r="E12" s="160">
        <f>F3.1!H15</f>
        <v>0</v>
      </c>
      <c r="F12" s="160">
        <f>E12</f>
        <v>0</v>
      </c>
      <c r="G12" s="150"/>
      <c r="H12" s="161">
        <f>F3.1!H24</f>
        <v>2.66</v>
      </c>
      <c r="I12" s="161">
        <f>F3.1!H32</f>
        <v>95.02</v>
      </c>
      <c r="J12" s="161">
        <f>F3.1!H38</f>
        <v>26.55</v>
      </c>
      <c r="K12" s="161">
        <f>F3.1!H44</f>
        <v>19.75</v>
      </c>
      <c r="L12" s="161">
        <f>F3.1!H50</f>
        <v>0.6</v>
      </c>
      <c r="M12" s="161">
        <f>F3.1!H56</f>
        <v>22.68</v>
      </c>
    </row>
    <row r="13" spans="2:13" s="5" customFormat="1" ht="15">
      <c r="B13" s="23">
        <v>4</v>
      </c>
      <c r="C13" s="29" t="s">
        <v>250</v>
      </c>
      <c r="D13" s="152">
        <f>D10+D11-D12</f>
        <v>0</v>
      </c>
      <c r="E13" s="152">
        <f>E10+E11-E12</f>
        <v>0</v>
      </c>
      <c r="F13" s="152">
        <f t="shared" ref="F13:M13" si="0">F10+F11-F12</f>
        <v>0</v>
      </c>
      <c r="G13" s="152">
        <f t="shared" si="0"/>
        <v>0</v>
      </c>
      <c r="H13" s="151">
        <v>0</v>
      </c>
      <c r="I13" s="152">
        <f t="shared" si="0"/>
        <v>0</v>
      </c>
      <c r="J13" s="152">
        <f t="shared" si="0"/>
        <v>0</v>
      </c>
      <c r="K13" s="152">
        <f t="shared" si="0"/>
        <v>0</v>
      </c>
      <c r="L13" s="152">
        <f t="shared" si="0"/>
        <v>0</v>
      </c>
      <c r="M13" s="152">
        <f t="shared" si="0"/>
        <v>0</v>
      </c>
    </row>
    <row r="14" spans="2:13" s="35" customFormat="1" ht="15">
      <c r="B14" s="64"/>
      <c r="C14" s="51"/>
      <c r="D14" s="61"/>
      <c r="E14" s="61"/>
      <c r="F14" s="61"/>
      <c r="G14" s="62"/>
      <c r="H14" s="26"/>
      <c r="I14" s="26"/>
      <c r="J14" s="26"/>
      <c r="K14" s="26"/>
    </row>
    <row r="16" spans="2:13">
      <c r="B16" s="65"/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9" orientation="landscape" r:id="rId1"/>
  <headerFooter alignWithMargins="0">
    <oddHeader>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57"/>
  <sheetViews>
    <sheetView showGridLines="0" topLeftCell="A34" zoomScale="80" zoomScaleNormal="80" zoomScaleSheetLayoutView="90" workbookViewId="0">
      <selection activeCell="H31" sqref="H31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18.28515625" style="5" customWidth="1"/>
    <col min="4" max="4" width="21.28515625" style="5" customWidth="1"/>
    <col min="5" max="5" width="32.28515625" style="5" customWidth="1"/>
    <col min="6" max="7" width="22" style="5" customWidth="1"/>
    <col min="8" max="8" width="17.7109375" style="5" customWidth="1"/>
    <col min="9" max="9" width="35" style="5" customWidth="1"/>
    <col min="10" max="10" width="31.42578125" style="5" customWidth="1"/>
    <col min="11" max="11" width="37" style="5" customWidth="1"/>
    <col min="12" max="12" width="32.28515625" style="5" customWidth="1"/>
    <col min="13" max="13" width="13.28515625" style="5" bestFit="1" customWidth="1"/>
    <col min="14" max="14" width="12.5703125" style="5" customWidth="1"/>
    <col min="15" max="15" width="11.7109375" style="5" bestFit="1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7" ht="15">
      <c r="B1" s="26"/>
    </row>
    <row r="2" spans="2:17" ht="15.75">
      <c r="H2" s="252" t="s">
        <v>404</v>
      </c>
      <c r="I2" s="252"/>
      <c r="J2" s="199"/>
      <c r="K2" s="199"/>
    </row>
    <row r="3" spans="2:17" ht="15.75">
      <c r="H3" s="252" t="s">
        <v>376</v>
      </c>
      <c r="I3" s="252"/>
      <c r="J3" s="199"/>
      <c r="K3" s="199"/>
    </row>
    <row r="4" spans="2:17" ht="15">
      <c r="H4" s="38" t="s">
        <v>277</v>
      </c>
      <c r="I4" s="38"/>
    </row>
    <row r="5" spans="2:17" ht="15">
      <c r="K5" s="38"/>
    </row>
    <row r="6" spans="2:17" ht="60">
      <c r="B6" s="21" t="s">
        <v>186</v>
      </c>
      <c r="C6" s="25" t="s">
        <v>251</v>
      </c>
      <c r="D6" s="33" t="s">
        <v>253</v>
      </c>
      <c r="E6" s="25" t="s">
        <v>252</v>
      </c>
      <c r="F6" s="33" t="s">
        <v>255</v>
      </c>
      <c r="G6" s="33" t="s">
        <v>258</v>
      </c>
      <c r="H6" s="33" t="s">
        <v>259</v>
      </c>
      <c r="I6" s="33" t="s">
        <v>272</v>
      </c>
      <c r="J6" s="25" t="s">
        <v>254</v>
      </c>
      <c r="K6" s="33" t="s">
        <v>260</v>
      </c>
      <c r="L6" s="33" t="s">
        <v>175</v>
      </c>
      <c r="M6" s="27"/>
      <c r="N6" s="27"/>
      <c r="O6" s="27"/>
      <c r="P6" s="27"/>
    </row>
    <row r="7" spans="2:17" s="35" customFormat="1" ht="15">
      <c r="B7" s="23"/>
      <c r="C7" s="33" t="s">
        <v>377</v>
      </c>
      <c r="D7" s="32"/>
      <c r="E7" s="32"/>
      <c r="F7" s="32"/>
      <c r="G7" s="32"/>
      <c r="H7" s="32"/>
      <c r="I7" s="32"/>
      <c r="J7" s="32"/>
      <c r="K7" s="33"/>
      <c r="L7" s="34"/>
      <c r="M7" s="26"/>
      <c r="N7" s="26"/>
      <c r="O7" s="26"/>
      <c r="P7" s="26"/>
      <c r="Q7" s="26"/>
    </row>
    <row r="8" spans="2:17">
      <c r="B8" s="23"/>
      <c r="C8" s="23"/>
      <c r="D8" s="29"/>
      <c r="E8" s="29"/>
      <c r="F8" s="29"/>
      <c r="G8" s="149"/>
      <c r="H8" s="149"/>
      <c r="I8" s="29"/>
      <c r="J8" s="29"/>
      <c r="K8" s="29"/>
      <c r="L8" s="29"/>
    </row>
    <row r="9" spans="2:17">
      <c r="B9" s="23"/>
      <c r="C9" s="23"/>
      <c r="D9" s="29"/>
      <c r="E9" s="29"/>
      <c r="F9" s="29"/>
      <c r="G9" s="149"/>
      <c r="H9" s="149"/>
      <c r="I9" s="29"/>
      <c r="J9" s="29"/>
      <c r="K9" s="29"/>
      <c r="L9" s="29"/>
    </row>
    <row r="10" spans="2:17">
      <c r="B10" s="23">
        <v>1</v>
      </c>
      <c r="C10" s="23"/>
      <c r="D10" s="29"/>
      <c r="E10" s="29"/>
      <c r="F10" s="29"/>
      <c r="G10" s="149"/>
      <c r="H10" s="149"/>
      <c r="I10" s="29"/>
      <c r="J10" s="29"/>
      <c r="K10" s="29"/>
      <c r="L10" s="29"/>
    </row>
    <row r="11" spans="2:17">
      <c r="B11" s="23">
        <v>2</v>
      </c>
      <c r="C11" s="23"/>
      <c r="D11" s="29"/>
      <c r="E11" s="29"/>
      <c r="F11" s="29"/>
      <c r="G11" s="149"/>
      <c r="H11" s="149"/>
      <c r="I11" s="29"/>
      <c r="J11" s="29"/>
      <c r="K11" s="29"/>
      <c r="L11" s="29"/>
    </row>
    <row r="12" spans="2:17">
      <c r="B12" s="23">
        <v>3</v>
      </c>
      <c r="C12" s="23"/>
      <c r="D12" s="29"/>
      <c r="E12" s="29"/>
      <c r="F12" s="29"/>
      <c r="G12" s="149"/>
      <c r="H12" s="149"/>
      <c r="I12" s="29"/>
      <c r="J12" s="29"/>
      <c r="K12" s="29"/>
      <c r="L12" s="29"/>
    </row>
    <row r="13" spans="2:17">
      <c r="B13" s="23"/>
      <c r="C13" s="23"/>
      <c r="D13" s="29"/>
      <c r="E13" s="29"/>
      <c r="F13" s="29"/>
      <c r="G13" s="149"/>
      <c r="H13" s="149"/>
      <c r="I13" s="29"/>
      <c r="J13" s="29"/>
      <c r="K13" s="29"/>
      <c r="L13" s="29"/>
    </row>
    <row r="14" spans="2:17">
      <c r="B14" s="29"/>
      <c r="C14" s="29" t="s">
        <v>9</v>
      </c>
      <c r="D14" s="29"/>
      <c r="E14" s="29"/>
      <c r="F14" s="29"/>
      <c r="G14" s="29"/>
      <c r="H14" s="29"/>
      <c r="I14" s="29"/>
      <c r="J14" s="29"/>
      <c r="K14" s="29"/>
      <c r="L14" s="29"/>
    </row>
    <row r="15" spans="2:17" ht="15">
      <c r="B15" s="29"/>
      <c r="C15" s="25" t="s">
        <v>127</v>
      </c>
      <c r="D15" s="162"/>
      <c r="E15" s="149"/>
      <c r="F15" s="132">
        <f>F14</f>
        <v>0</v>
      </c>
      <c r="G15" s="132">
        <f t="shared" ref="G15:H15" si="0">G14</f>
        <v>0</v>
      </c>
      <c r="H15" s="132">
        <f t="shared" si="0"/>
        <v>0</v>
      </c>
      <c r="I15" s="29"/>
      <c r="J15" s="29"/>
      <c r="K15" s="29"/>
      <c r="L15" s="29"/>
    </row>
    <row r="16" spans="2:17" ht="15">
      <c r="B16" s="23"/>
      <c r="C16" s="33" t="s">
        <v>378</v>
      </c>
      <c r="D16" s="149"/>
      <c r="E16" s="149"/>
      <c r="F16" s="149"/>
      <c r="G16" s="149"/>
      <c r="H16" s="149"/>
      <c r="I16" s="29"/>
      <c r="J16" s="29"/>
      <c r="K16" s="29"/>
      <c r="L16" s="29"/>
    </row>
    <row r="17" spans="2:12">
      <c r="B17" s="23">
        <v>1</v>
      </c>
      <c r="C17" s="31" t="s">
        <v>387</v>
      </c>
      <c r="D17" s="29"/>
      <c r="E17" s="29"/>
      <c r="F17" s="29"/>
      <c r="G17" s="248">
        <v>2.1878974590000002</v>
      </c>
      <c r="H17" s="248">
        <v>2.1878974590000002</v>
      </c>
      <c r="I17" s="29" t="s">
        <v>387</v>
      </c>
      <c r="J17" s="29"/>
      <c r="K17" s="29"/>
      <c r="L17" s="29"/>
    </row>
    <row r="18" spans="2:12">
      <c r="B18" s="23">
        <v>2</v>
      </c>
      <c r="C18" s="31" t="s">
        <v>388</v>
      </c>
      <c r="D18" s="29"/>
      <c r="E18" s="29"/>
      <c r="F18" s="29"/>
      <c r="G18" s="248">
        <v>0.27751670000000001</v>
      </c>
      <c r="H18" s="248">
        <v>0.27751670000000001</v>
      </c>
      <c r="I18" s="29" t="s">
        <v>388</v>
      </c>
      <c r="J18" s="29"/>
      <c r="K18" s="29"/>
      <c r="L18" s="29"/>
    </row>
    <row r="19" spans="2:12">
      <c r="B19" s="23">
        <v>3</v>
      </c>
      <c r="C19" s="31" t="s">
        <v>389</v>
      </c>
      <c r="D19" s="29"/>
      <c r="E19" s="29"/>
      <c r="F19" s="29"/>
      <c r="G19" s="248">
        <v>2.948158E-2</v>
      </c>
      <c r="H19" s="248">
        <v>2.948158E-2</v>
      </c>
      <c r="I19" s="29" t="s">
        <v>389</v>
      </c>
      <c r="J19" s="29"/>
      <c r="K19" s="29"/>
      <c r="L19" s="29"/>
    </row>
    <row r="20" spans="2:12">
      <c r="B20" s="23"/>
      <c r="C20" s="23"/>
      <c r="D20" s="149"/>
      <c r="E20" s="149"/>
      <c r="F20" s="149"/>
      <c r="G20" s="248">
        <v>0.47</v>
      </c>
      <c r="H20" s="248">
        <v>0.47</v>
      </c>
      <c r="I20" s="29"/>
      <c r="J20" s="29"/>
      <c r="K20" s="29"/>
      <c r="L20" s="29"/>
    </row>
    <row r="21" spans="2:12">
      <c r="B21" s="23"/>
      <c r="C21" s="23"/>
      <c r="D21" s="149"/>
      <c r="E21" s="149"/>
      <c r="F21" s="149"/>
      <c r="G21" s="248">
        <v>1.62</v>
      </c>
      <c r="H21" s="248">
        <v>1.62</v>
      </c>
      <c r="I21" s="29"/>
      <c r="J21" s="29"/>
      <c r="K21" s="29"/>
      <c r="L21" s="29"/>
    </row>
    <row r="22" spans="2:12">
      <c r="B22" s="23"/>
      <c r="C22" s="23"/>
      <c r="D22" s="149"/>
      <c r="E22" s="149"/>
      <c r="F22" s="149"/>
      <c r="G22" s="149"/>
      <c r="H22" s="149"/>
      <c r="I22" s="29"/>
      <c r="J22" s="29"/>
      <c r="K22" s="29"/>
      <c r="L22" s="29"/>
    </row>
    <row r="23" spans="2:12">
      <c r="B23" s="29"/>
      <c r="C23" s="29" t="s">
        <v>9</v>
      </c>
      <c r="D23" s="149"/>
      <c r="E23" s="149"/>
      <c r="F23" s="149"/>
      <c r="G23" s="149">
        <v>2.66</v>
      </c>
      <c r="H23" s="149">
        <v>2.66</v>
      </c>
      <c r="I23" s="29"/>
      <c r="J23" s="29"/>
      <c r="K23" s="29"/>
      <c r="L23" s="29"/>
    </row>
    <row r="24" spans="2:12" ht="15">
      <c r="B24" s="29"/>
      <c r="C24" s="25" t="s">
        <v>127</v>
      </c>
      <c r="D24" s="162"/>
      <c r="E24" s="149"/>
      <c r="F24" s="132">
        <f>F23</f>
        <v>0</v>
      </c>
      <c r="G24" s="132">
        <f t="shared" ref="G24:H24" si="1">G23</f>
        <v>2.66</v>
      </c>
      <c r="H24" s="132">
        <f t="shared" si="1"/>
        <v>2.66</v>
      </c>
      <c r="I24" s="29"/>
      <c r="J24" s="29"/>
      <c r="K24" s="29"/>
      <c r="L24" s="29"/>
    </row>
    <row r="25" spans="2:12" ht="15">
      <c r="B25" s="23"/>
      <c r="C25" s="33" t="s">
        <v>379</v>
      </c>
      <c r="D25" s="149"/>
      <c r="E25" s="149"/>
      <c r="F25" s="149"/>
      <c r="G25" s="149"/>
      <c r="H25" s="149"/>
      <c r="I25" s="29"/>
      <c r="J25" s="29"/>
      <c r="K25" s="29"/>
      <c r="L25" s="29"/>
    </row>
    <row r="26" spans="2:12">
      <c r="B26" s="23">
        <v>1</v>
      </c>
      <c r="C26" s="23"/>
      <c r="D26" s="149"/>
      <c r="E26" s="149"/>
      <c r="F26" s="149"/>
      <c r="G26" s="149"/>
      <c r="H26" s="149"/>
      <c r="I26" s="29"/>
      <c r="J26" s="29"/>
      <c r="K26" s="29"/>
      <c r="L26" s="29"/>
    </row>
    <row r="27" spans="2:12" ht="75">
      <c r="B27" s="23">
        <v>2</v>
      </c>
      <c r="D27" s="253"/>
      <c r="E27" s="254" t="s">
        <v>413</v>
      </c>
      <c r="F27" s="149"/>
      <c r="G27" s="149">
        <v>66.5</v>
      </c>
      <c r="H27" s="149">
        <v>66.5</v>
      </c>
      <c r="I27" s="29"/>
      <c r="J27" s="29"/>
      <c r="K27" s="29"/>
      <c r="L27" s="88" t="s">
        <v>414</v>
      </c>
    </row>
    <row r="28" spans="2:12" ht="15">
      <c r="B28" s="23">
        <v>3</v>
      </c>
      <c r="C28" s="23"/>
      <c r="D28" s="162"/>
      <c r="E28" s="162" t="s">
        <v>399</v>
      </c>
      <c r="F28" s="149"/>
      <c r="G28" s="149">
        <v>4.0999999999999996</v>
      </c>
      <c r="H28" s="149">
        <v>4.0999999999999996</v>
      </c>
      <c r="I28" s="29"/>
      <c r="J28" s="29"/>
      <c r="K28" s="29"/>
      <c r="L28" s="29"/>
    </row>
    <row r="29" spans="2:12" ht="30">
      <c r="B29" s="29"/>
      <c r="C29" s="29" t="s">
        <v>9</v>
      </c>
      <c r="D29" s="254"/>
      <c r="E29" s="254" t="s">
        <v>415</v>
      </c>
      <c r="F29" s="149"/>
      <c r="G29" s="149">
        <v>24.43</v>
      </c>
      <c r="H29" s="149">
        <v>24.43</v>
      </c>
      <c r="I29" s="29"/>
      <c r="J29" s="29"/>
      <c r="K29" s="29"/>
      <c r="L29" s="29"/>
    </row>
    <row r="30" spans="2:12">
      <c r="B30" s="29"/>
      <c r="C30" s="29"/>
      <c r="D30" s="149"/>
      <c r="E30" s="149"/>
      <c r="F30" s="149"/>
      <c r="G30" s="149"/>
      <c r="H30" s="149"/>
      <c r="I30" s="29"/>
      <c r="J30" s="29"/>
      <c r="K30" s="29"/>
      <c r="L30" s="29"/>
    </row>
    <row r="31" spans="2:12">
      <c r="B31" s="29"/>
      <c r="C31" s="29"/>
      <c r="D31" s="149"/>
      <c r="E31" s="149"/>
      <c r="F31" s="149">
        <v>0</v>
      </c>
      <c r="G31" s="149">
        <v>95.02</v>
      </c>
      <c r="H31" s="149">
        <v>95.02</v>
      </c>
      <c r="I31" s="29"/>
      <c r="J31" s="29"/>
      <c r="K31" s="29"/>
      <c r="L31" s="29"/>
    </row>
    <row r="32" spans="2:12" ht="15">
      <c r="B32" s="29"/>
      <c r="C32" s="25" t="s">
        <v>127</v>
      </c>
      <c r="D32" s="162"/>
      <c r="E32" s="149"/>
      <c r="F32" s="132">
        <f>F31</f>
        <v>0</v>
      </c>
      <c r="G32" s="132">
        <f t="shared" ref="G32:H32" si="2">G31</f>
        <v>95.02</v>
      </c>
      <c r="H32" s="132">
        <f t="shared" si="2"/>
        <v>95.02</v>
      </c>
      <c r="I32" s="29"/>
      <c r="J32" s="29"/>
      <c r="K32" s="29"/>
      <c r="L32" s="29"/>
    </row>
    <row r="33" spans="2:12" ht="15">
      <c r="B33" s="23"/>
      <c r="C33" s="33" t="s">
        <v>380</v>
      </c>
      <c r="D33" s="149"/>
      <c r="E33" s="149"/>
      <c r="F33" s="149"/>
      <c r="G33" s="149"/>
      <c r="H33" s="149"/>
      <c r="I33" s="29"/>
      <c r="J33" s="29"/>
      <c r="K33" s="29"/>
      <c r="L33" s="29"/>
    </row>
    <row r="34" spans="2:12">
      <c r="B34" s="23">
        <v>1</v>
      </c>
      <c r="C34" s="23"/>
      <c r="D34" s="149"/>
      <c r="E34" s="149"/>
      <c r="F34" s="149"/>
      <c r="G34" s="149"/>
      <c r="H34" s="149"/>
      <c r="I34" s="29"/>
      <c r="J34" s="29"/>
      <c r="K34" s="29"/>
      <c r="L34" s="29"/>
    </row>
    <row r="35" spans="2:12">
      <c r="B35" s="23">
        <v>2</v>
      </c>
      <c r="C35" s="23"/>
      <c r="D35" s="149"/>
      <c r="E35" s="149"/>
      <c r="F35" s="149"/>
      <c r="G35" s="149"/>
      <c r="H35" s="149"/>
      <c r="I35" s="29"/>
      <c r="J35" s="29"/>
      <c r="K35" s="29"/>
      <c r="L35" s="29"/>
    </row>
    <row r="36" spans="2:12">
      <c r="B36" s="23">
        <v>3</v>
      </c>
      <c r="C36" s="23"/>
      <c r="D36" s="149"/>
      <c r="E36" s="149"/>
      <c r="F36" s="149"/>
      <c r="G36" s="149"/>
      <c r="H36" s="149"/>
      <c r="I36" s="29"/>
      <c r="J36" s="29"/>
      <c r="K36" s="29"/>
      <c r="L36" s="29"/>
    </row>
    <row r="37" spans="2:12" ht="30">
      <c r="B37" s="29"/>
      <c r="C37" s="29" t="s">
        <v>9</v>
      </c>
      <c r="D37" s="149"/>
      <c r="E37" s="254" t="s">
        <v>415</v>
      </c>
      <c r="F37" s="149"/>
      <c r="G37" s="149">
        <v>26.55</v>
      </c>
      <c r="H37" s="149">
        <v>26.55</v>
      </c>
      <c r="I37" s="29"/>
      <c r="J37" s="29"/>
      <c r="K37" s="29"/>
      <c r="L37" s="29"/>
    </row>
    <row r="38" spans="2:12" ht="15">
      <c r="B38" s="29"/>
      <c r="C38" s="25" t="s">
        <v>127</v>
      </c>
      <c r="D38" s="162"/>
      <c r="E38" s="149"/>
      <c r="F38" s="132">
        <f>F37</f>
        <v>0</v>
      </c>
      <c r="G38" s="132">
        <f t="shared" ref="G38:H38" si="3">G37</f>
        <v>26.55</v>
      </c>
      <c r="H38" s="132">
        <f t="shared" si="3"/>
        <v>26.55</v>
      </c>
      <c r="I38" s="29"/>
      <c r="J38" s="29"/>
      <c r="K38" s="29"/>
      <c r="L38" s="29"/>
    </row>
    <row r="39" spans="2:12" ht="15">
      <c r="B39" s="23"/>
      <c r="C39" s="33" t="s">
        <v>381</v>
      </c>
      <c r="D39" s="149"/>
      <c r="E39" s="149"/>
      <c r="F39" s="149"/>
      <c r="G39" s="149"/>
      <c r="H39" s="149"/>
      <c r="I39" s="29"/>
      <c r="J39" s="29"/>
      <c r="K39" s="29"/>
      <c r="L39" s="29"/>
    </row>
    <row r="40" spans="2:12">
      <c r="B40" s="23">
        <v>1</v>
      </c>
      <c r="C40" s="23"/>
      <c r="D40" s="149"/>
      <c r="E40" s="149"/>
      <c r="F40" s="149"/>
      <c r="G40" s="149"/>
      <c r="H40" s="149"/>
      <c r="I40" s="29"/>
      <c r="J40" s="29"/>
      <c r="K40" s="29"/>
      <c r="L40" s="29"/>
    </row>
    <row r="41" spans="2:12">
      <c r="B41" s="23">
        <v>2</v>
      </c>
      <c r="C41" s="23"/>
      <c r="D41" s="149"/>
      <c r="E41" s="149"/>
      <c r="F41" s="149"/>
      <c r="G41" s="149"/>
      <c r="H41" s="149"/>
      <c r="I41" s="29"/>
      <c r="J41" s="29"/>
      <c r="K41" s="29"/>
      <c r="L41" s="29"/>
    </row>
    <row r="42" spans="2:12">
      <c r="B42" s="23">
        <v>3</v>
      </c>
      <c r="C42" s="23"/>
      <c r="D42" s="149"/>
      <c r="E42" s="149"/>
      <c r="F42" s="149"/>
      <c r="G42" s="149"/>
      <c r="H42" s="149"/>
      <c r="I42" s="29"/>
      <c r="J42" s="29"/>
      <c r="K42" s="29"/>
      <c r="L42" s="29"/>
    </row>
    <row r="43" spans="2:12" ht="30">
      <c r="B43" s="29"/>
      <c r="C43" s="29" t="s">
        <v>9</v>
      </c>
      <c r="D43" s="149"/>
      <c r="E43" s="254" t="s">
        <v>415</v>
      </c>
      <c r="F43" s="149"/>
      <c r="G43" s="149">
        <v>19.75</v>
      </c>
      <c r="H43" s="149">
        <v>19.75</v>
      </c>
      <c r="I43" s="29"/>
      <c r="J43" s="29"/>
      <c r="K43" s="29"/>
      <c r="L43" s="29"/>
    </row>
    <row r="44" spans="2:12" ht="15">
      <c r="B44" s="29"/>
      <c r="C44" s="25" t="s">
        <v>127</v>
      </c>
      <c r="D44" s="162"/>
      <c r="E44" s="149"/>
      <c r="F44" s="132">
        <f>F43</f>
        <v>0</v>
      </c>
      <c r="G44" s="132">
        <f t="shared" ref="G44:H44" si="4">G43</f>
        <v>19.75</v>
      </c>
      <c r="H44" s="132">
        <f t="shared" si="4"/>
        <v>19.75</v>
      </c>
      <c r="I44" s="29"/>
      <c r="J44" s="29"/>
      <c r="K44" s="29"/>
      <c r="L44" s="29"/>
    </row>
    <row r="45" spans="2:12" ht="15">
      <c r="B45" s="23"/>
      <c r="C45" s="33" t="s">
        <v>382</v>
      </c>
      <c r="D45" s="149"/>
      <c r="E45" s="149"/>
      <c r="F45" s="149"/>
      <c r="G45" s="149"/>
      <c r="H45" s="149"/>
      <c r="I45" s="29"/>
      <c r="J45" s="29"/>
      <c r="K45" s="29"/>
      <c r="L45" s="29"/>
    </row>
    <row r="46" spans="2:12">
      <c r="B46" s="23">
        <v>1</v>
      </c>
      <c r="C46" s="23"/>
      <c r="D46" s="149"/>
      <c r="E46" s="149"/>
      <c r="F46" s="149"/>
      <c r="G46" s="149"/>
      <c r="H46" s="149"/>
      <c r="I46" s="29"/>
      <c r="J46" s="29"/>
      <c r="K46" s="29"/>
      <c r="L46" s="29"/>
    </row>
    <row r="47" spans="2:12">
      <c r="B47" s="23">
        <v>2</v>
      </c>
      <c r="C47" s="23"/>
      <c r="D47" s="149"/>
      <c r="E47" s="149"/>
      <c r="F47" s="149"/>
      <c r="G47" s="149"/>
      <c r="H47" s="149"/>
      <c r="I47" s="29"/>
      <c r="J47" s="29"/>
      <c r="K47" s="29"/>
      <c r="L47" s="29"/>
    </row>
    <row r="48" spans="2:12">
      <c r="B48" s="23">
        <v>3</v>
      </c>
      <c r="C48" s="23"/>
      <c r="D48" s="149"/>
      <c r="E48" s="149"/>
      <c r="F48" s="149"/>
      <c r="G48" s="149"/>
      <c r="H48" s="149"/>
      <c r="I48" s="29"/>
      <c r="J48" s="29"/>
      <c r="K48" s="29"/>
      <c r="L48" s="29"/>
    </row>
    <row r="49" spans="2:12" ht="30">
      <c r="B49" s="29"/>
      <c r="C49" s="29" t="s">
        <v>9</v>
      </c>
      <c r="D49" s="149"/>
      <c r="E49" s="254" t="s">
        <v>415</v>
      </c>
      <c r="F49" s="149"/>
      <c r="G49" s="149">
        <v>0.6</v>
      </c>
      <c r="H49" s="149">
        <v>0.6</v>
      </c>
      <c r="I49" s="29"/>
      <c r="J49" s="29"/>
      <c r="K49" s="29"/>
      <c r="L49" s="29"/>
    </row>
    <row r="50" spans="2:12" ht="15">
      <c r="B50" s="29"/>
      <c r="C50" s="25" t="s">
        <v>127</v>
      </c>
      <c r="D50" s="162"/>
      <c r="E50" s="149"/>
      <c r="F50" s="132">
        <f>F49</f>
        <v>0</v>
      </c>
      <c r="G50" s="132">
        <f t="shared" ref="G50:H50" si="5">G49</f>
        <v>0.6</v>
      </c>
      <c r="H50" s="132">
        <f t="shared" si="5"/>
        <v>0.6</v>
      </c>
      <c r="I50" s="29"/>
      <c r="J50" s="29"/>
      <c r="K50" s="29"/>
      <c r="L50" s="29"/>
    </row>
    <row r="51" spans="2:12" ht="15">
      <c r="B51" s="23"/>
      <c r="C51" s="33" t="s">
        <v>383</v>
      </c>
      <c r="D51" s="149"/>
      <c r="E51" s="149"/>
      <c r="F51" s="149"/>
      <c r="G51" s="149"/>
      <c r="H51" s="149"/>
      <c r="I51" s="29"/>
      <c r="J51" s="29"/>
      <c r="K51" s="29"/>
      <c r="L51" s="29"/>
    </row>
    <row r="52" spans="2:12">
      <c r="B52" s="23">
        <v>1</v>
      </c>
      <c r="C52" s="23"/>
      <c r="D52" s="149"/>
      <c r="E52" s="149"/>
      <c r="F52" s="149"/>
      <c r="G52" s="149"/>
      <c r="H52" s="149"/>
      <c r="I52" s="29"/>
      <c r="J52" s="29"/>
      <c r="K52" s="29"/>
      <c r="L52" s="29"/>
    </row>
    <row r="53" spans="2:12">
      <c r="B53" s="23">
        <v>2</v>
      </c>
      <c r="C53" s="23"/>
      <c r="D53" s="149"/>
      <c r="E53" s="149"/>
      <c r="F53" s="149"/>
      <c r="G53" s="149"/>
      <c r="H53" s="149"/>
      <c r="I53" s="29"/>
      <c r="J53" s="29"/>
      <c r="K53" s="29"/>
      <c r="L53" s="29"/>
    </row>
    <row r="54" spans="2:12">
      <c r="B54" s="23">
        <v>3</v>
      </c>
      <c r="C54" s="23"/>
      <c r="D54" s="149"/>
      <c r="E54" s="149"/>
      <c r="F54" s="149"/>
      <c r="G54" s="149"/>
      <c r="H54" s="149"/>
      <c r="I54" s="29"/>
      <c r="J54" s="29"/>
      <c r="K54" s="29"/>
      <c r="L54" s="29"/>
    </row>
    <row r="55" spans="2:12" ht="30">
      <c r="B55" s="29"/>
      <c r="C55" s="29" t="s">
        <v>9</v>
      </c>
      <c r="D55" s="149"/>
      <c r="E55" s="254" t="s">
        <v>415</v>
      </c>
      <c r="F55" s="149"/>
      <c r="G55" s="149">
        <v>22.68</v>
      </c>
      <c r="H55" s="149">
        <v>22.68</v>
      </c>
      <c r="I55" s="29"/>
      <c r="J55" s="29"/>
      <c r="K55" s="29"/>
      <c r="L55" s="29"/>
    </row>
    <row r="56" spans="2:12" ht="15">
      <c r="B56" s="29"/>
      <c r="C56" s="25" t="s">
        <v>127</v>
      </c>
      <c r="D56" s="132">
        <f>SUM(D52:D55)</f>
        <v>0</v>
      </c>
      <c r="E56" s="149"/>
      <c r="F56" s="132">
        <f>F55</f>
        <v>0</v>
      </c>
      <c r="G56" s="132">
        <f t="shared" ref="G56:H56" si="6">G55</f>
        <v>22.68</v>
      </c>
      <c r="H56" s="132">
        <f t="shared" si="6"/>
        <v>22.68</v>
      </c>
      <c r="I56" s="29"/>
      <c r="J56" s="29"/>
      <c r="K56" s="29"/>
      <c r="L56" s="29"/>
    </row>
    <row r="57" spans="2:12">
      <c r="B57" s="64" t="s">
        <v>256</v>
      </c>
      <c r="C57" s="52" t="s">
        <v>257</v>
      </c>
    </row>
  </sheetData>
  <pageMargins left="1.02" right="0.25" top="1" bottom="1" header="0.25" footer="0.25"/>
  <pageSetup paperSize="9" scale="45" orientation="landscape" r:id="rId1"/>
  <headerFooter alignWithMargins="0">
    <oddHeader>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B2:J21"/>
  <sheetViews>
    <sheetView showGridLines="0" tabSelected="1" zoomScale="80" zoomScaleNormal="80" workbookViewId="0">
      <selection activeCell="M20" sqref="M20"/>
    </sheetView>
  </sheetViews>
  <sheetFormatPr defaultColWidth="9.28515625" defaultRowHeight="14.25"/>
  <cols>
    <col min="1" max="2" width="9.28515625" style="104"/>
    <col min="3" max="3" width="22.85546875" style="104" customWidth="1"/>
    <col min="4" max="4" width="13.42578125" style="104" customWidth="1"/>
    <col min="5" max="5" width="12.5703125" style="104" customWidth="1"/>
    <col min="6" max="6" width="12.85546875" style="104" customWidth="1"/>
    <col min="7" max="7" width="13.7109375" style="104" customWidth="1"/>
    <col min="8" max="8" width="13.5703125" style="104" customWidth="1"/>
    <col min="9" max="9" width="13.85546875" style="104" customWidth="1"/>
    <col min="10" max="10" width="15.7109375" style="104" customWidth="1"/>
    <col min="11" max="16384" width="9.28515625" style="104"/>
  </cols>
  <sheetData>
    <row r="2" spans="2:10" ht="15.75">
      <c r="B2" s="256" t="s">
        <v>404</v>
      </c>
      <c r="C2" s="256"/>
      <c r="D2" s="256"/>
      <c r="E2" s="256"/>
      <c r="F2" s="256"/>
      <c r="G2" s="256"/>
      <c r="H2" s="256"/>
      <c r="I2" s="256"/>
      <c r="J2" s="256"/>
    </row>
    <row r="3" spans="2:10" ht="15.75">
      <c r="E3" s="252" t="s">
        <v>376</v>
      </c>
      <c r="F3" s="252"/>
      <c r="G3" s="199"/>
      <c r="H3" s="199"/>
    </row>
    <row r="4" spans="2:10" ht="14.25" customHeight="1">
      <c r="B4" s="273" t="s">
        <v>308</v>
      </c>
      <c r="C4" s="273"/>
      <c r="D4" s="273"/>
      <c r="E4" s="273"/>
      <c r="F4" s="273"/>
      <c r="G4" s="273"/>
      <c r="H4" s="273"/>
      <c r="I4" s="273"/>
      <c r="J4" s="273"/>
    </row>
    <row r="6" spans="2:10" ht="15" customHeight="1">
      <c r="B6" s="287" t="s">
        <v>186</v>
      </c>
      <c r="C6" s="282" t="s">
        <v>18</v>
      </c>
      <c r="D6" s="287" t="s">
        <v>377</v>
      </c>
      <c r="E6" s="251" t="s">
        <v>378</v>
      </c>
      <c r="F6" s="287" t="s">
        <v>225</v>
      </c>
      <c r="G6" s="287"/>
      <c r="H6" s="287"/>
      <c r="I6" s="287"/>
      <c r="J6" s="287"/>
    </row>
    <row r="7" spans="2:10" ht="15">
      <c r="B7" s="287"/>
      <c r="C7" s="282"/>
      <c r="D7" s="287"/>
      <c r="E7" s="21" t="s">
        <v>244</v>
      </c>
      <c r="F7" s="21" t="s">
        <v>379</v>
      </c>
      <c r="G7" s="21" t="s">
        <v>380</v>
      </c>
      <c r="H7" s="21" t="s">
        <v>381</v>
      </c>
      <c r="I7" s="21" t="s">
        <v>382</v>
      </c>
      <c r="J7" s="21" t="s">
        <v>383</v>
      </c>
    </row>
    <row r="8" spans="2:10" ht="15">
      <c r="B8" s="287"/>
      <c r="C8" s="282"/>
      <c r="D8" s="105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106">
        <v>1</v>
      </c>
      <c r="C9" s="30" t="s">
        <v>309</v>
      </c>
      <c r="D9" s="127">
        <f>F3.1!H15</f>
        <v>0</v>
      </c>
      <c r="E9" s="127">
        <f>F3.1!H24</f>
        <v>2.66</v>
      </c>
      <c r="F9" s="127">
        <f>F3.1!H32</f>
        <v>95.02</v>
      </c>
      <c r="G9" s="127">
        <f>F3.1!H38</f>
        <v>26.55</v>
      </c>
      <c r="H9" s="127">
        <f>F3.1!H44</f>
        <v>19.75</v>
      </c>
      <c r="I9" s="127">
        <f>F3.1!H50</f>
        <v>0.6</v>
      </c>
      <c r="J9" s="127">
        <f>F3.1!H56</f>
        <v>22.68</v>
      </c>
    </row>
    <row r="10" spans="2:10">
      <c r="B10" s="30"/>
      <c r="C10" s="30"/>
      <c r="D10" s="116"/>
      <c r="E10" s="116"/>
      <c r="F10" s="116"/>
      <c r="G10" s="116"/>
      <c r="H10" s="116"/>
      <c r="I10" s="116"/>
      <c r="J10" s="116"/>
    </row>
    <row r="11" spans="2:10" ht="15">
      <c r="B11" s="106">
        <v>2</v>
      </c>
      <c r="C11" s="107" t="s">
        <v>176</v>
      </c>
      <c r="D11" s="116"/>
      <c r="E11" s="116"/>
      <c r="F11" s="116"/>
      <c r="G11" s="116"/>
      <c r="H11" s="116"/>
      <c r="I11" s="116"/>
      <c r="J11" s="116"/>
    </row>
    <row r="12" spans="2:10">
      <c r="B12" s="30"/>
      <c r="C12" s="30" t="s">
        <v>185</v>
      </c>
      <c r="D12" s="116"/>
      <c r="E12" s="116"/>
      <c r="F12" s="116"/>
      <c r="G12" s="116"/>
      <c r="H12" s="116"/>
      <c r="I12" s="116"/>
      <c r="J12" s="116"/>
    </row>
    <row r="13" spans="2:10">
      <c r="B13" s="30"/>
      <c r="C13" s="30" t="s">
        <v>184</v>
      </c>
      <c r="D13" s="116"/>
      <c r="E13" s="116"/>
      <c r="F13" s="116"/>
      <c r="G13" s="116"/>
      <c r="H13" s="116"/>
      <c r="I13" s="116"/>
      <c r="J13" s="116"/>
    </row>
    <row r="14" spans="2:10">
      <c r="B14" s="30"/>
      <c r="C14" s="30" t="s">
        <v>9</v>
      </c>
      <c r="D14" s="116"/>
      <c r="E14" s="116"/>
      <c r="F14" s="116"/>
      <c r="G14" s="116"/>
      <c r="H14" s="116"/>
      <c r="I14" s="116"/>
      <c r="J14" s="116"/>
    </row>
    <row r="15" spans="2:10" ht="15">
      <c r="B15" s="30"/>
      <c r="C15" s="107" t="s">
        <v>174</v>
      </c>
      <c r="D15" s="127">
        <f>SUM(D12:D14)</f>
        <v>0</v>
      </c>
      <c r="E15" s="127">
        <f>SUM(E12:E14)</f>
        <v>0</v>
      </c>
      <c r="F15" s="127">
        <f t="shared" ref="F15:J15" si="0">SUM(F12:F14)</f>
        <v>0</v>
      </c>
      <c r="G15" s="127">
        <f t="shared" si="0"/>
        <v>0</v>
      </c>
      <c r="H15" s="127">
        <f t="shared" si="0"/>
        <v>0</v>
      </c>
      <c r="I15" s="127">
        <f t="shared" si="0"/>
        <v>0</v>
      </c>
      <c r="J15" s="127">
        <f t="shared" si="0"/>
        <v>0</v>
      </c>
    </row>
    <row r="16" spans="2:10">
      <c r="B16" s="30"/>
      <c r="C16" s="30"/>
      <c r="D16" s="116"/>
      <c r="E16" s="116"/>
      <c r="F16" s="116"/>
      <c r="G16" s="116"/>
      <c r="H16" s="116"/>
      <c r="I16" s="116"/>
      <c r="J16" s="116"/>
    </row>
    <row r="17" spans="2:10">
      <c r="B17" s="106">
        <v>3</v>
      </c>
      <c r="C17" s="30" t="s">
        <v>0</v>
      </c>
      <c r="D17" s="116"/>
      <c r="E17" s="116"/>
      <c r="F17" s="116"/>
      <c r="G17" s="116"/>
      <c r="H17" s="116"/>
      <c r="I17" s="116"/>
      <c r="J17" s="116"/>
    </row>
    <row r="18" spans="2:10">
      <c r="B18" s="106">
        <v>4</v>
      </c>
      <c r="C18" s="30" t="s">
        <v>177</v>
      </c>
      <c r="D18" s="116"/>
      <c r="E18" s="116">
        <f>E9</f>
        <v>2.66</v>
      </c>
      <c r="F18" s="116">
        <f t="shared" ref="F18:J18" si="1">F9</f>
        <v>95.02</v>
      </c>
      <c r="G18" s="116">
        <f t="shared" si="1"/>
        <v>26.55</v>
      </c>
      <c r="H18" s="116">
        <f t="shared" si="1"/>
        <v>19.75</v>
      </c>
      <c r="I18" s="116">
        <f t="shared" si="1"/>
        <v>0.6</v>
      </c>
      <c r="J18" s="116">
        <f t="shared" si="1"/>
        <v>22.68</v>
      </c>
    </row>
    <row r="19" spans="2:10">
      <c r="B19" s="106">
        <v>5</v>
      </c>
      <c r="C19" s="30" t="s">
        <v>310</v>
      </c>
      <c r="D19" s="116"/>
      <c r="E19" s="116"/>
      <c r="F19" s="116"/>
      <c r="G19" s="116"/>
      <c r="H19" s="116"/>
      <c r="I19" s="116"/>
      <c r="J19" s="116"/>
    </row>
    <row r="20" spans="2:10" ht="15">
      <c r="B20" s="30"/>
      <c r="C20" s="30"/>
      <c r="D20" s="123"/>
      <c r="E20" s="123"/>
      <c r="F20" s="123"/>
      <c r="G20" s="123"/>
      <c r="H20" s="123"/>
      <c r="I20" s="123"/>
      <c r="J20" s="123"/>
    </row>
    <row r="21" spans="2:10" ht="15">
      <c r="B21" s="106">
        <v>6</v>
      </c>
      <c r="C21" s="107" t="s">
        <v>311</v>
      </c>
      <c r="D21" s="127">
        <f>D15+D17+D18+D19</f>
        <v>0</v>
      </c>
      <c r="E21" s="127">
        <f t="shared" ref="E21:F21" si="2">E15+E17+E18+E19</f>
        <v>2.66</v>
      </c>
      <c r="F21" s="127">
        <f t="shared" si="2"/>
        <v>95.02</v>
      </c>
      <c r="G21" s="127">
        <f t="shared" ref="F21:J21" si="3">G15+G17+G18+G19</f>
        <v>26.55</v>
      </c>
      <c r="H21" s="127">
        <f t="shared" si="3"/>
        <v>19.75</v>
      </c>
      <c r="I21" s="127">
        <f t="shared" si="3"/>
        <v>0.6</v>
      </c>
      <c r="J21" s="127">
        <f t="shared" si="3"/>
        <v>22.68</v>
      </c>
    </row>
  </sheetData>
  <mergeCells count="6">
    <mergeCell ref="F6:J6"/>
    <mergeCell ref="D6:D7"/>
    <mergeCell ref="B6:B8"/>
    <mergeCell ref="C6:C8"/>
    <mergeCell ref="B2:J2"/>
    <mergeCell ref="B4:J4"/>
  </mergeCells>
  <pageMargins left="0.33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</vt:i4>
      </vt:variant>
    </vt:vector>
  </HeadingPairs>
  <TitlesOfParts>
    <vt:vector size="19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F14</vt:lpstr>
      <vt:lpstr>F15</vt:lpstr>
      <vt:lpstr>Checklist!Print_Area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2024-09-21T04:57:46Z</cp:lastPrinted>
  <dcterms:created xsi:type="dcterms:W3CDTF">2004-07-28T05:30:50Z</dcterms:created>
  <dcterms:modified xsi:type="dcterms:W3CDTF">2024-09-22T12:43:26Z</dcterms:modified>
</cp:coreProperties>
</file>