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odeName="ThisWorkbook"/>
  <bookViews>
    <workbookView xWindow="120" yWindow="0" windowWidth="10080" windowHeight="6795" tabRatio="762" activeTab="8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0" sheetId="81" r:id="rId16"/>
    <sheet name="F11" sheetId="115" r:id="rId17"/>
    <sheet name="F11.1" sheetId="107" r:id="rId18"/>
    <sheet name="F12" sheetId="110" r:id="rId19"/>
    <sheet name="F13" sheetId="71" r:id="rId20"/>
    <sheet name="F15" sheetId="91" r:id="rId21"/>
  </sheets>
  <externalReferences>
    <externalReference r:id="rId22"/>
    <externalReference r:id="rId23"/>
    <externalReference r:id="rId24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_xlnm.Print_Area" localSheetId="0">Checklist!$A$1:$E$41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</definedNames>
  <calcPr calcId="124519" iterate="1" iterateCount="10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09"/>
  <c r="E15"/>
  <c r="M14" i="103"/>
  <c r="L14"/>
  <c r="K14"/>
  <c r="J14"/>
  <c r="I14"/>
  <c r="F16" i="104" l="1"/>
  <c r="K16" i="110"/>
  <c r="L16" s="1"/>
  <c r="M16" s="1"/>
  <c r="N16" s="1"/>
  <c r="K14"/>
  <c r="L14" s="1"/>
  <c r="M14" s="1"/>
  <c r="N14" s="1"/>
  <c r="J38" i="102" l="1"/>
  <c r="G39"/>
  <c r="H39"/>
  <c r="L39"/>
  <c r="L40" s="1"/>
  <c r="G22"/>
  <c r="H22"/>
  <c r="L22"/>
  <c r="H14" i="66"/>
  <c r="E14"/>
  <c r="D68" i="71"/>
  <c r="E68"/>
  <c r="F68"/>
  <c r="G68"/>
  <c r="H68"/>
  <c r="I68"/>
  <c r="J68"/>
  <c r="K68"/>
  <c r="L68"/>
  <c r="M68"/>
  <c r="N68"/>
  <c r="C68"/>
  <c r="D58"/>
  <c r="E58"/>
  <c r="F58"/>
  <c r="G58"/>
  <c r="H58"/>
  <c r="I58"/>
  <c r="J58"/>
  <c r="K58"/>
  <c r="L58"/>
  <c r="M58"/>
  <c r="N58"/>
  <c r="C58"/>
  <c r="J48"/>
  <c r="D48"/>
  <c r="E48"/>
  <c r="F48"/>
  <c r="G48"/>
  <c r="H48"/>
  <c r="I48"/>
  <c r="K48"/>
  <c r="L48"/>
  <c r="M48"/>
  <c r="N48"/>
  <c r="C48"/>
  <c r="D39"/>
  <c r="E39"/>
  <c r="F39"/>
  <c r="G39"/>
  <c r="H39"/>
  <c r="I39"/>
  <c r="J39"/>
  <c r="K39"/>
  <c r="L39"/>
  <c r="M39"/>
  <c r="N39"/>
  <c r="C39"/>
  <c r="D30"/>
  <c r="E30"/>
  <c r="F30"/>
  <c r="G30"/>
  <c r="H30"/>
  <c r="I30"/>
  <c r="J30"/>
  <c r="K30"/>
  <c r="L30"/>
  <c r="M30"/>
  <c r="N30"/>
  <c r="C30"/>
  <c r="D21"/>
  <c r="E21"/>
  <c r="F21"/>
  <c r="G21"/>
  <c r="H21"/>
  <c r="I21"/>
  <c r="J21"/>
  <c r="K21"/>
  <c r="C21"/>
  <c r="D12"/>
  <c r="E12"/>
  <c r="F12"/>
  <c r="G12"/>
  <c r="H12"/>
  <c r="I12"/>
  <c r="J12"/>
  <c r="K12"/>
  <c r="L12"/>
  <c r="M12"/>
  <c r="N12"/>
  <c r="C12"/>
  <c r="L31" i="107"/>
  <c r="K17" i="110" l="1"/>
  <c r="L17"/>
  <c r="M17"/>
  <c r="N17"/>
  <c r="J17"/>
  <c r="H38" i="68" l="1"/>
  <c r="H40" s="1"/>
  <c r="H34" i="67"/>
  <c r="H36" s="1"/>
  <c r="I16" i="110" l="1"/>
  <c r="I14"/>
  <c r="N19" i="71" l="1"/>
  <c r="M19"/>
  <c r="L19"/>
  <c r="N17"/>
  <c r="M17"/>
  <c r="L17"/>
  <c r="E23" i="81"/>
  <c r="M21" i="71" l="1"/>
  <c r="L21"/>
  <c r="N21"/>
  <c r="H23" i="81"/>
  <c r="O66" i="71"/>
  <c r="O64"/>
  <c r="O56"/>
  <c r="O54"/>
  <c r="O46"/>
  <c r="O44"/>
  <c r="O37"/>
  <c r="O35"/>
  <c r="O28"/>
  <c r="O26"/>
  <c r="O19"/>
  <c r="O17"/>
  <c r="O10"/>
  <c r="O8"/>
  <c r="B41" i="81"/>
  <c r="B42" s="1"/>
  <c r="B37"/>
  <c r="B38" s="1"/>
  <c r="B33"/>
  <c r="B34" s="1"/>
  <c r="N30"/>
  <c r="M30"/>
  <c r="L30"/>
  <c r="K30"/>
  <c r="J30"/>
  <c r="F30"/>
  <c r="G29"/>
  <c r="G30" s="1"/>
  <c r="B27"/>
  <c r="B28" s="1"/>
  <c r="B29" s="1"/>
  <c r="B30" s="1"/>
  <c r="J23"/>
  <c r="B23"/>
  <c r="B24" s="1"/>
  <c r="B19"/>
  <c r="B20" s="1"/>
  <c r="B15"/>
  <c r="B16" s="1"/>
  <c r="O48" i="71" l="1"/>
  <c r="O68"/>
  <c r="O58"/>
  <c r="O39"/>
  <c r="O30"/>
  <c r="O21"/>
  <c r="O12"/>
  <c r="I20" i="110" l="1"/>
  <c r="H17" i="104" s="1"/>
  <c r="I19" i="110"/>
  <c r="H12" i="104" s="1"/>
  <c r="F19" i="110"/>
  <c r="E12" i="104" s="1"/>
  <c r="F12" s="1"/>
  <c r="I18" i="110"/>
  <c r="H10" i="104" s="1"/>
  <c r="F18" i="110"/>
  <c r="N19"/>
  <c r="M12" i="104" s="1"/>
  <c r="M19" i="110"/>
  <c r="L12" i="104" s="1"/>
  <c r="L19" i="110"/>
  <c r="K12" i="104" s="1"/>
  <c r="K19" i="110"/>
  <c r="J12" i="104" s="1"/>
  <c r="N18" i="110"/>
  <c r="M18"/>
  <c r="L18"/>
  <c r="K18"/>
  <c r="J19"/>
  <c r="I12" i="104" s="1"/>
  <c r="J18" i="110"/>
  <c r="M11" i="104" l="1"/>
  <c r="M10"/>
  <c r="I11"/>
  <c r="I10"/>
  <c r="L10"/>
  <c r="L11"/>
  <c r="J10"/>
  <c r="J11"/>
  <c r="K10"/>
  <c r="K11"/>
  <c r="H11"/>
  <c r="E11"/>
  <c r="F11" s="1"/>
  <c r="E10"/>
  <c r="F10" s="1"/>
  <c r="E19" i="110"/>
  <c r="D12" i="104" s="1"/>
  <c r="F12" i="102"/>
  <c r="F22" l="1"/>
  <c r="D11" i="104"/>
  <c r="D10"/>
  <c r="E18" i="110"/>
  <c r="D12" i="105" l="1"/>
  <c r="D15" i="103"/>
  <c r="H74" i="102" l="1"/>
  <c r="K74"/>
  <c r="L74"/>
  <c r="J56"/>
  <c r="H125"/>
  <c r="L125"/>
  <c r="K108"/>
  <c r="L108"/>
  <c r="K91"/>
  <c r="L91"/>
  <c r="H57"/>
  <c r="L57"/>
  <c r="J12"/>
  <c r="I12"/>
  <c r="K12" s="1"/>
  <c r="M12" l="1"/>
  <c r="J22"/>
  <c r="N12"/>
  <c r="F30"/>
  <c r="G11" i="110" l="1"/>
  <c r="G12"/>
  <c r="G13"/>
  <c r="G14"/>
  <c r="G15"/>
  <c r="G16"/>
  <c r="G10"/>
  <c r="G19" l="1"/>
  <c r="H19"/>
  <c r="G12" i="104" s="1"/>
  <c r="G18" i="110"/>
  <c r="H18"/>
  <c r="M38" i="68"/>
  <c r="M40" s="1"/>
  <c r="I38"/>
  <c r="I40" s="1"/>
  <c r="J38"/>
  <c r="J40" s="1"/>
  <c r="K38"/>
  <c r="K40" s="1"/>
  <c r="L38"/>
  <c r="L40" s="1"/>
  <c r="E38"/>
  <c r="E40" s="1"/>
  <c r="F38"/>
  <c r="F40" s="1"/>
  <c r="G38"/>
  <c r="G40" s="1"/>
  <c r="D38"/>
  <c r="D40" s="1"/>
  <c r="G11" i="104" l="1"/>
  <c r="G10"/>
  <c r="F19" l="1"/>
  <c r="L20" i="110" l="1"/>
  <c r="K17" i="104" s="1"/>
  <c r="K20" i="110"/>
  <c r="J17" i="104" s="1"/>
  <c r="J20" i="110"/>
  <c r="I17" i="104" s="1"/>
  <c r="H20" i="110"/>
  <c r="G17" i="104" s="1"/>
  <c r="M20" i="110" l="1"/>
  <c r="L17" i="104" s="1"/>
  <c r="G20" i="110"/>
  <c r="N20" l="1"/>
  <c r="M17" i="104" s="1"/>
  <c r="E14" i="103"/>
  <c r="N11" i="102"/>
  <c r="I11"/>
  <c r="N10"/>
  <c r="I10"/>
  <c r="N9"/>
  <c r="I9"/>
  <c r="N16"/>
  <c r="I16"/>
  <c r="F34" s="1"/>
  <c r="N15"/>
  <c r="I15"/>
  <c r="F33" s="1"/>
  <c r="N14"/>
  <c r="I14"/>
  <c r="F32" s="1"/>
  <c r="N13"/>
  <c r="I13"/>
  <c r="H14" i="103"/>
  <c r="F31" i="102" l="1"/>
  <c r="K13"/>
  <c r="M13" s="1"/>
  <c r="J31" s="1"/>
  <c r="E11" i="103"/>
  <c r="D10" i="105"/>
  <c r="E10" s="1"/>
  <c r="F10" s="1"/>
  <c r="F10" i="103"/>
  <c r="K11" i="102"/>
  <c r="M11" s="1"/>
  <c r="F29"/>
  <c r="K9"/>
  <c r="F27"/>
  <c r="K10"/>
  <c r="M10" s="1"/>
  <c r="J28" s="1"/>
  <c r="F28"/>
  <c r="K14"/>
  <c r="M14" s="1"/>
  <c r="J32" s="1"/>
  <c r="K16"/>
  <c r="M16" s="1"/>
  <c r="K15"/>
  <c r="M15" s="1"/>
  <c r="O13" l="1"/>
  <c r="M9"/>
  <c r="O9" s="1"/>
  <c r="D11" i="103"/>
  <c r="F11"/>
  <c r="O10" i="102"/>
  <c r="E10" i="103"/>
  <c r="D10" s="1"/>
  <c r="J30" i="102"/>
  <c r="O12"/>
  <c r="O16"/>
  <c r="J34"/>
  <c r="N34" s="1"/>
  <c r="O15"/>
  <c r="J33"/>
  <c r="O11"/>
  <c r="J29"/>
  <c r="O14"/>
  <c r="N31"/>
  <c r="I31"/>
  <c r="F49" s="1"/>
  <c r="I28"/>
  <c r="F46" s="1"/>
  <c r="N28"/>
  <c r="N33"/>
  <c r="I33"/>
  <c r="F51" s="1"/>
  <c r="I27"/>
  <c r="I29"/>
  <c r="K29" s="1"/>
  <c r="I34"/>
  <c r="K34" s="1"/>
  <c r="I30"/>
  <c r="K30" s="1"/>
  <c r="I32"/>
  <c r="K32" s="1"/>
  <c r="M32" s="1"/>
  <c r="J50" s="1"/>
  <c r="N32"/>
  <c r="E20" i="110"/>
  <c r="D17" i="104" s="1"/>
  <c r="F20" i="110"/>
  <c r="E17" i="104" s="1"/>
  <c r="F17" s="1"/>
  <c r="Q19" i="91"/>
  <c r="Q15"/>
  <c r="Q14"/>
  <c r="M34" i="102" l="1"/>
  <c r="J52" s="1"/>
  <c r="K27"/>
  <c r="J27"/>
  <c r="N30"/>
  <c r="M30"/>
  <c r="J48" s="1"/>
  <c r="N29"/>
  <c r="M29"/>
  <c r="J47" s="1"/>
  <c r="K33"/>
  <c r="M33" s="1"/>
  <c r="K28"/>
  <c r="M28" s="1"/>
  <c r="F48"/>
  <c r="F52"/>
  <c r="I49"/>
  <c r="F66" s="1"/>
  <c r="K31"/>
  <c r="M31" s="1"/>
  <c r="F50"/>
  <c r="O32"/>
  <c r="F47"/>
  <c r="F45"/>
  <c r="I51"/>
  <c r="I46"/>
  <c r="F63" s="1"/>
  <c r="E34" i="67"/>
  <c r="F34"/>
  <c r="G34"/>
  <c r="D34"/>
  <c r="O29" i="102" l="1"/>
  <c r="O34"/>
  <c r="O30"/>
  <c r="M27"/>
  <c r="O27" s="1"/>
  <c r="N27"/>
  <c r="O28"/>
  <c r="J46"/>
  <c r="N46" s="1"/>
  <c r="O31"/>
  <c r="J49"/>
  <c r="N49" s="1"/>
  <c r="O33"/>
  <c r="J51"/>
  <c r="N51" s="1"/>
  <c r="F68"/>
  <c r="I45"/>
  <c r="F62" s="1"/>
  <c r="M50"/>
  <c r="J67" s="1"/>
  <c r="I50"/>
  <c r="N50"/>
  <c r="N48"/>
  <c r="I48"/>
  <c r="F65" s="1"/>
  <c r="I66"/>
  <c r="F83" s="1"/>
  <c r="I63"/>
  <c r="I47"/>
  <c r="F64" s="1"/>
  <c r="N47"/>
  <c r="I52"/>
  <c r="N52"/>
  <c r="G20" i="58"/>
  <c r="F20" s="1"/>
  <c r="H20"/>
  <c r="J20"/>
  <c r="I20" s="1"/>
  <c r="K20"/>
  <c r="L20"/>
  <c r="M20"/>
  <c r="N20"/>
  <c r="O20"/>
  <c r="J45" i="102" l="1"/>
  <c r="N45" s="1"/>
  <c r="M49"/>
  <c r="J66" s="1"/>
  <c r="N66" s="1"/>
  <c r="M46"/>
  <c r="M51"/>
  <c r="I68"/>
  <c r="I64"/>
  <c r="F81" s="1"/>
  <c r="I65"/>
  <c r="F69"/>
  <c r="F67"/>
  <c r="O50"/>
  <c r="I62"/>
  <c r="M48"/>
  <c r="F80"/>
  <c r="I83"/>
  <c r="F100" s="1"/>
  <c r="M47"/>
  <c r="M45" l="1"/>
  <c r="O45" s="1"/>
  <c r="O49"/>
  <c r="O51"/>
  <c r="J68"/>
  <c r="N68" s="1"/>
  <c r="F79"/>
  <c r="I79" s="1"/>
  <c r="O46"/>
  <c r="J63"/>
  <c r="M68"/>
  <c r="J85" s="1"/>
  <c r="M66"/>
  <c r="J83" s="1"/>
  <c r="N83" s="1"/>
  <c r="O47"/>
  <c r="J64"/>
  <c r="N64" s="1"/>
  <c r="O48"/>
  <c r="J65"/>
  <c r="N65" s="1"/>
  <c r="M52"/>
  <c r="J69" s="1"/>
  <c r="N69" s="1"/>
  <c r="I100"/>
  <c r="F117" s="1"/>
  <c r="I81"/>
  <c r="F98" s="1"/>
  <c r="I69"/>
  <c r="F86" s="1"/>
  <c r="F85"/>
  <c r="I80"/>
  <c r="F97" s="1"/>
  <c r="N67"/>
  <c r="I67"/>
  <c r="F84" s="1"/>
  <c r="F82"/>
  <c r="J62" l="1"/>
  <c r="M62" s="1"/>
  <c r="O66"/>
  <c r="M83"/>
  <c r="O83" s="1"/>
  <c r="M64"/>
  <c r="J81" s="1"/>
  <c r="N81" s="1"/>
  <c r="F96"/>
  <c r="I96" s="1"/>
  <c r="N62"/>
  <c r="N63"/>
  <c r="M63"/>
  <c r="M65"/>
  <c r="O68"/>
  <c r="O62"/>
  <c r="J79"/>
  <c r="M79" s="1"/>
  <c r="O52"/>
  <c r="M69"/>
  <c r="M67"/>
  <c r="I117"/>
  <c r="I82"/>
  <c r="F99" s="1"/>
  <c r="I97"/>
  <c r="N85"/>
  <c r="I85"/>
  <c r="F102" s="1"/>
  <c r="I84"/>
  <c r="I86"/>
  <c r="I98"/>
  <c r="F115" s="1"/>
  <c r="Q22" i="91"/>
  <c r="Q23"/>
  <c r="Q21"/>
  <c r="F25"/>
  <c r="G25"/>
  <c r="H25"/>
  <c r="I25"/>
  <c r="J25"/>
  <c r="K25"/>
  <c r="L25"/>
  <c r="M25"/>
  <c r="N25"/>
  <c r="O25"/>
  <c r="P25"/>
  <c r="E25"/>
  <c r="O64" i="102" l="1"/>
  <c r="J100"/>
  <c r="N100" s="1"/>
  <c r="J96"/>
  <c r="N96" s="1"/>
  <c r="J80"/>
  <c r="O63"/>
  <c r="J82"/>
  <c r="N82" s="1"/>
  <c r="O65"/>
  <c r="F113"/>
  <c r="O67"/>
  <c r="J84"/>
  <c r="N84" s="1"/>
  <c r="O69"/>
  <c r="J86"/>
  <c r="N86" s="1"/>
  <c r="N79"/>
  <c r="M81"/>
  <c r="O79"/>
  <c r="M82"/>
  <c r="I99"/>
  <c r="I102"/>
  <c r="F119" s="1"/>
  <c r="F114"/>
  <c r="I115"/>
  <c r="F103"/>
  <c r="I113"/>
  <c r="F101"/>
  <c r="M96"/>
  <c r="J113" s="1"/>
  <c r="M85"/>
  <c r="Q25" i="91"/>
  <c r="Q30" s="1"/>
  <c r="B51" i="115"/>
  <c r="B52" s="1"/>
  <c r="B53" s="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V21"/>
  <c r="U21"/>
  <c r="U32" s="1"/>
  <c r="T21"/>
  <c r="S21"/>
  <c r="R21"/>
  <c r="Q21"/>
  <c r="Q32" s="1"/>
  <c r="P21"/>
  <c r="O21"/>
  <c r="N21"/>
  <c r="M21"/>
  <c r="M32" s="1"/>
  <c r="L21"/>
  <c r="K21"/>
  <c r="J21"/>
  <c r="I21"/>
  <c r="I32" s="1"/>
  <c r="H21"/>
  <c r="G21"/>
  <c r="F21"/>
  <c r="E21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B10"/>
  <c r="B12" s="1"/>
  <c r="B13" s="1"/>
  <c r="B14" s="1"/>
  <c r="B15" s="1"/>
  <c r="B16" s="1"/>
  <c r="B18" s="1"/>
  <c r="B19" s="1"/>
  <c r="B20" s="1"/>
  <c r="B21" s="1"/>
  <c r="B23" s="1"/>
  <c r="B28" s="1"/>
  <c r="B29" s="1"/>
  <c r="B30" s="1"/>
  <c r="B31" s="1"/>
  <c r="B32" s="1"/>
  <c r="B34" s="1"/>
  <c r="B35" s="1"/>
  <c r="B36" s="1"/>
  <c r="B38" s="1"/>
  <c r="B39" s="1"/>
  <c r="B40" s="1"/>
  <c r="B41" s="1"/>
  <c r="B42" s="1"/>
  <c r="B43" s="1"/>
  <c r="B44" s="1"/>
  <c r="B45" s="1"/>
  <c r="B46" s="1"/>
  <c r="B47" s="1"/>
  <c r="M100" i="102" l="1"/>
  <c r="J117" s="1"/>
  <c r="N117" s="1"/>
  <c r="M86"/>
  <c r="J103" s="1"/>
  <c r="N103" s="1"/>
  <c r="M113"/>
  <c r="O113" s="1"/>
  <c r="N80"/>
  <c r="M80"/>
  <c r="O86"/>
  <c r="O81"/>
  <c r="J98"/>
  <c r="O85"/>
  <c r="J102"/>
  <c r="N102" s="1"/>
  <c r="O82"/>
  <c r="J99"/>
  <c r="N113"/>
  <c r="O96"/>
  <c r="M84"/>
  <c r="I34" i="115"/>
  <c r="M34"/>
  <c r="Q34"/>
  <c r="U34"/>
  <c r="I119" i="102"/>
  <c r="I101"/>
  <c r="F116"/>
  <c r="I103"/>
  <c r="I114"/>
  <c r="O32" i="115"/>
  <c r="O34" s="1"/>
  <c r="S32"/>
  <c r="S34" s="1"/>
  <c r="E32"/>
  <c r="E34" s="1"/>
  <c r="G32"/>
  <c r="G34" s="1"/>
  <c r="K32"/>
  <c r="K34" s="1"/>
  <c r="H32"/>
  <c r="H34" s="1"/>
  <c r="L32"/>
  <c r="L34" s="1"/>
  <c r="P32"/>
  <c r="P34" s="1"/>
  <c r="T32"/>
  <c r="T34" s="1"/>
  <c r="F32"/>
  <c r="F34" s="1"/>
  <c r="J32"/>
  <c r="J34" s="1"/>
  <c r="N32"/>
  <c r="N34" s="1"/>
  <c r="R32"/>
  <c r="R34" s="1"/>
  <c r="V32"/>
  <c r="V34" s="1"/>
  <c r="M117" i="102" l="1"/>
  <c r="O117" s="1"/>
  <c r="O100"/>
  <c r="M102"/>
  <c r="O102" s="1"/>
  <c r="N98"/>
  <c r="M98"/>
  <c r="O84"/>
  <c r="J101"/>
  <c r="O80"/>
  <c r="J97"/>
  <c r="N99"/>
  <c r="M99"/>
  <c r="I116"/>
  <c r="F120"/>
  <c r="F118"/>
  <c r="M103"/>
  <c r="G12" i="105"/>
  <c r="J119" i="102" l="1"/>
  <c r="N119" s="1"/>
  <c r="N101"/>
  <c r="M101"/>
  <c r="J118" s="1"/>
  <c r="M118" s="1"/>
  <c r="N97"/>
  <c r="M97"/>
  <c r="O98"/>
  <c r="J115"/>
  <c r="J116"/>
  <c r="N116" s="1"/>
  <c r="O99"/>
  <c r="O103"/>
  <c r="J120"/>
  <c r="I118"/>
  <c r="I120"/>
  <c r="M119" l="1"/>
  <c r="O119" s="1"/>
  <c r="O101"/>
  <c r="M120"/>
  <c r="O120" s="1"/>
  <c r="N118"/>
  <c r="J114"/>
  <c r="O97"/>
  <c r="N115"/>
  <c r="M115"/>
  <c r="O115" s="1"/>
  <c r="N120"/>
  <c r="M116"/>
  <c r="K125"/>
  <c r="O118"/>
  <c r="D18" i="69"/>
  <c r="D21" s="1"/>
  <c r="G15" i="103"/>
  <c r="D17"/>
  <c r="D14" i="105"/>
  <c r="G12" i="103"/>
  <c r="D12"/>
  <c r="N17" i="102"/>
  <c r="I17"/>
  <c r="E31" i="107"/>
  <c r="E21"/>
  <c r="E14"/>
  <c r="E16" s="1"/>
  <c r="E30" i="91"/>
  <c r="E16"/>
  <c r="E17" s="1"/>
  <c r="F35" i="102" l="1"/>
  <c r="N114"/>
  <c r="M114"/>
  <c r="O114" s="1"/>
  <c r="O116"/>
  <c r="E32" i="107"/>
  <c r="E34" s="1"/>
  <c r="K17" i="102"/>
  <c r="D18" i="103"/>
  <c r="D20" s="1"/>
  <c r="M17" i="102" l="1"/>
  <c r="M34" i="67"/>
  <c r="M36" s="1"/>
  <c r="N11" i="66" s="1"/>
  <c r="L34" i="67"/>
  <c r="L36" s="1"/>
  <c r="M11" i="66" s="1"/>
  <c r="K34" i="67"/>
  <c r="K36" s="1"/>
  <c r="L11" i="66" s="1"/>
  <c r="J34" i="67"/>
  <c r="J36" s="1"/>
  <c r="K11" i="66" s="1"/>
  <c r="I34" i="67"/>
  <c r="I36" s="1"/>
  <c r="J11" i="66" s="1"/>
  <c r="I11"/>
  <c r="G36" i="67"/>
  <c r="F11" i="66" s="1"/>
  <c r="G11" s="1"/>
  <c r="N12"/>
  <c r="L12"/>
  <c r="K12"/>
  <c r="J12"/>
  <c r="I12"/>
  <c r="F12"/>
  <c r="G12" s="1"/>
  <c r="M18" i="69"/>
  <c r="N13" i="66" s="1"/>
  <c r="L18" i="69"/>
  <c r="M13" i="66" s="1"/>
  <c r="K18" i="69"/>
  <c r="L13" i="66" s="1"/>
  <c r="J18" i="69"/>
  <c r="K13" i="66" s="1"/>
  <c r="I18" i="69"/>
  <c r="J13" i="66" s="1"/>
  <c r="H18" i="69"/>
  <c r="I13" i="66" s="1"/>
  <c r="G18" i="69"/>
  <c r="F13" i="66" s="1"/>
  <c r="G13" s="1"/>
  <c r="F18" i="69"/>
  <c r="F21" s="1"/>
  <c r="E18"/>
  <c r="E21" s="1"/>
  <c r="D13" i="93"/>
  <c r="G13"/>
  <c r="E11"/>
  <c r="M11"/>
  <c r="L11"/>
  <c r="K11"/>
  <c r="J11"/>
  <c r="I11"/>
  <c r="H11"/>
  <c r="J58" i="103"/>
  <c r="I58"/>
  <c r="H58"/>
  <c r="G58"/>
  <c r="F58"/>
  <c r="E58"/>
  <c r="J53"/>
  <c r="I53"/>
  <c r="H53"/>
  <c r="G53"/>
  <c r="F53"/>
  <c r="E53"/>
  <c r="J52"/>
  <c r="I52"/>
  <c r="H52"/>
  <c r="G52"/>
  <c r="F52"/>
  <c r="E52"/>
  <c r="J44"/>
  <c r="J45" s="1"/>
  <c r="J47" s="1"/>
  <c r="J49" s="1"/>
  <c r="I44"/>
  <c r="I45" s="1"/>
  <c r="I47" s="1"/>
  <c r="I49" s="1"/>
  <c r="H44"/>
  <c r="H45" s="1"/>
  <c r="H47" s="1"/>
  <c r="H49" s="1"/>
  <c r="G44"/>
  <c r="G45" s="1"/>
  <c r="G47" s="1"/>
  <c r="G49" s="1"/>
  <c r="F44"/>
  <c r="F45" s="1"/>
  <c r="F47" s="1"/>
  <c r="F49" s="1"/>
  <c r="E44"/>
  <c r="E45" s="1"/>
  <c r="E47" s="1"/>
  <c r="E49" s="1"/>
  <c r="J34"/>
  <c r="J35" s="1"/>
  <c r="J37" s="1"/>
  <c r="I34"/>
  <c r="I35" s="1"/>
  <c r="I37" s="1"/>
  <c r="H34"/>
  <c r="H35" s="1"/>
  <c r="H37" s="1"/>
  <c r="G34"/>
  <c r="G35" s="1"/>
  <c r="G37" s="1"/>
  <c r="F34"/>
  <c r="F35" s="1"/>
  <c r="F37" s="1"/>
  <c r="E34"/>
  <c r="E35" s="1"/>
  <c r="E37" s="1"/>
  <c r="G17"/>
  <c r="F12"/>
  <c r="E12"/>
  <c r="E18" s="1"/>
  <c r="D18" i="105"/>
  <c r="M18"/>
  <c r="L18"/>
  <c r="K18"/>
  <c r="J18"/>
  <c r="I18"/>
  <c r="H18"/>
  <c r="G18"/>
  <c r="F18"/>
  <c r="E18"/>
  <c r="G14"/>
  <c r="I20" i="102"/>
  <c r="N19"/>
  <c r="I19"/>
  <c r="F37" s="1"/>
  <c r="N18"/>
  <c r="I18"/>
  <c r="I22" l="1"/>
  <c r="N22"/>
  <c r="J35"/>
  <c r="K20"/>
  <c r="F36"/>
  <c r="O17"/>
  <c r="K18"/>
  <c r="L14" i="66"/>
  <c r="M11" i="58" s="1"/>
  <c r="K13" i="104" s="1"/>
  <c r="I14" i="66"/>
  <c r="J11" i="58" s="1"/>
  <c r="H54" i="103"/>
  <c r="H55" s="1"/>
  <c r="G9" i="109"/>
  <c r="J12" i="93"/>
  <c r="G74" i="102" s="1"/>
  <c r="J11" i="105"/>
  <c r="J12" s="1"/>
  <c r="D9" i="109"/>
  <c r="E12" i="93"/>
  <c r="F12" s="1"/>
  <c r="E11" i="105"/>
  <c r="E12" s="1"/>
  <c r="F14" i="66"/>
  <c r="E54" i="103"/>
  <c r="E55" s="1"/>
  <c r="F9" i="109"/>
  <c r="I11" i="105"/>
  <c r="I12" s="1"/>
  <c r="I12" i="93"/>
  <c r="G57" i="102" s="1"/>
  <c r="J9" i="109"/>
  <c r="M11" i="105"/>
  <c r="M12" s="1"/>
  <c r="M12" i="93"/>
  <c r="G125" i="102" s="1"/>
  <c r="D20" i="105"/>
  <c r="D21" s="1"/>
  <c r="E9" i="109"/>
  <c r="H12" i="93"/>
  <c r="H11" i="105"/>
  <c r="H12" s="1"/>
  <c r="I9" i="109"/>
  <c r="L12" i="93"/>
  <c r="G108" i="102" s="1"/>
  <c r="L11" i="105"/>
  <c r="L12" s="1"/>
  <c r="M12" i="66"/>
  <c r="M14" s="1"/>
  <c r="G14"/>
  <c r="H9" i="109"/>
  <c r="K11" i="105"/>
  <c r="K12" s="1"/>
  <c r="K12" i="93"/>
  <c r="G91" i="102" s="1"/>
  <c r="F11" i="93"/>
  <c r="J14" i="66"/>
  <c r="N14"/>
  <c r="K14"/>
  <c r="I11" i="58"/>
  <c r="I54" i="103"/>
  <c r="I55" s="1"/>
  <c r="I37" i="102"/>
  <c r="F55" s="1"/>
  <c r="I55" s="1"/>
  <c r="F72" s="1"/>
  <c r="I72" s="1"/>
  <c r="F89" s="1"/>
  <c r="K19"/>
  <c r="M19" s="1"/>
  <c r="G54" i="103"/>
  <c r="G55" s="1"/>
  <c r="F54"/>
  <c r="F55" s="1"/>
  <c r="G20" i="69"/>
  <c r="F11" i="58"/>
  <c r="I10" i="93"/>
  <c r="H57" i="103"/>
  <c r="H39"/>
  <c r="G39"/>
  <c r="G57"/>
  <c r="I39"/>
  <c r="I57"/>
  <c r="J57"/>
  <c r="J39"/>
  <c r="F57"/>
  <c r="F39"/>
  <c r="E39"/>
  <c r="E57"/>
  <c r="J54"/>
  <c r="J55" s="1"/>
  <c r="F13" i="58"/>
  <c r="G16" i="103"/>
  <c r="G18" s="1"/>
  <c r="G20" s="1"/>
  <c r="G22" s="1"/>
  <c r="I13" i="58" s="1"/>
  <c r="E20" i="105"/>
  <c r="F20"/>
  <c r="G20"/>
  <c r="N35" i="102"/>
  <c r="I35"/>
  <c r="O20"/>
  <c r="I36" l="1"/>
  <c r="I39" s="1"/>
  <c r="F39"/>
  <c r="K22"/>
  <c r="D13" i="104"/>
  <c r="D14"/>
  <c r="G14"/>
  <c r="G13"/>
  <c r="F40" i="102"/>
  <c r="O19"/>
  <c r="J37"/>
  <c r="N37" s="1"/>
  <c r="M18"/>
  <c r="F13" i="93"/>
  <c r="I13"/>
  <c r="J10" s="1"/>
  <c r="J13" s="1"/>
  <c r="K10" s="1"/>
  <c r="K13" s="1"/>
  <c r="I17" i="109"/>
  <c r="I12"/>
  <c r="I15" s="1"/>
  <c r="E17"/>
  <c r="E12"/>
  <c r="H12"/>
  <c r="H15" s="1"/>
  <c r="H17"/>
  <c r="J12"/>
  <c r="J15" s="1"/>
  <c r="J17"/>
  <c r="F12"/>
  <c r="F15" s="1"/>
  <c r="F17"/>
  <c r="D12"/>
  <c r="D15" s="1"/>
  <c r="D17"/>
  <c r="G12"/>
  <c r="G15" s="1"/>
  <c r="G17"/>
  <c r="H56" i="103"/>
  <c r="K19" s="1"/>
  <c r="H11" i="58"/>
  <c r="N11"/>
  <c r="L13" i="104" s="1"/>
  <c r="F19" i="103"/>
  <c r="F14"/>
  <c r="H10" s="1"/>
  <c r="I10" s="1"/>
  <c r="J10" s="1"/>
  <c r="K10" s="1"/>
  <c r="L10" s="1"/>
  <c r="M10" s="1"/>
  <c r="G56"/>
  <c r="H19" s="1"/>
  <c r="G11" i="58"/>
  <c r="E13" i="93"/>
  <c r="H10" s="1"/>
  <c r="E14" i="105"/>
  <c r="E21" s="1"/>
  <c r="E22" s="1"/>
  <c r="G15" i="58" s="1"/>
  <c r="F11" i="105"/>
  <c r="E56" i="103"/>
  <c r="J56"/>
  <c r="M19" s="1"/>
  <c r="F56"/>
  <c r="I56"/>
  <c r="L19" s="1"/>
  <c r="I89" i="102"/>
  <c r="F106" s="1"/>
  <c r="G21" i="69"/>
  <c r="L11" i="58"/>
  <c r="J13" i="104" s="1"/>
  <c r="K11" i="58"/>
  <c r="I13" i="104" s="1"/>
  <c r="K35" i="102"/>
  <c r="F53"/>
  <c r="K36"/>
  <c r="O11" i="58"/>
  <c r="M13" i="104" s="1"/>
  <c r="F59" i="103"/>
  <c r="I59"/>
  <c r="G59"/>
  <c r="J59"/>
  <c r="E59"/>
  <c r="H59"/>
  <c r="G21" i="105"/>
  <c r="I15" i="58" s="1"/>
  <c r="F15"/>
  <c r="K37" i="102"/>
  <c r="F54" l="1"/>
  <c r="I54" s="1"/>
  <c r="F71" s="1"/>
  <c r="K40"/>
  <c r="K39"/>
  <c r="J36"/>
  <c r="J39" s="1"/>
  <c r="M22"/>
  <c r="J40" s="1"/>
  <c r="E14" i="104"/>
  <c r="F14" s="1"/>
  <c r="E13"/>
  <c r="F13" s="1"/>
  <c r="H14"/>
  <c r="H13"/>
  <c r="I40" i="102"/>
  <c r="I14" i="104"/>
  <c r="H10" i="105"/>
  <c r="H20" s="1"/>
  <c r="M35" i="102"/>
  <c r="O35" s="1"/>
  <c r="M37"/>
  <c r="O18"/>
  <c r="O22" s="1"/>
  <c r="F12" i="105"/>
  <c r="F14" s="1"/>
  <c r="F21" s="1"/>
  <c r="F22" s="1"/>
  <c r="H15" i="58" s="1"/>
  <c r="I21" i="109"/>
  <c r="G21"/>
  <c r="F21"/>
  <c r="H21"/>
  <c r="D21"/>
  <c r="J21"/>
  <c r="H20" i="69"/>
  <c r="H21" s="1"/>
  <c r="L10" i="93"/>
  <c r="L13" s="1"/>
  <c r="E20" i="103"/>
  <c r="E22" s="1"/>
  <c r="G13" i="58" s="1"/>
  <c r="E22" i="102"/>
  <c r="H12" i="58"/>
  <c r="I106" i="102"/>
  <c r="I53"/>
  <c r="F56"/>
  <c r="J53" l="1"/>
  <c r="N53" s="1"/>
  <c r="M40"/>
  <c r="N40"/>
  <c r="N36"/>
  <c r="N39" s="1"/>
  <c r="M36"/>
  <c r="M39" s="1"/>
  <c r="F57"/>
  <c r="H14" i="105"/>
  <c r="H21" s="1"/>
  <c r="H22" s="1"/>
  <c r="J15" i="58" s="1"/>
  <c r="I10" i="105"/>
  <c r="J10" s="1"/>
  <c r="J14" s="1"/>
  <c r="F123" i="102"/>
  <c r="F15" i="103"/>
  <c r="F17" s="1"/>
  <c r="G12" i="58"/>
  <c r="O37" i="102"/>
  <c r="J55"/>
  <c r="E40"/>
  <c r="M10" i="93"/>
  <c r="M13" s="1"/>
  <c r="J12" i="58"/>
  <c r="H15" i="103" s="1"/>
  <c r="F70" i="102"/>
  <c r="I71"/>
  <c r="F88" s="1"/>
  <c r="N56"/>
  <c r="I56"/>
  <c r="I123"/>
  <c r="J57" l="1"/>
  <c r="N57" s="1"/>
  <c r="O40"/>
  <c r="O36"/>
  <c r="O39" s="1"/>
  <c r="J54"/>
  <c r="I57"/>
  <c r="F74" s="1"/>
  <c r="J14" i="104" s="1"/>
  <c r="E15" i="103"/>
  <c r="E17" s="1"/>
  <c r="J20" i="105"/>
  <c r="J21" s="1"/>
  <c r="J22" s="1"/>
  <c r="L15" i="58" s="1"/>
  <c r="I14" i="105"/>
  <c r="I20"/>
  <c r="K10"/>
  <c r="K20" s="1"/>
  <c r="N55" i="102"/>
  <c r="M55"/>
  <c r="F18" i="103"/>
  <c r="F20" s="1"/>
  <c r="F22" s="1"/>
  <c r="H13" i="58" s="1"/>
  <c r="H11" i="103"/>
  <c r="K57" i="102"/>
  <c r="I20" i="69"/>
  <c r="I21" s="1"/>
  <c r="H17" i="103"/>
  <c r="M53" i="102"/>
  <c r="I88"/>
  <c r="I70"/>
  <c r="F73"/>
  <c r="M56"/>
  <c r="M22" i="106"/>
  <c r="O16" i="58" s="1"/>
  <c r="L22" i="106"/>
  <c r="N16" i="58" s="1"/>
  <c r="K22" i="106"/>
  <c r="M16" i="58" s="1"/>
  <c r="J22" i="106"/>
  <c r="L16" i="58" s="1"/>
  <c r="I22" i="106"/>
  <c r="K16" i="58" s="1"/>
  <c r="H22" i="106"/>
  <c r="J16" i="58" s="1"/>
  <c r="F22" i="106"/>
  <c r="H16" i="58" s="1"/>
  <c r="E22" i="106"/>
  <c r="G16" i="58" s="1"/>
  <c r="V31" i="107"/>
  <c r="U31"/>
  <c r="T31"/>
  <c r="S31"/>
  <c r="R31"/>
  <c r="Q31"/>
  <c r="P31"/>
  <c r="O31"/>
  <c r="N31"/>
  <c r="M31"/>
  <c r="K31"/>
  <c r="J31"/>
  <c r="I31"/>
  <c r="H31"/>
  <c r="G31"/>
  <c r="F31"/>
  <c r="V21"/>
  <c r="U21"/>
  <c r="T21"/>
  <c r="S21"/>
  <c r="S32" s="1"/>
  <c r="R21"/>
  <c r="Q21"/>
  <c r="P21"/>
  <c r="O21"/>
  <c r="N21"/>
  <c r="M21"/>
  <c r="L21"/>
  <c r="K21"/>
  <c r="J21"/>
  <c r="I21"/>
  <c r="H21"/>
  <c r="G21"/>
  <c r="F21"/>
  <c r="V14"/>
  <c r="V16" s="1"/>
  <c r="U14"/>
  <c r="U16" s="1"/>
  <c r="T14"/>
  <c r="T16" s="1"/>
  <c r="S14"/>
  <c r="S16" s="1"/>
  <c r="R14"/>
  <c r="R16" s="1"/>
  <c r="Q14"/>
  <c r="Q16" s="1"/>
  <c r="P14"/>
  <c r="P16" s="1"/>
  <c r="O14"/>
  <c r="O16" s="1"/>
  <c r="N14"/>
  <c r="N16" s="1"/>
  <c r="M14"/>
  <c r="M16" s="1"/>
  <c r="L14"/>
  <c r="L16" s="1"/>
  <c r="K14"/>
  <c r="K16" s="1"/>
  <c r="J14"/>
  <c r="J16" s="1"/>
  <c r="I14"/>
  <c r="I16" s="1"/>
  <c r="H14"/>
  <c r="H16" s="1"/>
  <c r="G14"/>
  <c r="G16" s="1"/>
  <c r="F14"/>
  <c r="F16" s="1"/>
  <c r="O19" i="58"/>
  <c r="O21" s="1"/>
  <c r="N19"/>
  <c r="N21" s="1"/>
  <c r="M19"/>
  <c r="M21" s="1"/>
  <c r="L19"/>
  <c r="L21" s="1"/>
  <c r="K19"/>
  <c r="K21" s="1"/>
  <c r="J19"/>
  <c r="J21" s="1"/>
  <c r="I19"/>
  <c r="I21" s="1"/>
  <c r="H19"/>
  <c r="H21" s="1"/>
  <c r="G19"/>
  <c r="G21" s="1"/>
  <c r="F19"/>
  <c r="Q16" i="91"/>
  <c r="P16"/>
  <c r="P17" s="1"/>
  <c r="O16"/>
  <c r="O17" s="1"/>
  <c r="N16"/>
  <c r="N17" s="1"/>
  <c r="M16"/>
  <c r="M17" s="1"/>
  <c r="L16"/>
  <c r="L17" s="1"/>
  <c r="K16"/>
  <c r="K17" s="1"/>
  <c r="J16"/>
  <c r="J17" s="1"/>
  <c r="I16"/>
  <c r="I17" s="1"/>
  <c r="H16"/>
  <c r="H17" s="1"/>
  <c r="G16"/>
  <c r="G17" s="1"/>
  <c r="F16"/>
  <c r="F17" s="1"/>
  <c r="P30"/>
  <c r="O30"/>
  <c r="N30"/>
  <c r="M30"/>
  <c r="L30"/>
  <c r="K30"/>
  <c r="J30"/>
  <c r="I30"/>
  <c r="H30"/>
  <c r="G30"/>
  <c r="F30"/>
  <c r="O32" i="107" l="1"/>
  <c r="G32"/>
  <c r="G34" s="1"/>
  <c r="K32"/>
  <c r="K34" s="1"/>
  <c r="M57" i="102"/>
  <c r="O57" s="1"/>
  <c r="N54"/>
  <c r="M54"/>
  <c r="I74"/>
  <c r="F91" s="1"/>
  <c r="I91" s="1"/>
  <c r="F108" s="1"/>
  <c r="I108" s="1"/>
  <c r="F125" s="1"/>
  <c r="I125" s="1"/>
  <c r="O56"/>
  <c r="J73"/>
  <c r="N73" s="1"/>
  <c r="J74"/>
  <c r="L10" i="105"/>
  <c r="M10" s="1"/>
  <c r="I21"/>
  <c r="I22" s="1"/>
  <c r="K15" i="58" s="1"/>
  <c r="I11" i="103"/>
  <c r="H12"/>
  <c r="H16" s="1"/>
  <c r="H18" s="1"/>
  <c r="H20" s="1"/>
  <c r="H22" s="1"/>
  <c r="J13" i="58" s="1"/>
  <c r="J70" i="102"/>
  <c r="M70" s="1"/>
  <c r="O55"/>
  <c r="J72"/>
  <c r="Q17" i="91"/>
  <c r="O34" i="107"/>
  <c r="S34"/>
  <c r="T32"/>
  <c r="T34" s="1"/>
  <c r="J20" i="69"/>
  <c r="J21" s="1"/>
  <c r="F21" i="58"/>
  <c r="H32" i="107"/>
  <c r="H34" s="1"/>
  <c r="L32"/>
  <c r="L34" s="1"/>
  <c r="P32"/>
  <c r="P34" s="1"/>
  <c r="O53" i="102"/>
  <c r="F105"/>
  <c r="I73"/>
  <c r="F90" s="1"/>
  <c r="F32" i="107"/>
  <c r="F34" s="1"/>
  <c r="J32"/>
  <c r="J34" s="1"/>
  <c r="N32"/>
  <c r="N34" s="1"/>
  <c r="R32"/>
  <c r="R34" s="1"/>
  <c r="V32"/>
  <c r="V34" s="1"/>
  <c r="I32"/>
  <c r="I34" s="1"/>
  <c r="M32"/>
  <c r="M34" s="1"/>
  <c r="Q32"/>
  <c r="Q34" s="1"/>
  <c r="U32"/>
  <c r="U34" s="1"/>
  <c r="F87" i="102"/>
  <c r="O54" l="1"/>
  <c r="J71"/>
  <c r="K14" i="104"/>
  <c r="N74" i="102"/>
  <c r="M74"/>
  <c r="L20" i="105"/>
  <c r="L14"/>
  <c r="I12" i="103"/>
  <c r="N72" i="102"/>
  <c r="M72"/>
  <c r="N70"/>
  <c r="O70"/>
  <c r="J87"/>
  <c r="M20" i="105"/>
  <c r="E57" i="102"/>
  <c r="K12" i="58"/>
  <c r="I15" i="103" s="1"/>
  <c r="J11" s="1"/>
  <c r="M73" i="102"/>
  <c r="I87"/>
  <c r="I90"/>
  <c r="F107" s="1"/>
  <c r="I105"/>
  <c r="F122" s="1"/>
  <c r="N71" l="1"/>
  <c r="M71"/>
  <c r="J91"/>
  <c r="N91" s="1"/>
  <c r="O74"/>
  <c r="L21" i="105"/>
  <c r="L22" s="1"/>
  <c r="N15" i="58" s="1"/>
  <c r="J12" i="103"/>
  <c r="O72" i="102"/>
  <c r="J89"/>
  <c r="O73"/>
  <c r="J90"/>
  <c r="N90" s="1"/>
  <c r="N87"/>
  <c r="L12" i="58"/>
  <c r="J15" i="103" s="1"/>
  <c r="K11" s="1"/>
  <c r="I16"/>
  <c r="I18" s="1"/>
  <c r="I20" s="1"/>
  <c r="I22" s="1"/>
  <c r="K13" i="58" s="1"/>
  <c r="I17" i="103"/>
  <c r="K20" i="69"/>
  <c r="K21" s="1"/>
  <c r="I107" i="102"/>
  <c r="F104"/>
  <c r="L14" i="104" s="1"/>
  <c r="I122" i="102"/>
  <c r="B20" i="58"/>
  <c r="B21" s="1"/>
  <c r="O71" i="102" l="1"/>
  <c r="J88"/>
  <c r="N89"/>
  <c r="M89"/>
  <c r="K12" i="103"/>
  <c r="M90" i="102"/>
  <c r="K14" i="105"/>
  <c r="K21" s="1"/>
  <c r="K22" s="1"/>
  <c r="M15" i="58" s="1"/>
  <c r="E74" i="102"/>
  <c r="J16" i="103"/>
  <c r="J18" s="1"/>
  <c r="J20" s="1"/>
  <c r="J22" s="1"/>
  <c r="L13" i="58" s="1"/>
  <c r="J17" i="103"/>
  <c r="M87" i="102"/>
  <c r="F124"/>
  <c r="I104"/>
  <c r="N88" l="1"/>
  <c r="M88"/>
  <c r="M91" s="1"/>
  <c r="O90"/>
  <c r="J107"/>
  <c r="J104"/>
  <c r="O89"/>
  <c r="J106"/>
  <c r="N104"/>
  <c r="L20" i="69"/>
  <c r="L21" s="1"/>
  <c r="E91" i="102"/>
  <c r="M12" i="58"/>
  <c r="K15" i="103" s="1"/>
  <c r="L11" s="1"/>
  <c r="L12" s="1"/>
  <c r="M104" i="102"/>
  <c r="F121"/>
  <c r="M14" i="104" s="1"/>
  <c r="I124" i="102"/>
  <c r="O87"/>
  <c r="B51" i="107"/>
  <c r="B52" s="1"/>
  <c r="B53" s="1"/>
  <c r="B10"/>
  <c r="B12" s="1"/>
  <c r="B13" s="1"/>
  <c r="B14" s="1"/>
  <c r="B15" s="1"/>
  <c r="B16" s="1"/>
  <c r="B18" s="1"/>
  <c r="B19" s="1"/>
  <c r="B20" s="1"/>
  <c r="B21" s="1"/>
  <c r="B23" s="1"/>
  <c r="B28" s="1"/>
  <c r="B29" s="1"/>
  <c r="B30" s="1"/>
  <c r="B31" s="1"/>
  <c r="B32" s="1"/>
  <c r="B34" s="1"/>
  <c r="B35" s="1"/>
  <c r="B36" s="1"/>
  <c r="B38" s="1"/>
  <c r="B39" s="1"/>
  <c r="B40" s="1"/>
  <c r="B41" s="1"/>
  <c r="B42" s="1"/>
  <c r="B43" s="1"/>
  <c r="B44" s="1"/>
  <c r="B45" s="1"/>
  <c r="B46" s="1"/>
  <c r="B47" s="1"/>
  <c r="O88" i="102" l="1"/>
  <c r="J105"/>
  <c r="N107"/>
  <c r="M107"/>
  <c r="J108"/>
  <c r="O91"/>
  <c r="N106"/>
  <c r="M106"/>
  <c r="J121"/>
  <c r="N121" s="1"/>
  <c r="K17" i="103"/>
  <c r="K16"/>
  <c r="K18" s="1"/>
  <c r="K20" s="1"/>
  <c r="K22" s="1"/>
  <c r="M13" i="58" s="1"/>
  <c r="N12"/>
  <c r="L15" i="103" s="1"/>
  <c r="M11" s="1"/>
  <c r="M12" s="1"/>
  <c r="E108" i="102"/>
  <c r="I121"/>
  <c r="O104"/>
  <c r="B11" i="106"/>
  <c r="B12" s="1"/>
  <c r="B13" s="1"/>
  <c r="B14" s="1"/>
  <c r="B15" s="1"/>
  <c r="B16" s="1"/>
  <c r="B17" s="1"/>
  <c r="B18" s="1"/>
  <c r="B19" s="1"/>
  <c r="B20" s="1"/>
  <c r="B21" s="1"/>
  <c r="B11" i="105"/>
  <c r="B12" s="1"/>
  <c r="B13" s="1"/>
  <c r="B14" s="1"/>
  <c r="B16" s="1"/>
  <c r="B17" s="1"/>
  <c r="B18" s="1"/>
  <c r="B20" s="1"/>
  <c r="B11" i="104"/>
  <c r="B12" s="1"/>
  <c r="B13" s="1"/>
  <c r="B14" s="1"/>
  <c r="B15" s="1"/>
  <c r="B17" s="1"/>
  <c r="B18" s="1"/>
  <c r="B19" s="1"/>
  <c r="B20" s="1"/>
  <c r="B11" i="103"/>
  <c r="B12" s="1"/>
  <c r="B13" s="1"/>
  <c r="B14" s="1"/>
  <c r="B15" s="1"/>
  <c r="B16" s="1"/>
  <c r="B17" s="1"/>
  <c r="B18" s="1"/>
  <c r="B19" s="1"/>
  <c r="B20" s="1"/>
  <c r="B21" s="1"/>
  <c r="B22" s="1"/>
  <c r="N105" i="102" l="1"/>
  <c r="M105"/>
  <c r="N108"/>
  <c r="M108"/>
  <c r="O107"/>
  <c r="J124"/>
  <c r="M14" i="105"/>
  <c r="M21" s="1"/>
  <c r="M22" s="1"/>
  <c r="O15" i="58" s="1"/>
  <c r="J123" i="102"/>
  <c r="O106"/>
  <c r="L16" i="103"/>
  <c r="L18" s="1"/>
  <c r="L20" s="1"/>
  <c r="L22" s="1"/>
  <c r="N13" i="58" s="1"/>
  <c r="L17" i="103"/>
  <c r="M20" i="69"/>
  <c r="M21" s="1"/>
  <c r="B21" i="105"/>
  <c r="B22" s="1"/>
  <c r="B12" i="58"/>
  <c r="B13" s="1"/>
  <c r="B14" s="1"/>
  <c r="B15" s="1"/>
  <c r="B16" s="1"/>
  <c r="B17" s="1"/>
  <c r="O105" i="102" l="1"/>
  <c r="J122"/>
  <c r="O108"/>
  <c r="J125"/>
  <c r="N124"/>
  <c r="M124"/>
  <c r="O124" s="1"/>
  <c r="N123"/>
  <c r="M123"/>
  <c r="O123" s="1"/>
  <c r="M121"/>
  <c r="B9" i="9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30" s="1"/>
  <c r="B31" s="1"/>
  <c r="N122" i="102" l="1"/>
  <c r="M122"/>
  <c r="O122" s="1"/>
  <c r="N125"/>
  <c r="M125"/>
  <c r="O125" s="1"/>
  <c r="E125"/>
  <c r="O12" i="58"/>
  <c r="M15" i="103" s="1"/>
  <c r="O121" i="102"/>
  <c r="B9" i="57"/>
  <c r="B10" s="1"/>
  <c r="B11" s="1"/>
  <c r="B12" s="1"/>
  <c r="M16" i="103" l="1"/>
  <c r="M18" s="1"/>
  <c r="M20" s="1"/>
  <c r="M22" s="1"/>
  <c r="O13" i="58" s="1"/>
  <c r="M17" i="103"/>
  <c r="B13" i="57"/>
  <c r="B14" s="1"/>
  <c r="B15" s="1"/>
  <c r="B12" i="66"/>
  <c r="B13" s="1"/>
  <c r="B14" s="1"/>
  <c r="B28" i="67"/>
  <c r="B29" s="1"/>
  <c r="B30" s="1"/>
  <c r="B31" s="1"/>
  <c r="B16" i="57" l="1"/>
  <c r="B17" s="1"/>
  <c r="B18" s="1"/>
  <c r="B19" s="1"/>
  <c r="B20" s="1"/>
  <c r="B21" s="1"/>
  <c r="B22" s="1"/>
  <c r="B23" l="1"/>
  <c r="B24" s="1"/>
  <c r="B25" s="1"/>
  <c r="B26" s="1"/>
  <c r="B27" s="1"/>
  <c r="B28" s="1"/>
  <c r="B30" s="1"/>
  <c r="B31" s="1"/>
  <c r="B32" s="1"/>
  <c r="B33" l="1"/>
  <c r="B34" s="1"/>
  <c r="B35" s="1"/>
  <c r="B36" s="1"/>
  <c r="B37" s="1"/>
  <c r="B38" s="1"/>
  <c r="B39" s="1"/>
  <c r="F14" i="58"/>
  <c r="F17" l="1"/>
  <c r="F22" l="1"/>
  <c r="D15" i="104" s="1"/>
  <c r="D18" s="1"/>
  <c r="F23" i="58"/>
  <c r="I14"/>
  <c r="I17" s="1"/>
  <c r="I22" l="1"/>
  <c r="G15" i="104" s="1"/>
  <c r="G18" s="1"/>
  <c r="I23" i="58"/>
  <c r="G14"/>
  <c r="H14"/>
  <c r="J14"/>
  <c r="K14"/>
  <c r="L14"/>
  <c r="M14"/>
  <c r="N14"/>
  <c r="O14"/>
  <c r="G17"/>
  <c r="H17"/>
  <c r="J17"/>
  <c r="K17"/>
  <c r="L17"/>
  <c r="M17"/>
  <c r="N17"/>
  <c r="O17"/>
  <c r="G22"/>
  <c r="H22"/>
  <c r="J22"/>
  <c r="K22"/>
  <c r="L22"/>
  <c r="M22"/>
  <c r="N22"/>
  <c r="O22"/>
  <c r="G23"/>
  <c r="H23"/>
  <c r="J23"/>
  <c r="K23"/>
  <c r="L23"/>
  <c r="M23"/>
  <c r="N23"/>
  <c r="O23"/>
  <c r="E15" i="104"/>
  <c r="F15"/>
  <c r="H15"/>
  <c r="I15"/>
  <c r="J15"/>
  <c r="K15"/>
  <c r="L15"/>
  <c r="M15"/>
  <c r="E18"/>
  <c r="F18"/>
  <c r="H18"/>
  <c r="I18"/>
  <c r="J18"/>
  <c r="K18"/>
  <c r="L18"/>
  <c r="M18"/>
  <c r="E20"/>
  <c r="F20"/>
  <c r="H20"/>
  <c r="I20"/>
  <c r="J20"/>
  <c r="K20"/>
  <c r="L20"/>
  <c r="M20"/>
</calcChain>
</file>

<file path=xl/sharedStrings.xml><?xml version="1.0" encoding="utf-8"?>
<sst xmlns="http://schemas.openxmlformats.org/spreadsheetml/2006/main" count="1509" uniqueCount="534">
  <si>
    <t>Equity</t>
  </si>
  <si>
    <t>Reference</t>
  </si>
  <si>
    <t>S.No.</t>
  </si>
  <si>
    <t>Actual</t>
  </si>
  <si>
    <t>(Rs. Crore)</t>
  </si>
  <si>
    <t>Estimated</t>
  </si>
  <si>
    <t>Form 1</t>
  </si>
  <si>
    <t>Title</t>
  </si>
  <si>
    <t>Projected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</si>
  <si>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</si>
  <si>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</si>
  <si>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</si>
  <si>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</si>
  <si>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</si>
  <si>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</si>
  <si>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</si>
  <si>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</si>
  <si>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</si>
  <si>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</si>
  <si>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</si>
  <si>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</si>
  <si>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</si>
  <si>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</si>
  <si>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</si>
  <si>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</si>
  <si>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</si>
  <si>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</si>
  <si>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</si>
  <si>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</si>
  <si>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</si>
  <si>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</si>
  <si>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</si>
  <si>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</si>
  <si>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</si>
  <si>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</si>
  <si>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</si>
  <si>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</si>
  <si>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</si>
  <si>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</si>
  <si>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</si>
  <si>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MW</t>
  </si>
  <si>
    <t>Target Availability for full recovery of AFC</t>
  </si>
  <si>
    <t>%</t>
  </si>
  <si>
    <t>Target PLF for Incentive</t>
  </si>
  <si>
    <t>Scheduled Generation</t>
  </si>
  <si>
    <t>MU</t>
  </si>
  <si>
    <t>Normative Auxiliary Energy Consumption</t>
  </si>
  <si>
    <t>Net Generation</t>
  </si>
  <si>
    <t>Normative Gross Station Heat Rate</t>
  </si>
  <si>
    <t>kcal/kWh</t>
  </si>
  <si>
    <t>Normative Secondary Fuel Oil Consumption</t>
  </si>
  <si>
    <t>ml/kWh</t>
  </si>
  <si>
    <t>Normative Transit Loss</t>
  </si>
  <si>
    <t>Transit Loss</t>
  </si>
  <si>
    <t xml:space="preserve">Note: </t>
  </si>
  <si>
    <t>Total Working Capital requirement</t>
  </si>
  <si>
    <t>Gross Generation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</si>
  <si>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</si>
  <si>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</si>
  <si>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</si>
  <si>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</si>
  <si>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</si>
  <si>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</si>
  <si>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</si>
  <si>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</si>
  <si>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</si>
  <si>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</si>
  <si>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</si>
  <si>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</si>
  <si>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</si>
  <si>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</si>
  <si>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</si>
  <si>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</si>
  <si>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</si>
  <si>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</si>
  <si>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</si>
  <si>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</si>
  <si>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</si>
  <si>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</si>
  <si>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</si>
  <si>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</si>
  <si>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</si>
  <si>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</si>
  <si>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</si>
  <si>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</si>
  <si>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</si>
  <si>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</si>
  <si>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</si>
  <si>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</si>
  <si>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</si>
  <si>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</si>
  <si>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</si>
  <si>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</si>
  <si>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</si>
  <si>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</si>
  <si>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</si>
  <si>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</si>
  <si>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</si>
  <si>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</si>
  <si>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</si>
  <si>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</si>
  <si>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</si>
  <si>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</si>
  <si>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</si>
  <si>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</si>
  <si>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</si>
  <si>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</si>
  <si>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</si>
  <si>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</si>
  <si>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</si>
  <si>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</si>
  <si>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</si>
  <si>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</si>
  <si>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</si>
  <si>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</si>
  <si>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</si>
  <si>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</si>
  <si>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</si>
  <si>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</si>
  <si>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</si>
  <si>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</si>
  <si>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</si>
  <si>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</si>
  <si>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</si>
  <si>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</si>
  <si>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</si>
  <si>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</si>
  <si>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</si>
  <si>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</si>
  <si>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</si>
  <si>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</si>
  <si>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</si>
  <si>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</si>
  <si>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</si>
  <si>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</si>
  <si>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</si>
  <si>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</si>
  <si>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</si>
  <si>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</si>
  <si>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</si>
  <si>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</si>
  <si>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</si>
  <si>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</si>
  <si>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</si>
  <si>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</si>
  <si>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</si>
  <si>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</si>
  <si>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</si>
  <si>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</si>
  <si>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</si>
  <si>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</si>
  <si>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</si>
  <si>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</si>
  <si>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Actuals</t>
  </si>
  <si>
    <t xml:space="preserve"> Total</t>
  </si>
  <si>
    <t>Income from sale of ash/rejected coal</t>
  </si>
  <si>
    <t>Revenue from sale of electricity</t>
  </si>
  <si>
    <t>Non-Tariff Income</t>
  </si>
  <si>
    <t>Actual/Projected Availability</t>
  </si>
  <si>
    <t>Actual/Projected PLF</t>
  </si>
  <si>
    <t>Actual/Projected Gross Generation</t>
  </si>
  <si>
    <t>Actual/Projected Auxiliary Energy Consumption</t>
  </si>
  <si>
    <t>Actual/Projected Gross Station Heat Rate</t>
  </si>
  <si>
    <t>Actual/Projected Secondary Fuel Oil Consumption</t>
  </si>
  <si>
    <t>Actual/Projected Transit Loss</t>
  </si>
  <si>
    <t>Form 12</t>
  </si>
  <si>
    <t>Income from sale of tender documents</t>
  </si>
  <si>
    <t>Unit 1 / Station 1</t>
  </si>
  <si>
    <t>Unit 2 / Station 2</t>
  </si>
  <si>
    <t xml:space="preserve">Depreciation </t>
  </si>
  <si>
    <t>Addition of Loan during the year</t>
  </si>
  <si>
    <t>Form 13</t>
  </si>
  <si>
    <t>Total Revenue</t>
  </si>
  <si>
    <t>Auxiliary Consumption</t>
  </si>
  <si>
    <t>Normative Availability (%)</t>
  </si>
  <si>
    <t>Availability</t>
  </si>
  <si>
    <t>Plant Load Factor (PLF)</t>
  </si>
  <si>
    <t>Secondary Fuel Oil Consumption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</si>
  <si>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</si>
  <si>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</si>
  <si>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</si>
  <si>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</si>
  <si>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</si>
  <si>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</si>
  <si>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</si>
  <si>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</si>
  <si>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</si>
  <si>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</si>
  <si>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</si>
  <si>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</si>
  <si>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</si>
  <si>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Total Cost</t>
  </si>
  <si>
    <t>Project Schedule</t>
  </si>
  <si>
    <t>Abstract of Capital Cost</t>
  </si>
  <si>
    <t>Breakup of Capital Cost</t>
  </si>
  <si>
    <t>Breakup of Construction/Supply/Services/Packages</t>
  </si>
  <si>
    <t>Details of Loans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</si>
  <si>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</si>
  <si>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</si>
  <si>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</si>
  <si>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</si>
  <si>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</si>
  <si>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</si>
  <si>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</si>
  <si>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</si>
  <si>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</si>
  <si>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</si>
  <si>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</si>
  <si>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</si>
  <si>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</si>
  <si>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</si>
  <si>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</si>
  <si>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</si>
  <si>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</si>
  <si>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Financial Package</t>
  </si>
  <si>
    <t>Gross Station Heat Rate</t>
  </si>
  <si>
    <t>True-Up requirement</t>
  </si>
  <si>
    <t>Legend</t>
  </si>
  <si>
    <t xml:space="preserve">Details of outages should be submitted for each Unit of each station separately </t>
  </si>
  <si>
    <t>R &amp; M Expenses</t>
  </si>
  <si>
    <t>Installed Capacity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</si>
  <si>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</si>
  <si>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</si>
  <si>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</si>
  <si>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</si>
  <si>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</si>
  <si>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</si>
  <si>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</si>
  <si>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</si>
  <si>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Type of Thermal Generating Station (Pithead/Non-Pithead)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</si>
  <si>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</si>
  <si>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</si>
  <si>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</si>
  <si>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</si>
  <si>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</si>
  <si>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</si>
  <si>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Capital Cost Approval*</t>
  </si>
  <si>
    <t>Revenue from Sale of Electricity</t>
  </si>
  <si>
    <t>Control Period</t>
  </si>
  <si>
    <t>n+3</t>
  </si>
  <si>
    <t>n+4</t>
  </si>
  <si>
    <t>n+5</t>
  </si>
  <si>
    <t>Current Year 'n'</t>
  </si>
  <si>
    <t>Year (n-1)</t>
  </si>
  <si>
    <t xml:space="preserve">April-March     </t>
  </si>
  <si>
    <t>Claimed</t>
  </si>
  <si>
    <t>Apr-Sep</t>
  </si>
  <si>
    <t xml:space="preserve">Oct-Mar        </t>
  </si>
  <si>
    <t>April - March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</si>
  <si>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</si>
  <si>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</si>
  <si>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</si>
  <si>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</si>
  <si>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</si>
  <si>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</si>
  <si>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 - Mar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</si>
  <si>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</si>
  <si>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</si>
  <si>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</si>
  <si>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</si>
  <si>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</si>
  <si>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</si>
  <si>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</si>
  <si>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</si>
  <si>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</si>
  <si>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</si>
  <si>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Year (n+1)</t>
  </si>
  <si>
    <t>Year (n+2)</t>
  </si>
  <si>
    <t>Year (n+3)</t>
  </si>
  <si>
    <t>Year (n+4)</t>
  </si>
  <si>
    <t>Year (n+5)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</si>
  <si>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</si>
  <si>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</si>
  <si>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</si>
  <si>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</si>
  <si>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</si>
  <si>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</si>
  <si>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</si>
  <si>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</si>
  <si>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</si>
  <si>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</si>
  <si>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</si>
  <si>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</si>
  <si>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</si>
  <si>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</si>
  <si>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</si>
  <si>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</si>
  <si>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</si>
  <si>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</si>
  <si>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</si>
  <si>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</si>
  <si>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</si>
  <si>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3.1:  Statement of Additional Capitalisation after COD</t>
  </si>
  <si>
    <t>Form 4:  Fixed Assets &amp; Depreciation</t>
  </si>
  <si>
    <t>Capital Expenditure during the year</t>
  </si>
  <si>
    <t>Normative Loan</t>
  </si>
  <si>
    <t>Interest</t>
  </si>
  <si>
    <t>Actual loan portfolio</t>
  </si>
  <si>
    <t>Finance charges</t>
  </si>
  <si>
    <t>Total Interest &amp; Finance charges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</si>
  <si>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</si>
  <si>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</si>
  <si>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</si>
  <si>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</si>
  <si>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</si>
  <si>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</si>
  <si>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</si>
  <si>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</si>
  <si>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Rate of Return on Equity</t>
  </si>
  <si>
    <t>Base rate of Return on Equity</t>
  </si>
  <si>
    <t>Effective Income Tax rate</t>
  </si>
  <si>
    <t>Income from rent of land or buildings</t>
  </si>
  <si>
    <t>Net income from sale of de-capitalised assets</t>
  </si>
  <si>
    <t>Income from sale of scrap</t>
  </si>
  <si>
    <t>Income from statutory investments</t>
  </si>
  <si>
    <t>Interest income on advances to suppliers/ contractors</t>
  </si>
  <si>
    <t>Income from rental from staff quarters</t>
  </si>
  <si>
    <t>Income from rental from contractors</t>
  </si>
  <si>
    <t>Income from hire charges from contactors and others</t>
  </si>
  <si>
    <t>Income from advertisements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</si>
  <si>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</si>
  <si>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</si>
  <si>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</si>
  <si>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</si>
  <si>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</si>
  <si>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</si>
  <si>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t>Opening Quantity</t>
  </si>
  <si>
    <t>Value ot stock</t>
  </si>
  <si>
    <t>MT</t>
  </si>
  <si>
    <t>Procurement</t>
  </si>
  <si>
    <t>Normative transit and handling loss</t>
  </si>
  <si>
    <t>Price</t>
  </si>
  <si>
    <t>Handling, sampling and such other similar charges</t>
  </si>
  <si>
    <t>Total amount charged (8+9+10)</t>
  </si>
  <si>
    <t>D</t>
  </si>
  <si>
    <t>Transportation</t>
  </si>
  <si>
    <t>Transportation charges</t>
  </si>
  <si>
    <t>By rail</t>
  </si>
  <si>
    <t>By road</t>
  </si>
  <si>
    <t>By ship</t>
  </si>
  <si>
    <t>Demurrage charges, if any</t>
  </si>
  <si>
    <t>Total Transportation charges (12+13+14+15)</t>
  </si>
  <si>
    <t>E</t>
  </si>
  <si>
    <t>Rs./MT</t>
  </si>
  <si>
    <t>Blending Ratio (Domestic/Imported)</t>
  </si>
  <si>
    <t>F</t>
  </si>
  <si>
    <t>Quality</t>
  </si>
  <si>
    <t>kcal/kg</t>
  </si>
  <si>
    <t>Similar details to be furnished for secondary fuel oil for coal based thermal plants with appropriate units.</t>
  </si>
  <si>
    <t>As billed and as received GCV, quantity of coal, and price should be submitted as certified by statutory auditor.</t>
  </si>
  <si>
    <t>Details to be provided for each source separately. In case of more than one source, add additional column.</t>
  </si>
  <si>
    <t>Break up of the amount charged by the Coal Company is to be provided separately.</t>
  </si>
  <si>
    <t>COD</t>
  </si>
  <si>
    <t>Form 11: Fuel Details for computation of Energy Charge Rate</t>
  </si>
  <si>
    <t>Secondary Fuel oil consumption</t>
  </si>
  <si>
    <t>Calorific Value of Secondary Fuel</t>
  </si>
  <si>
    <t>Landed Price of Secondary Fuel</t>
  </si>
  <si>
    <t>Landed Price of Coal</t>
  </si>
  <si>
    <t>Specific Coal Consumption</t>
  </si>
  <si>
    <t>ECR</t>
  </si>
  <si>
    <t>AUX</t>
  </si>
  <si>
    <t>SFC</t>
  </si>
  <si>
    <t>CVSF</t>
  </si>
  <si>
    <t>kcal/ml</t>
  </si>
  <si>
    <t>LPSF</t>
  </si>
  <si>
    <t>Rs./ml</t>
  </si>
  <si>
    <t>CVPF</t>
  </si>
  <si>
    <t>LPPF</t>
  </si>
  <si>
    <t>Rs./kg</t>
  </si>
  <si>
    <t>kg/kWh</t>
  </si>
  <si>
    <t>GSHR</t>
  </si>
  <si>
    <t>Gross Calorific Value of Coal</t>
  </si>
  <si>
    <t>Form 13: Sales</t>
  </si>
  <si>
    <t>Beneficiary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</si>
  <si>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</si>
  <si>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</si>
  <si>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</si>
  <si>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</si>
  <si>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</si>
  <si>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</si>
  <si>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</si>
  <si>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</si>
  <si>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</si>
  <si>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</si>
  <si>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</si>
  <si>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</si>
  <si>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</si>
  <si>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</si>
  <si>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</si>
  <si>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</si>
  <si>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</si>
  <si>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</si>
  <si>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</si>
  <si>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</si>
  <si>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</si>
  <si>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</si>
  <si>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Phasing of Expenditure, Debt and Equity upto COD</t>
  </si>
  <si>
    <t>Interest During Construction and Finance Charges upto COD</t>
  </si>
  <si>
    <r>
      <rPr>
        <b/>
        <sz val="12"/>
        <rFont val="Arial"/>
        <family val="2"/>
      </rPr>
      <t>Note</t>
    </r>
    <r>
      <rPr>
        <sz val="12"/>
        <rFont val="Arial"/>
        <family val="2"/>
      </rPr>
      <t>: * Applicable only for new Generating Station/Unit for which Provisional/Final tariff approval is being sought</t>
    </r>
  </si>
  <si>
    <t>Form 19.1</t>
  </si>
  <si>
    <t>Form 19.2</t>
  </si>
  <si>
    <t>Form 17</t>
  </si>
  <si>
    <t>Form 18</t>
  </si>
  <si>
    <t>Form 19.3</t>
  </si>
  <si>
    <t>Form 19.4</t>
  </si>
  <si>
    <t>Form 19.5</t>
  </si>
  <si>
    <t>Form 19.6</t>
  </si>
  <si>
    <t>Form 19.7</t>
  </si>
  <si>
    <t>Form 19.8</t>
  </si>
  <si>
    <t>Plant Characteristics (Thermal)</t>
  </si>
  <si>
    <t>Plant Characteristics (Hydel)</t>
  </si>
  <si>
    <t>Unfunded past liabilities of pension &amp; gratuity</t>
  </si>
  <si>
    <t>AFC +Energy Charges</t>
  </si>
  <si>
    <t>MYT/ Tariff Order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</si>
  <si>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</si>
  <si>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</si>
  <si>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t>1 In case actual availability is less or more than normative value, the modification in the formula need to be done accordingly.</t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</si>
  <si>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</si>
  <si>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</si>
  <si>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>Opening quantity of oil</t>
  </si>
  <si>
    <t>Quantity of oil suppllied by the oil company</t>
  </si>
  <si>
    <t>Adjustment in oil quantity supplied by the oil company</t>
  </si>
  <si>
    <t>oil supplied by oil company (3+4)</t>
  </si>
  <si>
    <t>Net oil supplied</t>
  </si>
  <si>
    <t>Amount charged by oil company</t>
  </si>
  <si>
    <t>Adjustment in amount charged by the oil company</t>
  </si>
  <si>
    <t>Adjustment in amount charged by the oil transporter</t>
  </si>
  <si>
    <t>Cost of diesel in transporting oil through MGR system, if
applicable</t>
  </si>
  <si>
    <t>Total amount charged for oil supplied including transportation (11+16)</t>
  </si>
  <si>
    <t>Landed cost of oil (2+17)/(1+7)</t>
  </si>
  <si>
    <t>Weighted average cost of oil for preceding three months</t>
  </si>
  <si>
    <t>GCV of Domestic oil of the opening oil stock as per bill
of oil Company</t>
  </si>
  <si>
    <t>GCV of Domestic oil supplied as per bill of oil Company</t>
  </si>
  <si>
    <t>GCV of Imported oil of the opening stock as per bill oil
Company</t>
  </si>
  <si>
    <t>GCV of Imported oil supplied as per bill oil Company</t>
  </si>
  <si>
    <t>Weighted average GCV of oil as Billed</t>
  </si>
  <si>
    <t>GCV of Domestic oil of the opening stock as received at
Station</t>
  </si>
  <si>
    <t>GCV of Domestic oil supplied as received at Station</t>
  </si>
  <si>
    <t>GCV of Imported oil of opening stock as received at
Station</t>
  </si>
  <si>
    <t>GCV of Imported oil of opening stock as received at Station</t>
  </si>
  <si>
    <t>Weighted average GCV of oil as Received</t>
  </si>
  <si>
    <t>Opening quantity of coal</t>
  </si>
  <si>
    <t>Quantity of coal suppllied by the coal company</t>
  </si>
  <si>
    <t>Adjustment in coal quantity supplied by the coal company (-/+)</t>
  </si>
  <si>
    <t>Coal supplied by coal company (3+4)</t>
  </si>
  <si>
    <t>Net coal supplied</t>
  </si>
  <si>
    <t>Amount charged by coal company</t>
  </si>
  <si>
    <t>Adjustment in amount charged by the coal company</t>
  </si>
  <si>
    <t>Adjustment in amount charged by the coal transporter</t>
  </si>
  <si>
    <t>Cost of diesel in transporting coal through MGR system, if applicable</t>
  </si>
  <si>
    <t>Total amount charged for coal supplied including transportation (11+16)</t>
  </si>
  <si>
    <t>Landed cost of coal (2+17)/(1+7)</t>
  </si>
  <si>
    <t>Weighted average cost of coal for preceding three months</t>
  </si>
  <si>
    <t>GCV of Domestic Coal of the opening coal stock as per bill of Coal Company</t>
  </si>
  <si>
    <t>GCV of Domestic Coal supplied as per bill of Coal Company</t>
  </si>
  <si>
    <t>GCV of Imported Coal of the opening stock as per bill Coal Company</t>
  </si>
  <si>
    <t>GCV of Imported Coal supplied as per bill Coal Company</t>
  </si>
  <si>
    <t>Weighted average GCV of coal as Billed</t>
  </si>
  <si>
    <t>GCV of Domestic Coal of the opening stock as received at Station</t>
  </si>
  <si>
    <t>GCV of Domestic Coal supplied as received at Station</t>
  </si>
  <si>
    <t>GCV of Imported Coal of opening stock as received at Station</t>
  </si>
  <si>
    <t>Weighted average GCV of coal as Received</t>
  </si>
  <si>
    <t>Water Charges</t>
  </si>
  <si>
    <t>Fuel (savings)/charge year end adjustment</t>
  </si>
  <si>
    <t>Difference bill issued after MTR order</t>
  </si>
  <si>
    <t>TSSPDCL (70.55%)</t>
  </si>
  <si>
    <t>TSNPDCL (29.45%)</t>
  </si>
  <si>
    <t>FY 2022-23</t>
  </si>
  <si>
    <t>FY 2023-24</t>
  </si>
  <si>
    <t>FY 2024-25</t>
  </si>
  <si>
    <t>FY 2025-26</t>
  </si>
  <si>
    <t>FY 2026-27</t>
  </si>
  <si>
    <t>FY 2027-28</t>
  </si>
  <si>
    <t>FY 2028-29</t>
  </si>
  <si>
    <t>Rs.in Crs</t>
  </si>
  <si>
    <t>Year (2022-23)</t>
  </si>
  <si>
    <t>CWIP PLANT AND MACHINERY</t>
  </si>
  <si>
    <t>2023-24</t>
  </si>
  <si>
    <t>2024-25</t>
  </si>
  <si>
    <t>2025-26</t>
  </si>
  <si>
    <t>2026-27</t>
  </si>
  <si>
    <t>2027-28</t>
  </si>
  <si>
    <t>2028-29</t>
  </si>
  <si>
    <t>Land &amp; Land Rights</t>
  </si>
  <si>
    <t>Lines and Cable Network</t>
  </si>
  <si>
    <t>Capital Spares</t>
  </si>
  <si>
    <t>Hydralic Works</t>
  </si>
  <si>
    <t>Other Civil Works</t>
  </si>
  <si>
    <t>Furniture&amp; Fixtures</t>
  </si>
  <si>
    <t>Computers</t>
  </si>
  <si>
    <t>Intangible Assets</t>
  </si>
  <si>
    <t>Non-Pit Head</t>
  </si>
  <si>
    <t>FY 2019-20</t>
  </si>
  <si>
    <t>FY 2020-21</t>
  </si>
  <si>
    <t>FY 2021-22</t>
  </si>
  <si>
    <t>KTPS VI</t>
  </si>
  <si>
    <t>BUILDINGS</t>
  </si>
  <si>
    <t>BOP E&amp;M</t>
  </si>
  <si>
    <t>PLANT AND MACHINERY</t>
  </si>
  <si>
    <t>23.10.2011</t>
  </si>
  <si>
    <t>&lt;KTPS-VI&gt;</t>
  </si>
  <si>
    <t>KL</t>
  </si>
  <si>
    <t>Rs./KL</t>
  </si>
  <si>
    <t>Year (n-1) (FY 2022-23)</t>
  </si>
  <si>
    <t>Current Year 'n' (FY 2023-24)</t>
  </si>
  <si>
    <t xml:space="preserve"> (FY 2022-23)</t>
  </si>
  <si>
    <t>Previous Year (n-1) (FY 2022-23)</t>
  </si>
  <si>
    <t>IT Initiatives</t>
  </si>
  <si>
    <t>Cosl Cost/kwh</t>
  </si>
  <si>
    <t>Rs/kwh</t>
  </si>
  <si>
    <t>Oil Cost/kwh</t>
  </si>
  <si>
    <t>&lt;TGGENCO&gt;</t>
  </si>
  <si>
    <t>Flexibilisation of Thermal Plant to 40% of Technical Minimum Load</t>
  </si>
  <si>
    <t>Current Year 'n'                         (FY 2023-24)</t>
  </si>
  <si>
    <t>Current Year 'n'                      (FY 2023-24)</t>
  </si>
  <si>
    <t>( FY 2023-24)</t>
  </si>
  <si>
    <t>Provisional</t>
  </si>
  <si>
    <t>TGGENCO</t>
  </si>
  <si>
    <t>KTPS-VI</t>
  </si>
  <si>
    <t>Form 2.3: Repair &amp; Maintenance Expenses</t>
  </si>
  <si>
    <t>&lt;KTPS VI&gt;</t>
  </si>
  <si>
    <t>Form 3:  Summary of Capital Expenditure and Capitalisation</t>
  </si>
  <si>
    <t>Form-1: Summary Sheet</t>
  </si>
  <si>
    <t>Form-2.1:  Employee Expenses</t>
  </si>
  <si>
    <t>Form-2.2:  Administration &amp; General Expenses</t>
  </si>
  <si>
    <t>Form-5:  Interest and finance charges on loan</t>
  </si>
  <si>
    <t>Form-6:  Interest on working capital</t>
  </si>
  <si>
    <t>Form-8:  Non-Tariff Income</t>
  </si>
  <si>
    <t>Form-7:  Return on Equity</t>
  </si>
  <si>
    <t>Form-10:  Operational parameters</t>
  </si>
  <si>
    <t>Form-12:  Energy Charge Rate</t>
  </si>
  <si>
    <t>Loan 1-PFC</t>
  </si>
  <si>
    <t>Loan 1-Bank of Baroda</t>
  </si>
  <si>
    <t>* Energy Charges provisionally computed for next control period FY 2024-25 to FY 2028-29 based on actual weighted average cost of primary fuel and secondary fuel during January-24, February-24 and March-24 with 2% escalation year on year. However, actual energy charges shall be claimed as per TGERC regulation 2 of 2023.</t>
  </si>
</sst>
</file>

<file path=xl/styles.xml><?xml version="1.0" encoding="utf-8"?>
<styleSheet xmlns="http://schemas.openxmlformats.org/spreadsheetml/2006/main">
  <numFmts count="10"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"/>
    <numFmt numFmtId="169" formatCode="0.000%"/>
    <numFmt numFmtId="170" formatCode="0.0"/>
    <numFmt numFmtId="171" formatCode="0.0000000"/>
    <numFmt numFmtId="172" formatCode="0.000000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b/>
      <sz val="11"/>
      <color indexed="8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9"/>
      <name val="Arial"/>
      <family val="2"/>
    </font>
    <font>
      <sz val="13"/>
      <name val="Arial"/>
      <family val="2"/>
    </font>
    <font>
      <sz val="12"/>
      <color rgb="FF00000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color indexed="8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9"/>
      <name val="Arial"/>
      <family val="2"/>
    </font>
    <font>
      <b/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77">
    <xf numFmtId="0" fontId="0" fillId="0" borderId="0"/>
    <xf numFmtId="0" fontId="10" fillId="0" borderId="0" applyNumberFormat="0" applyFill="0" applyBorder="0" applyAlignment="0" applyProtection="0"/>
    <xf numFmtId="0" fontId="11" fillId="0" borderId="1"/>
    <xf numFmtId="0" fontId="11" fillId="0" borderId="1"/>
    <xf numFmtId="38" fontId="12" fillId="2" borderId="0" applyNumberFormat="0" applyBorder="0" applyAlignment="0" applyProtection="0"/>
    <xf numFmtId="0" fontId="13" fillId="0" borderId="2" applyNumberFormat="0" applyAlignment="0" applyProtection="0">
      <alignment horizontal="left" vertical="center"/>
    </xf>
    <xf numFmtId="0" fontId="13" fillId="0" borderId="3">
      <alignment horizontal="left" vertical="center"/>
    </xf>
    <xf numFmtId="10" fontId="12" fillId="3" borderId="4" applyNumberFormat="0" applyBorder="0" applyAlignment="0" applyProtection="0"/>
    <xf numFmtId="37" fontId="14" fillId="0" borderId="0"/>
    <xf numFmtId="166" fontId="15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>
      <alignment vertical="center"/>
    </xf>
    <xf numFmtId="167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9" fillId="0" borderId="0"/>
    <xf numFmtId="0" fontId="17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9" fillId="0" borderId="0"/>
    <xf numFmtId="9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164" fontId="2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/>
    <xf numFmtId="0" fontId="9" fillId="0" borderId="0"/>
    <xf numFmtId="0" fontId="7" fillId="0" borderId="0"/>
    <xf numFmtId="0" fontId="9" fillId="0" borderId="0" applyBorder="0" applyProtection="0"/>
    <xf numFmtId="167" fontId="1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1">
    <xf numFmtId="0" fontId="0" fillId="0" borderId="0" xfId="0"/>
    <xf numFmtId="0" fontId="8" fillId="0" borderId="0" xfId="10" applyFont="1" applyAlignment="1">
      <alignment horizontal="center" vertical="center"/>
    </xf>
    <xf numFmtId="0" fontId="16" fillId="0" borderId="4" xfId="14" applyFont="1" applyBorder="1" applyAlignment="1">
      <alignment horizontal="center" vertical="center"/>
    </xf>
    <xf numFmtId="0" fontId="16" fillId="0" borderId="4" xfId="14" applyFont="1" applyBorder="1">
      <alignment vertical="center"/>
    </xf>
    <xf numFmtId="0" fontId="16" fillId="0" borderId="0" xfId="10" applyFont="1"/>
    <xf numFmtId="0" fontId="16" fillId="0" borderId="0" xfId="10" applyFont="1" applyAlignment="1">
      <alignment vertical="center"/>
    </xf>
    <xf numFmtId="0" fontId="8" fillId="0" borderId="0" xfId="14" applyFont="1">
      <alignment vertical="center"/>
    </xf>
    <xf numFmtId="0" fontId="13" fillId="0" borderId="0" xfId="14" applyFont="1" applyAlignment="1">
      <alignment horizontal="right" vertical="center"/>
    </xf>
    <xf numFmtId="0" fontId="8" fillId="0" borderId="4" xfId="14" applyFont="1" applyBorder="1" applyAlignment="1">
      <alignment horizontal="center" vertical="center"/>
    </xf>
    <xf numFmtId="0" fontId="8" fillId="0" borderId="4" xfId="14" applyFont="1" applyBorder="1">
      <alignment vertical="center"/>
    </xf>
    <xf numFmtId="0" fontId="8" fillId="0" borderId="4" xfId="14" applyFont="1" applyBorder="1" applyAlignment="1">
      <alignment horizontal="left" vertical="center"/>
    </xf>
    <xf numFmtId="0" fontId="8" fillId="0" borderId="4" xfId="14" applyFont="1" applyBorder="1" applyAlignment="1">
      <alignment vertical="top" wrapText="1"/>
    </xf>
    <xf numFmtId="0" fontId="8" fillId="6" borderId="4" xfId="14" applyFont="1" applyFill="1" applyBorder="1" applyAlignment="1">
      <alignment horizontal="center" vertical="center"/>
    </xf>
    <xf numFmtId="0" fontId="13" fillId="6" borderId="4" xfId="14" applyFont="1" applyFill="1" applyBorder="1">
      <alignment vertical="center"/>
    </xf>
    <xf numFmtId="0" fontId="8" fillId="6" borderId="4" xfId="14" applyFont="1" applyFill="1" applyBorder="1" applyAlignment="1">
      <alignment horizontal="left" vertical="center"/>
    </xf>
    <xf numFmtId="0" fontId="8" fillId="0" borderId="0" xfId="10" applyFont="1"/>
    <xf numFmtId="0" fontId="8" fillId="5" borderId="0" xfId="14" applyFont="1" applyFill="1">
      <alignment vertical="center"/>
    </xf>
    <xf numFmtId="0" fontId="13" fillId="0" borderId="8" xfId="14" applyFont="1" applyBorder="1" applyAlignment="1">
      <alignment horizontal="center" vertical="center"/>
    </xf>
    <xf numFmtId="0" fontId="13" fillId="0" borderId="4" xfId="14" applyFont="1" applyBorder="1" applyAlignment="1">
      <alignment horizontal="center" vertical="center"/>
    </xf>
    <xf numFmtId="0" fontId="16" fillId="0" borderId="0" xfId="14" applyFont="1">
      <alignment vertical="center"/>
    </xf>
    <xf numFmtId="0" fontId="21" fillId="0" borderId="4" xfId="14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4" applyFont="1" applyBorder="1" applyAlignment="1">
      <alignment horizontal="left" vertical="center"/>
    </xf>
    <xf numFmtId="0" fontId="16" fillId="5" borderId="4" xfId="14" applyFont="1" applyFill="1" applyBorder="1" applyAlignment="1">
      <alignment horizontal="left" vertical="center"/>
    </xf>
    <xf numFmtId="0" fontId="16" fillId="0" borderId="4" xfId="14" applyFont="1" applyBorder="1" applyAlignment="1">
      <alignment vertical="top" wrapText="1"/>
    </xf>
    <xf numFmtId="0" fontId="21" fillId="0" borderId="4" xfId="14" applyFont="1" applyBorder="1">
      <alignment vertical="center"/>
    </xf>
    <xf numFmtId="0" fontId="16" fillId="0" borderId="4" xfId="10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center" vertical="center"/>
    </xf>
    <xf numFmtId="0" fontId="21" fillId="0" borderId="0" xfId="10" applyFont="1" applyAlignment="1">
      <alignment horizontal="left" vertical="center"/>
    </xf>
    <xf numFmtId="0" fontId="21" fillId="0" borderId="0" xfId="10" applyFont="1" applyAlignment="1">
      <alignment horizontal="right" vertical="center"/>
    </xf>
    <xf numFmtId="0" fontId="21" fillId="0" borderId="0" xfId="14" applyFont="1" applyAlignment="1">
      <alignment horizontal="right" vertical="center"/>
    </xf>
    <xf numFmtId="0" fontId="16" fillId="0" borderId="4" xfId="1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4" xfId="10" applyFont="1" applyBorder="1" applyAlignment="1">
      <alignment horizontal="left" vertical="center"/>
    </xf>
    <xf numFmtId="0" fontId="21" fillId="0" borderId="4" xfId="10" applyFont="1" applyBorder="1" applyAlignment="1">
      <alignment horizontal="left" vertical="center" wrapText="1"/>
    </xf>
    <xf numFmtId="0" fontId="21" fillId="0" borderId="4" xfId="10" applyFont="1" applyBorder="1" applyAlignment="1">
      <alignment horizontal="center" vertical="center" wrapText="1"/>
    </xf>
    <xf numFmtId="0" fontId="21" fillId="0" borderId="0" xfId="10" applyFont="1" applyAlignment="1">
      <alignment vertical="center"/>
    </xf>
    <xf numFmtId="0" fontId="21" fillId="0" borderId="0" xfId="14" applyFont="1" applyAlignment="1">
      <alignment horizontal="center" vertical="center"/>
    </xf>
    <xf numFmtId="0" fontId="16" fillId="0" borderId="0" xfId="10" applyFont="1" applyAlignment="1">
      <alignment horizontal="center" vertical="center"/>
    </xf>
    <xf numFmtId="0" fontId="21" fillId="0" borderId="0" xfId="10" applyFont="1" applyAlignment="1">
      <alignment horizontal="center" vertical="center"/>
    </xf>
    <xf numFmtId="0" fontId="21" fillId="0" borderId="0" xfId="14" applyFont="1">
      <alignment vertical="center"/>
    </xf>
    <xf numFmtId="0" fontId="16" fillId="0" borderId="4" xfId="10" applyFont="1" applyBorder="1" applyAlignment="1">
      <alignment horizontal="left" vertical="center" wrapText="1"/>
    </xf>
    <xf numFmtId="0" fontId="21" fillId="0" borderId="0" xfId="14" applyFont="1" applyAlignment="1">
      <alignment horizontal="center" vertical="center" wrapText="1"/>
    </xf>
    <xf numFmtId="0" fontId="21" fillId="0" borderId="4" xfId="10" applyFont="1" applyBorder="1" applyAlignment="1">
      <alignment vertical="center"/>
    </xf>
    <xf numFmtId="0" fontId="16" fillId="0" borderId="4" xfId="10" applyFont="1" applyBorder="1" applyAlignment="1">
      <alignment horizontal="right" vertical="center"/>
    </xf>
    <xf numFmtId="0" fontId="21" fillId="0" borderId="0" xfId="10" applyFont="1" applyAlignment="1">
      <alignment horizontal="centerContinuous"/>
    </xf>
    <xf numFmtId="0" fontId="16" fillId="0" borderId="0" xfId="10" applyFont="1" applyAlignment="1">
      <alignment horizontal="centerContinuous"/>
    </xf>
    <xf numFmtId="0" fontId="16" fillId="0" borderId="4" xfId="10" applyFont="1" applyBorder="1"/>
    <xf numFmtId="0" fontId="21" fillId="0" borderId="4" xfId="10" applyFont="1" applyBorder="1"/>
    <xf numFmtId="0" fontId="21" fillId="0" borderId="0" xfId="10" applyFont="1" applyAlignment="1">
      <alignment horizontal="justify" vertical="top" wrapText="1"/>
    </xf>
    <xf numFmtId="0" fontId="16" fillId="0" borderId="0" xfId="10" applyFont="1" applyAlignment="1">
      <alignment horizontal="left"/>
    </xf>
    <xf numFmtId="0" fontId="16" fillId="0" borderId="4" xfId="10" applyFont="1" applyBorder="1" applyAlignment="1">
      <alignment wrapText="1"/>
    </xf>
    <xf numFmtId="0" fontId="16" fillId="0" borderId="0" xfId="10" applyFont="1" applyAlignment="1">
      <alignment horizontal="left" vertical="center"/>
    </xf>
    <xf numFmtId="0" fontId="16" fillId="0" borderId="0" xfId="10" applyFont="1" applyAlignment="1">
      <alignment horizontal="right" vertical="center"/>
    </xf>
    <xf numFmtId="0" fontId="22" fillId="0" borderId="0" xfId="10" applyFont="1" applyAlignment="1">
      <alignment horizontal="left" vertical="center"/>
    </xf>
    <xf numFmtId="0" fontId="22" fillId="0" borderId="0" xfId="10" applyFont="1" applyAlignment="1">
      <alignment vertical="center"/>
    </xf>
    <xf numFmtId="0" fontId="22" fillId="0" borderId="0" xfId="10" applyFont="1" applyAlignment="1">
      <alignment horizontal="center" vertical="center"/>
    </xf>
    <xf numFmtId="0" fontId="16" fillId="0" borderId="4" xfId="10" quotePrefix="1" applyFont="1" applyBorder="1" applyAlignment="1">
      <alignment horizontal="left" vertical="top" wrapText="1"/>
    </xf>
    <xf numFmtId="0" fontId="16" fillId="0" borderId="4" xfId="10" applyFont="1" applyBorder="1" applyAlignment="1">
      <alignment horizontal="left"/>
    </xf>
    <xf numFmtId="0" fontId="21" fillId="0" borderId="4" xfId="10" applyFont="1" applyBorder="1" applyAlignment="1">
      <alignment horizontal="left"/>
    </xf>
    <xf numFmtId="0" fontId="16" fillId="0" borderId="0" xfId="14" applyFont="1" applyAlignment="1">
      <alignment horizontal="center" vertical="center"/>
    </xf>
    <xf numFmtId="0" fontId="16" fillId="0" borderId="4" xfId="10" applyFont="1" applyBorder="1" applyAlignment="1">
      <alignment horizontal="left" vertical="top" wrapText="1"/>
    </xf>
    <xf numFmtId="0" fontId="21" fillId="0" borderId="0" xfId="10" applyFont="1" applyAlignment="1">
      <alignment horizontal="left"/>
    </xf>
    <xf numFmtId="0" fontId="21" fillId="0" borderId="0" xfId="10" applyFont="1" applyAlignment="1">
      <alignment horizontal="right"/>
    </xf>
    <xf numFmtId="0" fontId="21" fillId="0" borderId="0" xfId="10" applyFont="1" applyAlignment="1">
      <alignment horizontal="left" vertical="center" wrapText="1"/>
    </xf>
    <xf numFmtId="0" fontId="21" fillId="0" borderId="0" xfId="10" applyFont="1" applyAlignment="1">
      <alignment horizontal="center" vertical="center" wrapText="1"/>
    </xf>
    <xf numFmtId="0" fontId="16" fillId="0" borderId="7" xfId="10" applyFont="1" applyBorder="1" applyAlignment="1">
      <alignment horizontal="center" vertical="center"/>
    </xf>
    <xf numFmtId="0" fontId="22" fillId="0" borderId="0" xfId="10" applyFont="1" applyAlignment="1">
      <alignment horizontal="right" vertical="center"/>
    </xf>
    <xf numFmtId="0" fontId="16" fillId="0" borderId="0" xfId="10" applyFont="1" applyAlignment="1">
      <alignment horizontal="center"/>
    </xf>
    <xf numFmtId="0" fontId="13" fillId="0" borderId="0" xfId="14" applyFont="1" applyAlignment="1">
      <alignment horizontal="center" vertical="center"/>
    </xf>
    <xf numFmtId="0" fontId="16" fillId="0" borderId="4" xfId="10" applyFont="1" applyBorder="1" applyAlignment="1">
      <alignment vertical="center" wrapText="1"/>
    </xf>
    <xf numFmtId="0" fontId="16" fillId="0" borderId="9" xfId="14" applyFont="1" applyBorder="1">
      <alignment vertical="center"/>
    </xf>
    <xf numFmtId="0" fontId="21" fillId="0" borderId="4" xfId="10" applyFont="1" applyBorder="1" applyAlignment="1">
      <alignment vertical="center" wrapText="1"/>
    </xf>
    <xf numFmtId="0" fontId="21" fillId="4" borderId="4" xfId="14" applyFont="1" applyFill="1" applyBorder="1" applyAlignment="1">
      <alignment horizontal="center" vertical="center" wrapText="1"/>
    </xf>
    <xf numFmtId="0" fontId="21" fillId="0" borderId="0" xfId="10" applyFont="1" applyAlignment="1">
      <alignment horizontal="centerContinuous" vertical="center"/>
    </xf>
    <xf numFmtId="0" fontId="16" fillId="0" borderId="0" xfId="10" applyFont="1" applyAlignment="1">
      <alignment horizontal="centerContinuous" vertical="center"/>
    </xf>
    <xf numFmtId="0" fontId="21" fillId="4" borderId="4" xfId="10" quotePrefix="1" applyFont="1" applyFill="1" applyBorder="1" applyAlignment="1">
      <alignment horizontal="center" vertical="center" wrapText="1"/>
    </xf>
    <xf numFmtId="0" fontId="21" fillId="4" borderId="4" xfId="10" applyFont="1" applyFill="1" applyBorder="1" applyAlignment="1">
      <alignment horizontal="left" vertical="center" wrapText="1"/>
    </xf>
    <xf numFmtId="0" fontId="21" fillId="4" borderId="4" xfId="10" applyFont="1" applyFill="1" applyBorder="1" applyAlignment="1">
      <alignment horizontal="center" vertical="center"/>
    </xf>
    <xf numFmtId="0" fontId="16" fillId="4" borderId="4" xfId="14" applyFont="1" applyFill="1" applyBorder="1">
      <alignment vertical="center"/>
    </xf>
    <xf numFmtId="0" fontId="16" fillId="5" borderId="4" xfId="14" applyFont="1" applyFill="1" applyBorder="1">
      <alignment vertical="center"/>
    </xf>
    <xf numFmtId="0" fontId="16" fillId="4" borderId="4" xfId="10" applyFont="1" applyFill="1" applyBorder="1" applyAlignment="1">
      <alignment horizontal="center" vertical="center"/>
    </xf>
    <xf numFmtId="0" fontId="16" fillId="4" borderId="4" xfId="10" applyFont="1" applyFill="1" applyBorder="1" applyAlignment="1">
      <alignment vertical="center" wrapText="1"/>
    </xf>
    <xf numFmtId="0" fontId="21" fillId="4" borderId="4" xfId="10" applyFont="1" applyFill="1" applyBorder="1" applyAlignment="1">
      <alignment vertical="center" wrapText="1"/>
    </xf>
    <xf numFmtId="0" fontId="16" fillId="4" borderId="4" xfId="10" applyFont="1" applyFill="1" applyBorder="1" applyAlignment="1">
      <alignment vertical="center"/>
    </xf>
    <xf numFmtId="0" fontId="21" fillId="4" borderId="0" xfId="10" applyFont="1" applyFill="1" applyAlignment="1">
      <alignment vertical="center"/>
    </xf>
    <xf numFmtId="0" fontId="16" fillId="4" borderId="0" xfId="10" applyFont="1" applyFill="1" applyAlignment="1">
      <alignment vertical="center"/>
    </xf>
    <xf numFmtId="166" fontId="16" fillId="0" borderId="0" xfId="10" applyNumberFormat="1" applyFont="1" applyAlignment="1">
      <alignment vertical="center"/>
    </xf>
    <xf numFmtId="0" fontId="16" fillId="4" borderId="0" xfId="10" applyFont="1" applyFill="1" applyAlignment="1">
      <alignment vertical="center" wrapText="1"/>
    </xf>
    <xf numFmtId="0" fontId="16" fillId="0" borderId="0" xfId="14" applyFont="1" applyAlignment="1">
      <alignment horizontal="centerContinuous" vertical="center"/>
    </xf>
    <xf numFmtId="0" fontId="21" fillId="0" borderId="4" xfId="14" applyFont="1" applyBorder="1" applyAlignment="1">
      <alignment horizontal="left" vertical="center" wrapText="1"/>
    </xf>
    <xf numFmtId="0" fontId="16" fillId="0" borderId="4" xfId="14" quotePrefix="1" applyFont="1" applyBorder="1" applyAlignment="1">
      <alignment horizontal="center" vertical="center" wrapText="1"/>
    </xf>
    <xf numFmtId="0" fontId="16" fillId="0" borderId="4" xfId="14" applyFont="1" applyBorder="1" applyAlignment="1">
      <alignment horizontal="center" vertical="center" wrapText="1"/>
    </xf>
    <xf numFmtId="0" fontId="16" fillId="0" borderId="4" xfId="14" applyFont="1" applyBorder="1" applyAlignment="1">
      <alignment horizontal="left" vertical="center" wrapText="1"/>
    </xf>
    <xf numFmtId="0" fontId="23" fillId="0" borderId="4" xfId="14" applyFont="1" applyBorder="1" applyAlignment="1">
      <alignment horizontal="center" vertical="center" wrapText="1"/>
    </xf>
    <xf numFmtId="0" fontId="16" fillId="0" borderId="4" xfId="14" applyFont="1" applyBorder="1" applyAlignment="1">
      <alignment vertical="center" wrapText="1"/>
    </xf>
    <xf numFmtId="0" fontId="21" fillId="0" borderId="4" xfId="14" applyFont="1" applyBorder="1" applyAlignment="1">
      <alignment vertical="center" wrapText="1"/>
    </xf>
    <xf numFmtId="0" fontId="21" fillId="0" borderId="0" xfId="14" applyFont="1" applyAlignment="1">
      <alignment horizontal="left" vertical="center" wrapText="1"/>
    </xf>
    <xf numFmtId="0" fontId="16" fillId="0" borderId="0" xfId="14" quotePrefix="1" applyFont="1" applyAlignment="1">
      <alignment horizontal="center" vertical="center" wrapText="1"/>
    </xf>
    <xf numFmtId="0" fontId="16" fillId="0" borderId="0" xfId="10" applyFont="1" applyAlignment="1">
      <alignment horizontal="center" vertical="center" wrapText="1"/>
    </xf>
    <xf numFmtId="0" fontId="24" fillId="0" borderId="0" xfId="10" applyFont="1" applyAlignment="1">
      <alignment horizontal="left" vertical="center"/>
    </xf>
    <xf numFmtId="0" fontId="16" fillId="0" borderId="0" xfId="10" applyFont="1" applyAlignment="1">
      <alignment horizontal="justify" vertical="center" wrapTex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vertical="center"/>
    </xf>
    <xf numFmtId="0" fontId="16" fillId="0" borderId="4" xfId="0" applyFont="1" applyBorder="1" applyAlignment="1">
      <alignment vertical="center" wrapText="1"/>
    </xf>
    <xf numFmtId="0" fontId="25" fillId="0" borderId="4" xfId="0" applyFont="1" applyBorder="1" applyAlignment="1">
      <alignment vertical="center"/>
    </xf>
    <xf numFmtId="0" fontId="27" fillId="0" borderId="0" xfId="10" applyFont="1" applyAlignment="1">
      <alignment vertical="center"/>
    </xf>
    <xf numFmtId="16" fontId="21" fillId="0" borderId="4" xfId="10" applyNumberFormat="1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vertical="center" wrapText="1"/>
    </xf>
    <xf numFmtId="2" fontId="16" fillId="0" borderId="4" xfId="0" applyNumberFormat="1" applyFont="1" applyBorder="1" applyAlignment="1">
      <alignment horizontal="center" vertical="center"/>
    </xf>
    <xf numFmtId="2" fontId="16" fillId="0" borderId="4" xfId="0" applyNumberFormat="1" applyFont="1" applyBorder="1" applyAlignment="1">
      <alignment vertical="center"/>
    </xf>
    <xf numFmtId="0" fontId="16" fillId="0" borderId="4" xfId="0" applyFont="1" applyBorder="1" applyAlignment="1">
      <alignment horizontal="center" vertical="center" wrapText="1"/>
    </xf>
    <xf numFmtId="2" fontId="16" fillId="0" borderId="4" xfId="0" applyNumberFormat="1" applyFont="1" applyBorder="1" applyAlignment="1">
      <alignment horizontal="right" vertical="center"/>
    </xf>
    <xf numFmtId="0" fontId="21" fillId="0" borderId="9" xfId="0" applyFont="1" applyBorder="1" applyAlignment="1">
      <alignment vertical="center" wrapText="1"/>
    </xf>
    <xf numFmtId="2" fontId="21" fillId="0" borderId="4" xfId="0" applyNumberFormat="1" applyFont="1" applyBorder="1" applyAlignment="1">
      <alignment vertical="center"/>
    </xf>
    <xf numFmtId="0" fontId="21" fillId="0" borderId="4" xfId="0" applyFont="1" applyBorder="1" applyAlignment="1">
      <alignment vertical="center" wrapText="1"/>
    </xf>
    <xf numFmtId="2" fontId="16" fillId="0" borderId="4" xfId="10" applyNumberFormat="1" applyFont="1" applyBorder="1" applyAlignment="1">
      <alignment horizontal="center" vertical="center"/>
    </xf>
    <xf numFmtId="0" fontId="21" fillId="6" borderId="4" xfId="0" applyFont="1" applyFill="1" applyBorder="1" applyAlignment="1">
      <alignment vertical="center"/>
    </xf>
    <xf numFmtId="2" fontId="21" fillId="6" borderId="4" xfId="0" applyNumberFormat="1" applyFont="1" applyFill="1" applyBorder="1" applyAlignment="1">
      <alignment vertical="center"/>
    </xf>
    <xf numFmtId="2" fontId="21" fillId="0" borderId="4" xfId="10" applyNumberFormat="1" applyFont="1" applyBorder="1" applyAlignment="1">
      <alignment horizontal="center" vertical="center" wrapText="1"/>
    </xf>
    <xf numFmtId="2" fontId="16" fillId="0" borderId="4" xfId="10" applyNumberFormat="1" applyFont="1" applyBorder="1" applyAlignment="1">
      <alignment horizontal="center" vertical="center" wrapText="1"/>
    </xf>
    <xf numFmtId="2" fontId="21" fillId="6" borderId="4" xfId="10" applyNumberFormat="1" applyFont="1" applyFill="1" applyBorder="1" applyAlignment="1">
      <alignment horizontal="center" vertical="center"/>
    </xf>
    <xf numFmtId="2" fontId="21" fillId="6" borderId="4" xfId="0" applyNumberFormat="1" applyFont="1" applyFill="1" applyBorder="1" applyAlignment="1">
      <alignment horizontal="right" vertical="center"/>
    </xf>
    <xf numFmtId="2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 applyAlignment="1">
      <alignment vertical="center"/>
    </xf>
    <xf numFmtId="0" fontId="21" fillId="0" borderId="9" xfId="14" applyFont="1" applyBorder="1">
      <alignment vertical="center"/>
    </xf>
    <xf numFmtId="2" fontId="21" fillId="6" borderId="9" xfId="14" applyNumberFormat="1" applyFont="1" applyFill="1" applyBorder="1">
      <alignment vertical="center"/>
    </xf>
    <xf numFmtId="10" fontId="16" fillId="0" borderId="9" xfId="39" applyNumberFormat="1" applyFont="1" applyBorder="1" applyAlignment="1">
      <alignment vertical="center"/>
    </xf>
    <xf numFmtId="10" fontId="16" fillId="0" borderId="9" xfId="14" applyNumberFormat="1" applyFont="1" applyBorder="1">
      <alignment vertical="center"/>
    </xf>
    <xf numFmtId="10" fontId="21" fillId="6" borderId="9" xfId="14" applyNumberFormat="1" applyFont="1" applyFill="1" applyBorder="1">
      <alignment vertical="center"/>
    </xf>
    <xf numFmtId="2" fontId="16" fillId="0" borderId="9" xfId="14" applyNumberFormat="1" applyFont="1" applyBorder="1">
      <alignment vertical="center"/>
    </xf>
    <xf numFmtId="2" fontId="16" fillId="0" borderId="4" xfId="10" applyNumberFormat="1" applyFont="1" applyBorder="1" applyAlignment="1">
      <alignment vertical="center"/>
    </xf>
    <xf numFmtId="2" fontId="16" fillId="0" borderId="4" xfId="14" applyNumberFormat="1" applyFont="1" applyBorder="1" applyAlignment="1">
      <alignment horizontal="center" vertical="center"/>
    </xf>
    <xf numFmtId="2" fontId="21" fillId="6" borderId="4" xfId="10" applyNumberFormat="1" applyFont="1" applyFill="1" applyBorder="1" applyAlignment="1">
      <alignment horizontal="center" vertical="center" wrapText="1"/>
    </xf>
    <xf numFmtId="2" fontId="21" fillId="6" borderId="4" xfId="14" applyNumberFormat="1" applyFont="1" applyFill="1" applyBorder="1" applyAlignment="1">
      <alignment horizontal="center" vertical="center"/>
    </xf>
    <xf numFmtId="2" fontId="16" fillId="0" borderId="4" xfId="14" applyNumberFormat="1" applyFont="1" applyBorder="1">
      <alignment vertical="center"/>
    </xf>
    <xf numFmtId="10" fontId="21" fillId="6" borderId="4" xfId="14" applyNumberFormat="1" applyFont="1" applyFill="1" applyBorder="1">
      <alignment vertical="center"/>
    </xf>
    <xf numFmtId="2" fontId="21" fillId="6" borderId="4" xfId="10" applyNumberFormat="1" applyFont="1" applyFill="1" applyBorder="1"/>
    <xf numFmtId="2" fontId="16" fillId="0" borderId="4" xfId="10" applyNumberFormat="1" applyFont="1" applyBorder="1"/>
    <xf numFmtId="2" fontId="16" fillId="0" borderId="4" xfId="10" applyNumberFormat="1" applyFont="1" applyBorder="1" applyAlignment="1">
      <alignment horizontal="right" vertical="center"/>
    </xf>
    <xf numFmtId="2" fontId="21" fillId="0" borderId="4" xfId="14" applyNumberFormat="1" applyFont="1" applyBorder="1" applyAlignment="1">
      <alignment horizontal="center" vertical="center"/>
    </xf>
    <xf numFmtId="2" fontId="21" fillId="5" borderId="4" xfId="14" applyNumberFormat="1" applyFont="1" applyFill="1" applyBorder="1" applyAlignment="1">
      <alignment horizontal="center" vertical="center"/>
    </xf>
    <xf numFmtId="0" fontId="16" fillId="0" borderId="4" xfId="14" applyFont="1" applyBorder="1" applyAlignment="1">
      <alignment horizontal="right" vertical="center"/>
    </xf>
    <xf numFmtId="2" fontId="21" fillId="0" borderId="4" xfId="10" applyNumberFormat="1" applyFont="1" applyBorder="1" applyAlignment="1">
      <alignment vertical="center"/>
    </xf>
    <xf numFmtId="0" fontId="16" fillId="0" borderId="4" xfId="10" applyFont="1" applyBorder="1" applyAlignment="1">
      <alignment horizontal="right" vertical="center" wrapText="1"/>
    </xf>
    <xf numFmtId="2" fontId="16" fillId="0" borderId="4" xfId="10" applyNumberFormat="1" applyFont="1" applyBorder="1" applyAlignment="1">
      <alignment horizontal="right" vertical="center" wrapText="1"/>
    </xf>
    <xf numFmtId="0" fontId="16" fillId="0" borderId="9" xfId="14" applyFont="1" applyBorder="1" applyAlignment="1">
      <alignment horizontal="right" vertical="center"/>
    </xf>
    <xf numFmtId="2" fontId="21" fillId="6" borderId="9" xfId="14" applyNumberFormat="1" applyFont="1" applyFill="1" applyBorder="1" applyAlignment="1">
      <alignment horizontal="right" vertical="center"/>
    </xf>
    <xf numFmtId="2" fontId="16" fillId="6" borderId="4" xfId="10" applyNumberFormat="1" applyFont="1" applyFill="1" applyBorder="1" applyAlignment="1">
      <alignment horizontal="center" vertical="center"/>
    </xf>
    <xf numFmtId="2" fontId="16" fillId="6" borderId="4" xfId="10" applyNumberFormat="1" applyFont="1" applyFill="1" applyBorder="1" applyAlignment="1">
      <alignment horizontal="center" vertical="center" wrapText="1"/>
    </xf>
    <xf numFmtId="0" fontId="16" fillId="0" borderId="4" xfId="0" applyFont="1" applyBorder="1"/>
    <xf numFmtId="0" fontId="25" fillId="0" borderId="4" xfId="0" applyFont="1" applyBorder="1"/>
    <xf numFmtId="2" fontId="16" fillId="0" borderId="4" xfId="10" applyNumberFormat="1" applyFont="1" applyBorder="1" applyAlignment="1">
      <alignment vertical="top" wrapText="1"/>
    </xf>
    <xf numFmtId="2" fontId="28" fillId="0" borderId="4" xfId="10" applyNumberFormat="1" applyFont="1" applyBorder="1" applyAlignment="1">
      <alignment horizontal="center" vertical="center"/>
    </xf>
    <xf numFmtId="168" fontId="28" fillId="0" borderId="4" xfId="10" applyNumberFormat="1" applyFont="1" applyBorder="1" applyAlignment="1">
      <alignment horizontal="right" vertical="center"/>
    </xf>
    <xf numFmtId="2" fontId="28" fillId="0" borderId="4" xfId="10" applyNumberFormat="1" applyFont="1" applyBorder="1" applyAlignment="1">
      <alignment horizontal="right" vertical="center"/>
    </xf>
    <xf numFmtId="2" fontId="21" fillId="0" borderId="4" xfId="10" applyNumberFormat="1" applyFont="1" applyBorder="1" applyAlignment="1">
      <alignment horizontal="right" vertical="center"/>
    </xf>
    <xf numFmtId="1" fontId="9" fillId="0" borderId="4" xfId="0" applyNumberFormat="1" applyFont="1" applyBorder="1" applyAlignment="1">
      <alignment vertical="center"/>
    </xf>
    <xf numFmtId="2" fontId="9" fillId="0" borderId="4" xfId="0" applyNumberFormat="1" applyFont="1" applyBorder="1" applyAlignment="1">
      <alignment vertical="center"/>
    </xf>
    <xf numFmtId="2" fontId="16" fillId="0" borderId="0" xfId="14" applyNumberFormat="1" applyFont="1">
      <alignment vertical="center"/>
    </xf>
    <xf numFmtId="0" fontId="9" fillId="0" borderId="4" xfId="0" applyFont="1" applyBorder="1" applyAlignment="1">
      <alignment horizontal="center" vertical="center"/>
    </xf>
    <xf numFmtId="2" fontId="16" fillId="0" borderId="9" xfId="14" applyNumberFormat="1" applyFont="1" applyBorder="1" applyAlignment="1">
      <alignment horizontal="right" vertical="center"/>
    </xf>
    <xf numFmtId="169" fontId="16" fillId="0" borderId="9" xfId="14" applyNumberFormat="1" applyFont="1" applyBorder="1">
      <alignment vertical="center"/>
    </xf>
    <xf numFmtId="43" fontId="16" fillId="0" borderId="4" xfId="110" applyFont="1" applyBorder="1" applyAlignment="1">
      <alignment vertical="center"/>
    </xf>
    <xf numFmtId="43" fontId="16" fillId="0" borderId="4" xfId="110" applyFont="1" applyBorder="1" applyAlignment="1">
      <alignment horizontal="center" vertical="center" wrapText="1"/>
    </xf>
    <xf numFmtId="43" fontId="16" fillId="0" borderId="4" xfId="110" applyFont="1" applyBorder="1" applyAlignment="1">
      <alignment horizontal="left" vertical="center"/>
    </xf>
    <xf numFmtId="2" fontId="16" fillId="0" borderId="4" xfId="14" applyNumberFormat="1" applyFont="1" applyBorder="1" applyAlignment="1">
      <alignment horizontal="center" vertical="center" wrapText="1"/>
    </xf>
    <xf numFmtId="2" fontId="16" fillId="7" borderId="4" xfId="14" applyNumberFormat="1" applyFont="1" applyFill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/>
    </xf>
    <xf numFmtId="170" fontId="16" fillId="0" borderId="4" xfId="0" applyNumberFormat="1" applyFont="1" applyBorder="1" applyAlignment="1">
      <alignment vertical="center"/>
    </xf>
    <xf numFmtId="0" fontId="25" fillId="0" borderId="7" xfId="0" applyFont="1" applyBorder="1" applyAlignment="1">
      <alignment vertical="center"/>
    </xf>
    <xf numFmtId="0" fontId="25" fillId="0" borderId="7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168" fontId="21" fillId="0" borderId="4" xfId="0" applyNumberFormat="1" applyFont="1" applyBorder="1" applyAlignment="1">
      <alignment vertical="center"/>
    </xf>
    <xf numFmtId="0" fontId="21" fillId="0" borderId="9" xfId="14" applyFont="1" applyBorder="1" applyAlignment="1">
      <alignment horizontal="center" vertical="center" wrapText="1"/>
    </xf>
    <xf numFmtId="2" fontId="16" fillId="0" borderId="4" xfId="14" applyNumberFormat="1" applyFont="1" applyBorder="1" applyAlignment="1">
      <alignment horizontal="right" vertical="center"/>
    </xf>
    <xf numFmtId="168" fontId="16" fillId="0" borderId="4" xfId="0" applyNumberFormat="1" applyFont="1" applyBorder="1" applyAlignment="1">
      <alignment vertical="center"/>
    </xf>
    <xf numFmtId="2" fontId="21" fillId="0" borderId="4" xfId="14" applyNumberFormat="1" applyFont="1" applyBorder="1" applyAlignment="1">
      <alignment horizontal="center" vertical="center" wrapText="1"/>
    </xf>
    <xf numFmtId="0" fontId="30" fillId="0" borderId="0" xfId="10" applyFont="1" applyAlignment="1">
      <alignment horizontal="left" vertical="center"/>
    </xf>
    <xf numFmtId="0" fontId="31" fillId="0" borderId="0" xfId="10" applyFont="1" applyAlignment="1">
      <alignment vertical="center"/>
    </xf>
    <xf numFmtId="0" fontId="30" fillId="0" borderId="0" xfId="10" applyFont="1" applyAlignment="1">
      <alignment horizontal="center" vertical="center"/>
    </xf>
    <xf numFmtId="0" fontId="30" fillId="0" borderId="0" xfId="10" applyFont="1" applyAlignment="1">
      <alignment vertical="center"/>
    </xf>
    <xf numFmtId="0" fontId="30" fillId="4" borderId="13" xfId="68" applyFont="1" applyFill="1" applyBorder="1" applyAlignment="1">
      <alignment horizontal="center" vertical="center" wrapText="1"/>
    </xf>
    <xf numFmtId="0" fontId="30" fillId="4" borderId="14" xfId="68" applyFont="1" applyFill="1" applyBorder="1" applyAlignment="1">
      <alignment horizontal="center" vertical="center" wrapText="1"/>
    </xf>
    <xf numFmtId="0" fontId="31" fillId="4" borderId="15" xfId="68" applyFont="1" applyFill="1" applyBorder="1" applyAlignment="1">
      <alignment horizontal="center" vertical="center"/>
    </xf>
    <xf numFmtId="0" fontId="31" fillId="4" borderId="4" xfId="68" applyFont="1" applyFill="1" applyBorder="1" applyAlignment="1">
      <alignment horizontal="left" vertical="center"/>
    </xf>
    <xf numFmtId="0" fontId="30" fillId="4" borderId="16" xfId="68" applyFont="1" applyFill="1" applyBorder="1" applyAlignment="1">
      <alignment horizontal="center" vertical="center"/>
    </xf>
    <xf numFmtId="10" fontId="31" fillId="4" borderId="16" xfId="68" applyNumberFormat="1" applyFont="1" applyFill="1" applyBorder="1" applyAlignment="1">
      <alignment horizontal="center" vertical="center"/>
    </xf>
    <xf numFmtId="2" fontId="31" fillId="4" borderId="16" xfId="68" applyNumberFormat="1" applyFont="1" applyFill="1" applyBorder="1" applyAlignment="1">
      <alignment horizontal="center" vertical="center"/>
    </xf>
    <xf numFmtId="2" fontId="31" fillId="0" borderId="16" xfId="68" applyNumberFormat="1" applyFont="1" applyBorder="1" applyAlignment="1">
      <alignment horizontal="center" vertical="center"/>
    </xf>
    <xf numFmtId="2" fontId="30" fillId="6" borderId="16" xfId="68" applyNumberFormat="1" applyFont="1" applyFill="1" applyBorder="1" applyAlignment="1">
      <alignment horizontal="center" vertical="center"/>
    </xf>
    <xf numFmtId="2" fontId="31" fillId="4" borderId="21" xfId="68" applyNumberFormat="1" applyFont="1" applyFill="1" applyBorder="1" applyAlignment="1">
      <alignment horizontal="center" vertical="center"/>
    </xf>
    <xf numFmtId="2" fontId="30" fillId="6" borderId="7" xfId="19" applyNumberFormat="1" applyFont="1" applyFill="1" applyBorder="1" applyAlignment="1">
      <alignment horizontal="center" vertical="center"/>
    </xf>
    <xf numFmtId="2" fontId="31" fillId="4" borderId="18" xfId="68" applyNumberFormat="1" applyFont="1" applyFill="1" applyBorder="1" applyAlignment="1">
      <alignment horizontal="center" vertical="center"/>
    </xf>
    <xf numFmtId="2" fontId="30" fillId="6" borderId="20" xfId="68" applyNumberFormat="1" applyFont="1" applyFill="1" applyBorder="1" applyAlignment="1">
      <alignment horizontal="center" vertical="center"/>
    </xf>
    <xf numFmtId="2" fontId="30" fillId="6" borderId="7" xfId="68" applyNumberFormat="1" applyFont="1" applyFill="1" applyBorder="1" applyAlignment="1">
      <alignment horizontal="center" vertical="center"/>
    </xf>
    <xf numFmtId="2" fontId="31" fillId="0" borderId="0" xfId="10" applyNumberFormat="1" applyFont="1" applyAlignment="1">
      <alignment vertical="center"/>
    </xf>
    <xf numFmtId="0" fontId="31" fillId="4" borderId="5" xfId="68" applyFont="1" applyFill="1" applyBorder="1" applyAlignment="1">
      <alignment horizontal="center" vertical="center"/>
    </xf>
    <xf numFmtId="0" fontId="31" fillId="4" borderId="4" xfId="68" applyFont="1" applyFill="1" applyBorder="1" applyAlignment="1">
      <alignment horizontal="left" vertical="center" wrapText="1"/>
    </xf>
    <xf numFmtId="0" fontId="30" fillId="4" borderId="4" xfId="68" applyFont="1" applyFill="1" applyBorder="1" applyAlignment="1">
      <alignment horizontal="center" vertical="center"/>
    </xf>
    <xf numFmtId="10" fontId="31" fillId="4" borderId="4" xfId="39" applyNumberFormat="1" applyFont="1" applyFill="1" applyBorder="1" applyAlignment="1">
      <alignment horizontal="center" vertical="center"/>
    </xf>
    <xf numFmtId="2" fontId="31" fillId="4" borderId="4" xfId="68" applyNumberFormat="1" applyFont="1" applyFill="1" applyBorder="1" applyAlignment="1">
      <alignment horizontal="center" vertical="center"/>
    </xf>
    <xf numFmtId="2" fontId="31" fillId="0" borderId="4" xfId="68" applyNumberFormat="1" applyFont="1" applyBorder="1" applyAlignment="1">
      <alignment horizontal="center" vertical="center"/>
    </xf>
    <xf numFmtId="2" fontId="30" fillId="6" borderId="4" xfId="68" applyNumberFormat="1" applyFont="1" applyFill="1" applyBorder="1" applyAlignment="1">
      <alignment horizontal="center" vertical="center"/>
    </xf>
    <xf numFmtId="2" fontId="31" fillId="4" borderId="6" xfId="68" applyNumberFormat="1" applyFont="1" applyFill="1" applyBorder="1" applyAlignment="1">
      <alignment horizontal="center" vertical="center"/>
    </xf>
    <xf numFmtId="2" fontId="30" fillId="6" borderId="4" xfId="19" applyNumberFormat="1" applyFont="1" applyFill="1" applyBorder="1" applyAlignment="1">
      <alignment horizontal="center" vertical="center"/>
    </xf>
    <xf numFmtId="2" fontId="31" fillId="4" borderId="3" xfId="68" applyNumberFormat="1" applyFont="1" applyFill="1" applyBorder="1" applyAlignment="1">
      <alignment horizontal="center" vertical="center"/>
    </xf>
    <xf numFmtId="2" fontId="30" fillId="6" borderId="6" xfId="68" applyNumberFormat="1" applyFont="1" applyFill="1" applyBorder="1" applyAlignment="1">
      <alignment horizontal="center" vertical="center"/>
    </xf>
    <xf numFmtId="0" fontId="31" fillId="0" borderId="4" xfId="0" applyFont="1" applyBorder="1" applyAlignment="1">
      <alignment wrapText="1"/>
    </xf>
    <xf numFmtId="10" fontId="32" fillId="0" borderId="4" xfId="39" applyNumberFormat="1" applyFont="1" applyFill="1" applyBorder="1" applyAlignment="1">
      <alignment horizontal="center" vertical="center"/>
    </xf>
    <xf numFmtId="2" fontId="31" fillId="4" borderId="4" xfId="19" applyNumberFormat="1" applyFont="1" applyFill="1" applyBorder="1" applyAlignment="1">
      <alignment horizontal="center" vertical="center"/>
    </xf>
    <xf numFmtId="2" fontId="31" fillId="0" borderId="22" xfId="68" applyNumberFormat="1" applyFont="1" applyBorder="1" applyAlignment="1">
      <alignment horizontal="center" vertical="center"/>
    </xf>
    <xf numFmtId="0" fontId="31" fillId="4" borderId="12" xfId="68" applyFont="1" applyFill="1" applyBorder="1" applyAlignment="1">
      <alignment horizontal="center" vertical="center"/>
    </xf>
    <xf numFmtId="0" fontId="30" fillId="4" borderId="13" xfId="68" applyFont="1" applyFill="1" applyBorder="1" applyAlignment="1">
      <alignment horizontal="center" vertical="center"/>
    </xf>
    <xf numFmtId="10" fontId="30" fillId="6" borderId="13" xfId="68" applyNumberFormat="1" applyFont="1" applyFill="1" applyBorder="1" applyAlignment="1">
      <alignment horizontal="center" vertical="center"/>
    </xf>
    <xf numFmtId="2" fontId="30" fillId="6" borderId="13" xfId="19" applyNumberFormat="1" applyFont="1" applyFill="1" applyBorder="1" applyAlignment="1">
      <alignment horizontal="center" vertical="center"/>
    </xf>
    <xf numFmtId="0" fontId="31" fillId="4" borderId="16" xfId="68" applyFont="1" applyFill="1" applyBorder="1" applyAlignment="1">
      <alignment horizontal="left" vertical="center"/>
    </xf>
    <xf numFmtId="2" fontId="30" fillId="7" borderId="6" xfId="68" applyNumberFormat="1" applyFont="1" applyFill="1" applyBorder="1" applyAlignment="1">
      <alignment horizontal="center" vertical="center"/>
    </xf>
    <xf numFmtId="168" fontId="16" fillId="0" borderId="4" xfId="14" applyNumberFormat="1" applyFont="1" applyBorder="1" applyAlignment="1">
      <alignment horizontal="center" vertical="center" wrapText="1"/>
    </xf>
    <xf numFmtId="2" fontId="33" fillId="0" borderId="4" xfId="0" applyNumberFormat="1" applyFont="1" applyBorder="1" applyAlignment="1">
      <alignment horizontal="center"/>
    </xf>
    <xf numFmtId="2" fontId="34" fillId="0" borderId="4" xfId="0" applyNumberFormat="1" applyFont="1" applyBorder="1" applyAlignment="1">
      <alignment horizontal="center"/>
    </xf>
    <xf numFmtId="168" fontId="34" fillId="0" borderId="4" xfId="0" applyNumberFormat="1" applyFont="1" applyBorder="1" applyAlignment="1">
      <alignment horizontal="center" vertical="center"/>
    </xf>
    <xf numFmtId="171" fontId="16" fillId="0" borderId="0" xfId="0" applyNumberFormat="1" applyFont="1" applyAlignment="1">
      <alignment vertical="center"/>
    </xf>
    <xf numFmtId="2" fontId="21" fillId="6" borderId="4" xfId="0" applyNumberFormat="1" applyFont="1" applyFill="1" applyBorder="1" applyAlignment="1">
      <alignment horizontal="center" vertical="center"/>
    </xf>
    <xf numFmtId="168" fontId="28" fillId="0" borderId="4" xfId="10" applyNumberFormat="1" applyFont="1" applyBorder="1" applyAlignment="1">
      <alignment horizontal="center" vertical="center"/>
    </xf>
    <xf numFmtId="168" fontId="16" fillId="0" borderId="4" xfId="0" applyNumberFormat="1" applyFont="1" applyBorder="1" applyAlignment="1">
      <alignment horizontal="center" vertical="center"/>
    </xf>
    <xf numFmtId="2" fontId="21" fillId="0" borderId="4" xfId="0" applyNumberFormat="1" applyFont="1" applyBorder="1" applyAlignment="1">
      <alignment horizontal="center" vertical="center"/>
    </xf>
    <xf numFmtId="2" fontId="21" fillId="7" borderId="4" xfId="0" applyNumberFormat="1" applyFont="1" applyFill="1" applyBorder="1" applyAlignment="1">
      <alignment horizontal="center" vertical="center"/>
    </xf>
    <xf numFmtId="43" fontId="16" fillId="5" borderId="4" xfId="10" applyNumberFormat="1" applyFont="1" applyFill="1" applyBorder="1"/>
    <xf numFmtId="43" fontId="21" fillId="5" borderId="4" xfId="10" applyNumberFormat="1" applyFont="1" applyFill="1" applyBorder="1"/>
    <xf numFmtId="43" fontId="16" fillId="5" borderId="4" xfId="14" applyNumberFormat="1" applyFont="1" applyFill="1" applyBorder="1">
      <alignment vertical="center"/>
    </xf>
    <xf numFmtId="43" fontId="21" fillId="5" borderId="4" xfId="14" applyNumberFormat="1" applyFont="1" applyFill="1" applyBorder="1">
      <alignment vertical="center"/>
    </xf>
    <xf numFmtId="168" fontId="16" fillId="0" borderId="0" xfId="0" applyNumberFormat="1" applyFont="1" applyAlignment="1">
      <alignment vertical="center"/>
    </xf>
    <xf numFmtId="2" fontId="36" fillId="6" borderId="4" xfId="14" applyNumberFormat="1" applyFont="1" applyFill="1" applyBorder="1" applyAlignment="1">
      <alignment horizontal="center" vertical="center"/>
    </xf>
    <xf numFmtId="2" fontId="26" fillId="6" borderId="4" xfId="14" applyNumberFormat="1" applyFont="1" applyFill="1" applyBorder="1" applyAlignment="1">
      <alignment horizontal="center" vertical="center"/>
    </xf>
    <xf numFmtId="0" fontId="31" fillId="4" borderId="23" xfId="68" applyFont="1" applyFill="1" applyBorder="1" applyAlignment="1">
      <alignment horizontal="center" vertical="center"/>
    </xf>
    <xf numFmtId="0" fontId="31" fillId="0" borderId="8" xfId="0" applyFont="1" applyBorder="1" applyAlignment="1">
      <alignment wrapText="1"/>
    </xf>
    <xf numFmtId="0" fontId="30" fillId="4" borderId="8" xfId="68" applyFont="1" applyFill="1" applyBorder="1" applyAlignment="1">
      <alignment horizontal="center" vertical="center"/>
    </xf>
    <xf numFmtId="10" fontId="32" fillId="0" borderId="8" xfId="39" applyNumberFormat="1" applyFont="1" applyFill="1" applyBorder="1" applyAlignment="1">
      <alignment horizontal="center" vertical="center"/>
    </xf>
    <xf numFmtId="2" fontId="31" fillId="0" borderId="8" xfId="68" applyNumberFormat="1" applyFont="1" applyBorder="1" applyAlignment="1">
      <alignment horizontal="center" vertical="center"/>
    </xf>
    <xf numFmtId="2" fontId="31" fillId="4" borderId="8" xfId="19" applyNumberFormat="1" applyFont="1" applyFill="1" applyBorder="1" applyAlignment="1">
      <alignment horizontal="center" vertical="center"/>
    </xf>
    <xf numFmtId="2" fontId="30" fillId="6" borderId="8" xfId="68" applyNumberFormat="1" applyFont="1" applyFill="1" applyBorder="1" applyAlignment="1">
      <alignment horizontal="center" vertical="center"/>
    </xf>
    <xf numFmtId="2" fontId="31" fillId="4" borderId="24" xfId="68" applyNumberFormat="1" applyFont="1" applyFill="1" applyBorder="1" applyAlignment="1">
      <alignment horizontal="center" vertical="center"/>
    </xf>
    <xf numFmtId="2" fontId="30" fillId="6" borderId="8" xfId="19" applyNumberFormat="1" applyFont="1" applyFill="1" applyBorder="1" applyAlignment="1">
      <alignment horizontal="center" vertical="center"/>
    </xf>
    <xf numFmtId="2" fontId="31" fillId="4" borderId="25" xfId="68" applyNumberFormat="1" applyFont="1" applyFill="1" applyBorder="1" applyAlignment="1">
      <alignment horizontal="center" vertical="center"/>
    </xf>
    <xf numFmtId="2" fontId="30" fillId="6" borderId="24" xfId="68" applyNumberFormat="1" applyFont="1" applyFill="1" applyBorder="1" applyAlignment="1">
      <alignment horizontal="center" vertical="center"/>
    </xf>
    <xf numFmtId="2" fontId="31" fillId="0" borderId="0" xfId="68" applyNumberFormat="1" applyFont="1" applyAlignment="1">
      <alignment horizontal="center" vertical="center"/>
    </xf>
    <xf numFmtId="2" fontId="33" fillId="0" borderId="4" xfId="0" applyNumberFormat="1" applyFont="1" applyBorder="1" applyAlignment="1">
      <alignment horizontal="right"/>
    </xf>
    <xf numFmtId="0" fontId="16" fillId="0" borderId="4" xfId="0" applyFont="1" applyBorder="1" applyAlignment="1">
      <alignment horizontal="right" vertical="center"/>
    </xf>
    <xf numFmtId="2" fontId="33" fillId="0" borderId="4" xfId="0" applyNumberFormat="1" applyFont="1" applyBorder="1" applyAlignment="1">
      <alignment horizontal="right" vertical="center"/>
    </xf>
    <xf numFmtId="1" fontId="16" fillId="0" borderId="4" xfId="0" applyNumberFormat="1" applyFont="1" applyBorder="1" applyAlignment="1">
      <alignment horizontal="right" vertical="center"/>
    </xf>
    <xf numFmtId="168" fontId="16" fillId="0" borderId="4" xfId="0" applyNumberFormat="1" applyFont="1" applyBorder="1" applyAlignment="1">
      <alignment horizontal="right" vertical="center"/>
    </xf>
    <xf numFmtId="168" fontId="21" fillId="0" borderId="4" xfId="0" applyNumberFormat="1" applyFont="1" applyBorder="1" applyAlignment="1">
      <alignment horizontal="right" vertical="center"/>
    </xf>
    <xf numFmtId="2" fontId="16" fillId="0" borderId="0" xfId="0" applyNumberFormat="1" applyFont="1" applyAlignment="1">
      <alignment vertical="center"/>
    </xf>
    <xf numFmtId="172" fontId="21" fillId="0" borderId="4" xfId="14" applyNumberFormat="1" applyFont="1" applyBorder="1" applyAlignment="1">
      <alignment horizontal="center" vertical="center"/>
    </xf>
    <xf numFmtId="172" fontId="16" fillId="0" borderId="4" xfId="14" applyNumberFormat="1" applyFont="1" applyBorder="1">
      <alignment vertical="center"/>
    </xf>
    <xf numFmtId="172" fontId="16" fillId="0" borderId="0" xfId="14" applyNumberFormat="1" applyFont="1">
      <alignment vertical="center"/>
    </xf>
    <xf numFmtId="1" fontId="16" fillId="0" borderId="4" xfId="0" applyNumberFormat="1" applyFont="1" applyBorder="1" applyAlignment="1">
      <alignment vertical="center"/>
    </xf>
    <xf numFmtId="1" fontId="34" fillId="0" borderId="4" xfId="0" applyNumberFormat="1" applyFont="1" applyBorder="1" applyAlignment="1">
      <alignment horizontal="center"/>
    </xf>
    <xf numFmtId="1" fontId="33" fillId="0" borderId="4" xfId="0" applyNumberFormat="1" applyFont="1" applyBorder="1" applyAlignment="1">
      <alignment horizontal="right" vertical="center"/>
    </xf>
    <xf numFmtId="0" fontId="13" fillId="0" borderId="0" xfId="14" applyFont="1">
      <alignment vertical="center"/>
    </xf>
    <xf numFmtId="0" fontId="21" fillId="0" borderId="4" xfId="10" applyFont="1" applyBorder="1" applyAlignment="1">
      <alignment horizontal="left" vertical="center"/>
    </xf>
    <xf numFmtId="0" fontId="1" fillId="0" borderId="4" xfId="158" applyBorder="1"/>
    <xf numFmtId="43" fontId="16" fillId="0" borderId="4" xfId="173" applyFont="1" applyBorder="1" applyAlignment="1">
      <alignment vertical="center"/>
    </xf>
    <xf numFmtId="0" fontId="1" fillId="0" borderId="0" xfId="158"/>
    <xf numFmtId="43" fontId="16" fillId="0" borderId="4" xfId="173" applyFont="1" applyBorder="1" applyAlignment="1">
      <alignment horizontal="right" vertical="center"/>
    </xf>
    <xf numFmtId="0" fontId="21" fillId="0" borderId="0" xfId="10" applyFont="1" applyAlignment="1">
      <alignment vertical="center" wrapText="1"/>
    </xf>
    <xf numFmtId="171" fontId="16" fillId="0" borderId="0" xfId="14" applyNumberFormat="1" applyFont="1">
      <alignment vertical="center"/>
    </xf>
    <xf numFmtId="0" fontId="21" fillId="0" borderId="0" xfId="14" applyFont="1" applyAlignment="1">
      <alignment horizontal="center" vertical="center"/>
    </xf>
    <xf numFmtId="0" fontId="16" fillId="0" borderId="4" xfId="10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21" fillId="0" borderId="6" xfId="14" applyFont="1" applyBorder="1" applyAlignment="1">
      <alignment horizontal="center" vertical="center" wrapText="1"/>
    </xf>
    <xf numFmtId="0" fontId="21" fillId="0" borderId="0" xfId="10" applyFont="1" applyAlignment="1">
      <alignment horizontal="center" vertical="center"/>
    </xf>
    <xf numFmtId="0" fontId="21" fillId="0" borderId="0" xfId="14" applyFont="1" applyAlignment="1">
      <alignment horizontal="center" vertical="center"/>
    </xf>
    <xf numFmtId="2" fontId="21" fillId="6" borderId="9" xfId="14" applyNumberFormat="1" applyFont="1" applyFill="1" applyBorder="1" applyAlignment="1">
      <alignment horizontal="center" vertical="center"/>
    </xf>
    <xf numFmtId="2" fontId="16" fillId="0" borderId="9" xfId="14" applyNumberFormat="1" applyFont="1" applyBorder="1" applyAlignment="1">
      <alignment horizontal="center" vertical="center"/>
    </xf>
    <xf numFmtId="2" fontId="16" fillId="6" borderId="9" xfId="14" applyNumberFormat="1" applyFont="1" applyFill="1" applyBorder="1" applyAlignment="1">
      <alignment horizontal="center" vertical="center"/>
    </xf>
    <xf numFmtId="10" fontId="16" fillId="0" borderId="9" xfId="14" applyNumberFormat="1" applyFont="1" applyBorder="1" applyAlignment="1">
      <alignment horizontal="center" vertical="center"/>
    </xf>
    <xf numFmtId="0" fontId="16" fillId="0" borderId="9" xfId="14" applyFont="1" applyBorder="1" applyAlignment="1">
      <alignment horizontal="center" vertical="center"/>
    </xf>
    <xf numFmtId="10" fontId="16" fillId="0" borderId="4" xfId="10" applyNumberFormat="1" applyFont="1" applyBorder="1" applyAlignment="1">
      <alignment horizontal="center" vertical="center"/>
    </xf>
    <xf numFmtId="10" fontId="21" fillId="6" borderId="4" xfId="10" applyNumberFormat="1" applyFont="1" applyFill="1" applyBorder="1" applyAlignment="1">
      <alignment horizontal="center" vertical="center"/>
    </xf>
    <xf numFmtId="0" fontId="13" fillId="0" borderId="0" xfId="10" applyFont="1" applyAlignment="1">
      <alignment horizontal="center" vertical="center" wrapText="1"/>
    </xf>
    <xf numFmtId="0" fontId="8" fillId="0" borderId="0" xfId="10" applyFont="1" applyAlignment="1">
      <alignment horizontal="center" vertical="center" wrapText="1"/>
    </xf>
    <xf numFmtId="0" fontId="13" fillId="0" borderId="0" xfId="14" applyFont="1" applyAlignment="1">
      <alignment horizontal="center" vertical="center"/>
    </xf>
    <xf numFmtId="0" fontId="21" fillId="0" borderId="8" xfId="14" applyFont="1" applyBorder="1" applyAlignment="1">
      <alignment horizontal="center" vertical="center"/>
    </xf>
    <xf numFmtId="0" fontId="21" fillId="0" borderId="10" xfId="14" applyFont="1" applyBorder="1" applyAlignment="1">
      <alignment horizontal="center" vertical="center"/>
    </xf>
    <xf numFmtId="0" fontId="21" fillId="0" borderId="7" xfId="14" applyFont="1" applyBorder="1" applyAlignment="1">
      <alignment horizontal="center" vertical="center"/>
    </xf>
    <xf numFmtId="0" fontId="21" fillId="0" borderId="8" xfId="14" applyFont="1" applyBorder="1" applyAlignment="1">
      <alignment horizontal="center" vertical="center" wrapText="1"/>
    </xf>
    <xf numFmtId="0" fontId="21" fillId="0" borderId="10" xfId="14" applyFont="1" applyBorder="1" applyAlignment="1">
      <alignment horizontal="center" vertical="center" wrapText="1"/>
    </xf>
    <xf numFmtId="0" fontId="16" fillId="0" borderId="7" xfId="10" applyFont="1" applyBorder="1" applyAlignment="1">
      <alignment horizontal="center" vertical="center" wrapText="1"/>
    </xf>
    <xf numFmtId="0" fontId="21" fillId="0" borderId="4" xfId="14" applyFont="1" applyBorder="1" applyAlignment="1">
      <alignment horizontal="center" vertical="center"/>
    </xf>
    <xf numFmtId="0" fontId="16" fillId="0" borderId="4" xfId="10" applyFont="1" applyBorder="1" applyAlignment="1">
      <alignment horizontal="center" vertical="center"/>
    </xf>
    <xf numFmtId="0" fontId="21" fillId="0" borderId="4" xfId="14" applyFont="1" applyBorder="1" applyAlignment="1">
      <alignment horizontal="center" vertical="center" wrapText="1"/>
    </xf>
    <xf numFmtId="0" fontId="16" fillId="0" borderId="4" xfId="10" applyFont="1" applyBorder="1" applyAlignment="1">
      <alignment horizontal="center" vertical="center" wrapText="1"/>
    </xf>
    <xf numFmtId="0" fontId="21" fillId="0" borderId="6" xfId="14" applyFont="1" applyBorder="1" applyAlignment="1">
      <alignment horizontal="center" vertical="center" wrapText="1"/>
    </xf>
    <xf numFmtId="0" fontId="21" fillId="0" borderId="3" xfId="14" applyFont="1" applyBorder="1" applyAlignment="1">
      <alignment horizontal="center" vertical="center" wrapText="1"/>
    </xf>
    <xf numFmtId="0" fontId="21" fillId="0" borderId="9" xfId="14" applyFont="1" applyBorder="1" applyAlignment="1">
      <alignment horizontal="center" vertical="center" wrapText="1"/>
    </xf>
    <xf numFmtId="0" fontId="21" fillId="0" borderId="0" xfId="10" applyFont="1" applyAlignment="1">
      <alignment horizontal="center" vertical="center"/>
    </xf>
    <xf numFmtId="0" fontId="21" fillId="0" borderId="0" xfId="10" applyFont="1" applyAlignment="1">
      <alignment horizontal="left" vertical="center"/>
    </xf>
    <xf numFmtId="0" fontId="21" fillId="0" borderId="4" xfId="10" applyFont="1" applyBorder="1" applyAlignment="1">
      <alignment horizontal="center" vertical="center" wrapText="1"/>
    </xf>
    <xf numFmtId="0" fontId="21" fillId="0" borderId="4" xfId="10" applyFont="1" applyBorder="1" applyAlignment="1">
      <alignment horizontal="center" vertical="center"/>
    </xf>
    <xf numFmtId="0" fontId="21" fillId="0" borderId="8" xfId="10" applyFont="1" applyBorder="1" applyAlignment="1">
      <alignment horizontal="center" vertical="center" wrapText="1"/>
    </xf>
    <xf numFmtId="0" fontId="21" fillId="0" borderId="10" xfId="10" applyFont="1" applyBorder="1" applyAlignment="1">
      <alignment horizontal="center" vertical="center" wrapText="1"/>
    </xf>
    <xf numFmtId="0" fontId="21" fillId="0" borderId="7" xfId="10" applyFont="1" applyBorder="1" applyAlignment="1">
      <alignment horizontal="center" vertical="center" wrapText="1"/>
    </xf>
    <xf numFmtId="0" fontId="16" fillId="0" borderId="4" xfId="10" applyFont="1" applyBorder="1" applyAlignment="1">
      <alignment vertical="center"/>
    </xf>
    <xf numFmtId="0" fontId="21" fillId="0" borderId="0" xfId="14" applyFont="1" applyAlignment="1">
      <alignment horizontal="center" vertical="center"/>
    </xf>
    <xf numFmtId="0" fontId="30" fillId="4" borderId="17" xfId="68" applyFont="1" applyFill="1" applyBorder="1" applyAlignment="1">
      <alignment horizontal="center" vertical="center"/>
    </xf>
    <xf numFmtId="0" fontId="30" fillId="4" borderId="18" xfId="68" applyFont="1" applyFill="1" applyBorder="1" applyAlignment="1">
      <alignment horizontal="center" vertical="center"/>
    </xf>
    <xf numFmtId="0" fontId="30" fillId="4" borderId="19" xfId="68" applyFont="1" applyFill="1" applyBorder="1" applyAlignment="1">
      <alignment horizontal="center" vertical="center"/>
    </xf>
    <xf numFmtId="0" fontId="30" fillId="4" borderId="5" xfId="68" applyFont="1" applyFill="1" applyBorder="1" applyAlignment="1">
      <alignment horizontal="center" vertical="center" wrapText="1"/>
    </xf>
    <xf numFmtId="0" fontId="30" fillId="4" borderId="12" xfId="68" applyFont="1" applyFill="1" applyBorder="1" applyAlignment="1">
      <alignment horizontal="center" vertical="center" wrapText="1"/>
    </xf>
    <xf numFmtId="0" fontId="30" fillId="4" borderId="4" xfId="68" quotePrefix="1" applyFont="1" applyFill="1" applyBorder="1" applyAlignment="1">
      <alignment horizontal="center" vertical="center" wrapText="1"/>
    </xf>
    <xf numFmtId="0" fontId="30" fillId="4" borderId="13" xfId="68" quotePrefix="1" applyFont="1" applyFill="1" applyBorder="1" applyAlignment="1">
      <alignment horizontal="center" vertical="center" wrapText="1"/>
    </xf>
    <xf numFmtId="0" fontId="30" fillId="4" borderId="4" xfId="68" applyFont="1" applyFill="1" applyBorder="1" applyAlignment="1">
      <alignment horizontal="center" vertical="center" wrapText="1"/>
    </xf>
    <xf numFmtId="0" fontId="30" fillId="4" borderId="13" xfId="68" applyFont="1" applyFill="1" applyBorder="1" applyAlignment="1">
      <alignment horizontal="center" vertical="center" wrapText="1"/>
    </xf>
    <xf numFmtId="0" fontId="30" fillId="4" borderId="11" xfId="68" applyFont="1" applyFill="1" applyBorder="1" applyAlignment="1">
      <alignment horizontal="center" vertical="center" wrapText="1"/>
    </xf>
    <xf numFmtId="0" fontId="30" fillId="0" borderId="0" xfId="14" applyFont="1" applyAlignment="1">
      <alignment horizontal="center" vertical="center"/>
    </xf>
    <xf numFmtId="0" fontId="30" fillId="0" borderId="0" xfId="10" applyFont="1" applyAlignment="1">
      <alignment horizontal="center" vertical="center"/>
    </xf>
    <xf numFmtId="0" fontId="30" fillId="4" borderId="8" xfId="68" quotePrefix="1" applyFont="1" applyFill="1" applyBorder="1" applyAlignment="1">
      <alignment horizontal="center" vertical="center" wrapText="1"/>
    </xf>
    <xf numFmtId="0" fontId="21" fillId="0" borderId="3" xfId="10" applyFont="1" applyBorder="1" applyAlignment="1">
      <alignment horizontal="center" vertical="center"/>
    </xf>
    <xf numFmtId="0" fontId="21" fillId="0" borderId="9" xfId="10" applyFont="1" applyBorder="1" applyAlignment="1">
      <alignment horizontal="center" vertical="center"/>
    </xf>
    <xf numFmtId="0" fontId="13" fillId="0" borderId="0" xfId="14" applyFont="1" applyAlignment="1">
      <alignment horizontal="center" vertical="top"/>
    </xf>
    <xf numFmtId="0" fontId="9" fillId="0" borderId="4" xfId="10" applyBorder="1" applyAlignment="1">
      <alignment horizontal="center" vertical="center" wrapText="1"/>
    </xf>
    <xf numFmtId="0" fontId="9" fillId="0" borderId="4" xfId="10" applyBorder="1" applyAlignment="1">
      <alignment horizontal="center" vertical="center"/>
    </xf>
    <xf numFmtId="0" fontId="21" fillId="0" borderId="4" xfId="14" quotePrefix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9" fillId="0" borderId="6" xfId="0" applyFont="1" applyBorder="1" applyAlignment="1">
      <alignment vertical="center" wrapText="1"/>
    </xf>
    <xf numFmtId="0" fontId="29" fillId="0" borderId="3" xfId="0" applyFont="1" applyBorder="1" applyAlignment="1">
      <alignment vertical="center" wrapText="1"/>
    </xf>
    <xf numFmtId="0" fontId="29" fillId="0" borderId="9" xfId="0" applyFont="1" applyBorder="1" applyAlignment="1">
      <alignment vertical="center" wrapText="1"/>
    </xf>
    <xf numFmtId="0" fontId="35" fillId="0" borderId="6" xfId="14" applyFont="1" applyBorder="1" applyAlignment="1">
      <alignment horizontal="center" vertical="center" wrapText="1"/>
    </xf>
    <xf numFmtId="0" fontId="35" fillId="0" borderId="3" xfId="14" applyFont="1" applyBorder="1" applyAlignment="1">
      <alignment horizontal="center" vertical="center" wrapText="1"/>
    </xf>
    <xf numFmtId="0" fontId="21" fillId="0" borderId="6" xfId="10" applyFont="1" applyBorder="1" applyAlignment="1">
      <alignment horizontal="center" vertical="center"/>
    </xf>
  </cellXfs>
  <cellStyles count="177">
    <cellStyle name="Body" xfId="1"/>
    <cellStyle name="Comma  - Style1" xfId="2"/>
    <cellStyle name="Comma 10" xfId="112"/>
    <cellStyle name="Comma 10 2" xfId="113"/>
    <cellStyle name="Comma 10 2 2" xfId="175"/>
    <cellStyle name="Comma 10 3" xfId="174"/>
    <cellStyle name="Comma 11" xfId="110"/>
    <cellStyle name="Comma 11 2" xfId="19"/>
    <cellStyle name="Comma 11 2 2" xfId="96"/>
    <cellStyle name="Comma 11 2 2 2" xfId="161"/>
    <cellStyle name="Comma 11 2 3" xfId="72"/>
    <cellStyle name="Comma 11 2 3 2" xfId="145"/>
    <cellStyle name="Comma 11 2 4" xfId="130"/>
    <cellStyle name="Comma 2" xfId="24"/>
    <cellStyle name="Comma 2 2" xfId="25"/>
    <cellStyle name="Comma 2 2 2" xfId="63"/>
    <cellStyle name="Comma 2 2 3" xfId="76"/>
    <cellStyle name="Comma 2 3" xfId="26"/>
    <cellStyle name="Comma 2 3 2" xfId="77"/>
    <cellStyle name="Comma 2 4" xfId="56"/>
    <cellStyle name="Comma 2 5" xfId="75"/>
    <cellStyle name="Comma 3" xfId="27"/>
    <cellStyle name="Comma 3 2" xfId="62"/>
    <cellStyle name="Comma 3 2 2" xfId="103"/>
    <cellStyle name="Comma 3 2 2 2" xfId="166"/>
    <cellStyle name="Comma 3 2 3" xfId="85"/>
    <cellStyle name="Comma 3 2 3 2" xfId="150"/>
    <cellStyle name="Comma 3 2 4" xfId="136"/>
    <cellStyle name="Comma 3 3" xfId="78"/>
    <cellStyle name="Comma 4" xfId="28"/>
    <cellStyle name="Comma 4 2" xfId="64"/>
    <cellStyle name="Comma 4 2 2" xfId="104"/>
    <cellStyle name="Comma 4 2 2 2" xfId="167"/>
    <cellStyle name="Comma 4 2 3" xfId="86"/>
    <cellStyle name="Comma 4 2 3 2" xfId="151"/>
    <cellStyle name="Comma 4 2 4" xfId="137"/>
    <cellStyle name="Comma 4 3" xfId="79"/>
    <cellStyle name="Comma 5" xfId="29"/>
    <cellStyle name="Comma 5 2" xfId="80"/>
    <cellStyle name="Comma 6" xfId="48"/>
    <cellStyle name="Comma 6 2" xfId="49"/>
    <cellStyle name="Comma 6 3" xfId="50"/>
    <cellStyle name="Comma 6 4" xfId="51"/>
    <cellStyle name="Comma 6 5" xfId="101"/>
    <cellStyle name="Comma 6 6" xfId="83"/>
    <cellStyle name="Comma 6 7" xfId="134"/>
    <cellStyle name="Comma 7" xfId="21"/>
    <cellStyle name="Comma 8" xfId="65"/>
    <cellStyle name="Comma 8 2" xfId="105"/>
    <cellStyle name="Comma 8 2 2" xfId="168"/>
    <cellStyle name="Comma 8 3" xfId="87"/>
    <cellStyle name="Comma 8 3 2" xfId="152"/>
    <cellStyle name="Comma 8 4" xfId="138"/>
    <cellStyle name="Comma 9" xfId="111"/>
    <cellStyle name="Comma 9 2" xfId="173"/>
    <cellStyle name="Curren - Style2" xfId="3"/>
    <cellStyle name="Grey" xfId="4"/>
    <cellStyle name="Header1" xfId="5"/>
    <cellStyle name="Header2" xfId="6"/>
    <cellStyle name="Input [yellow]" xfId="7"/>
    <cellStyle name="no dec" xfId="8"/>
    <cellStyle name="Normal" xfId="0" builtinId="0"/>
    <cellStyle name="Normal - Style1" xfId="9"/>
    <cellStyle name="Normal 10" xfId="67"/>
    <cellStyle name="Normal 10 2" xfId="107"/>
    <cellStyle name="Normal 10 2 2" xfId="170"/>
    <cellStyle name="Normal 10 3" xfId="89"/>
    <cellStyle name="Normal 10 3 2" xfId="154"/>
    <cellStyle name="Normal 10 4" xfId="140"/>
    <cellStyle name="Normal 11" xfId="69"/>
    <cellStyle name="Normal 11 2" xfId="109"/>
    <cellStyle name="Normal 11 2 2" xfId="172"/>
    <cellStyle name="Normal 11 3" xfId="91"/>
    <cellStyle name="Normal 11 3 2" xfId="156"/>
    <cellStyle name="Normal 11 4" xfId="142"/>
    <cellStyle name="Normal 12" xfId="70"/>
    <cellStyle name="Normal 12 2" xfId="92"/>
    <cellStyle name="Normal 12 2 2" xfId="157"/>
    <cellStyle name="Normal 12 3" xfId="143"/>
    <cellStyle name="Normal 13" xfId="93"/>
    <cellStyle name="Normal 13 2" xfId="94"/>
    <cellStyle name="Normal 13 2 2" xfId="159"/>
    <cellStyle name="Normal 13 3" xfId="158"/>
    <cellStyle name="Normal 14" xfId="115"/>
    <cellStyle name="Normal 14 2" xfId="68"/>
    <cellStyle name="Normal 14 2 2" xfId="108"/>
    <cellStyle name="Normal 14 2 2 2" xfId="171"/>
    <cellStyle name="Normal 14 2 3" xfId="90"/>
    <cellStyle name="Normal 14 2 3 2" xfId="155"/>
    <cellStyle name="Normal 14 2 4" xfId="141"/>
    <cellStyle name="Normal 15" xfId="18"/>
    <cellStyle name="Normal 15 2" xfId="95"/>
    <cellStyle name="Normal 15 2 2" xfId="160"/>
    <cellStyle name="Normal 15 3" xfId="71"/>
    <cellStyle name="Normal 15 3 2" xfId="144"/>
    <cellStyle name="Normal 15 4" xfId="129"/>
    <cellStyle name="Normal 16" xfId="116"/>
    <cellStyle name="Normal 17" xfId="117"/>
    <cellStyle name="Normal 18" xfId="61"/>
    <cellStyle name="Normal 18 2" xfId="102"/>
    <cellStyle name="Normal 18 2 2" xfId="165"/>
    <cellStyle name="Normal 18 3" xfId="84"/>
    <cellStyle name="Normal 18 3 2" xfId="149"/>
    <cellStyle name="Normal 18 4" xfId="135"/>
    <cellStyle name="Normal 19" xfId="118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4" xfId="52"/>
    <cellStyle name="Normal 2_ARR FINAL" xfId="32"/>
    <cellStyle name="Normal 20" xfId="119"/>
    <cellStyle name="Normal 21" xfId="120"/>
    <cellStyle name="Normal 22" xfId="114"/>
    <cellStyle name="Normal 24" xfId="122"/>
    <cellStyle name="Normal 25" xfId="123"/>
    <cellStyle name="Normal 26" xfId="124"/>
    <cellStyle name="Normal 27" xfId="125"/>
    <cellStyle name="Normal 28" xfId="126"/>
    <cellStyle name="Normal 29" xfId="127"/>
    <cellStyle name="Normal 3" xfId="13"/>
    <cellStyle name="Normal 3 2" xfId="33"/>
    <cellStyle name="Normal 3 2 2" xfId="58"/>
    <cellStyle name="Normal 30" xfId="128"/>
    <cellStyle name="Normal 39" xfId="22"/>
    <cellStyle name="Normal 4" xfId="34"/>
    <cellStyle name="Normal 4 2" xfId="59"/>
    <cellStyle name="Normal 5" xfId="35"/>
    <cellStyle name="Normal 5 2" xfId="36"/>
    <cellStyle name="Normal 5 3" xfId="99"/>
    <cellStyle name="Normal 5 3 2" xfId="163"/>
    <cellStyle name="Normal 5 4" xfId="81"/>
    <cellStyle name="Normal 5 4 2" xfId="147"/>
    <cellStyle name="Normal 5 5" xfId="132"/>
    <cellStyle name="Normal 6" xfId="37"/>
    <cellStyle name="Normal 7" xfId="38"/>
    <cellStyle name="Normal 7 2" xfId="100"/>
    <cellStyle name="Normal 7 2 2" xfId="164"/>
    <cellStyle name="Normal 7 3" xfId="82"/>
    <cellStyle name="Normal 7 3 2" xfId="148"/>
    <cellStyle name="Normal 7 4" xfId="133"/>
    <cellStyle name="Normal 8" xfId="53"/>
    <cellStyle name="Normal 9" xfId="54"/>
    <cellStyle name="Normal_FORMATS 5 YEAR ALOKE 2" xfId="14"/>
    <cellStyle name="Percent [0]_#6 Temps &amp; Contractors" xfId="15"/>
    <cellStyle name="Percent [2]" xfId="16"/>
    <cellStyle name="Percent 10" xfId="74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41 2" xfId="97"/>
    <cellStyle name="Percent 41 2 2" xfId="162"/>
    <cellStyle name="Percent 41 3" xfId="73"/>
    <cellStyle name="Percent 41 3 2" xfId="146"/>
    <cellStyle name="Percent 41 4" xfId="131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Percent 7 2" xfId="106"/>
    <cellStyle name="Percent 7 2 2" xfId="169"/>
    <cellStyle name="Percent 7 3" xfId="88"/>
    <cellStyle name="Percent 7 3 2" xfId="153"/>
    <cellStyle name="Percent 7 4" xfId="139"/>
    <cellStyle name="Percent 8" xfId="121"/>
    <cellStyle name="Percent 8 2" xfId="176"/>
    <cellStyle name="Percent 9" xfId="98"/>
    <cellStyle name="Style 1" xfId="17"/>
    <cellStyle name="Style 2" xfId="55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41"/>
  <sheetViews>
    <sheetView showGridLines="0" topLeftCell="C1" zoomScale="80" zoomScaleNormal="80" zoomScaleSheetLayoutView="80" workbookViewId="0">
      <selection activeCell="G11" sqref="G11"/>
    </sheetView>
  </sheetViews>
  <sheetFormatPr defaultColWidth="9.28515625" defaultRowHeight="15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15" width="18.7109375" style="6" customWidth="1"/>
    <col min="16" max="16384" width="9.28515625" style="6"/>
  </cols>
  <sheetData>
    <row r="2" spans="2:15">
      <c r="B2" s="39"/>
      <c r="C2" s="39"/>
      <c r="D2" s="39" t="s">
        <v>511</v>
      </c>
      <c r="E2" s="39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5">
      <c r="B3" s="39"/>
      <c r="C3" s="39"/>
      <c r="D3" s="277" t="s">
        <v>500</v>
      </c>
      <c r="E3" s="39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5" s="15" customFormat="1" ht="15.75">
      <c r="B4" s="290" t="s">
        <v>378</v>
      </c>
      <c r="C4" s="290"/>
      <c r="D4" s="291"/>
      <c r="E4" s="291"/>
      <c r="F4" s="1"/>
      <c r="G4" s="1"/>
      <c r="H4" s="1"/>
      <c r="I4" s="1"/>
      <c r="J4" s="1"/>
      <c r="K4" s="1"/>
      <c r="L4" s="1"/>
      <c r="M4" s="1"/>
      <c r="N4" s="1"/>
      <c r="O4" s="1"/>
    </row>
    <row r="5" spans="2:15" ht="15.75">
      <c r="D5" s="71" t="s">
        <v>380</v>
      </c>
    </row>
    <row r="6" spans="2:15" ht="15.75">
      <c r="N6" s="7"/>
    </row>
    <row r="7" spans="2:15" ht="15.75">
      <c r="B7" s="17" t="s">
        <v>200</v>
      </c>
      <c r="C7" s="17" t="s">
        <v>379</v>
      </c>
      <c r="D7" s="18" t="s">
        <v>7</v>
      </c>
      <c r="E7" s="18" t="s">
        <v>381</v>
      </c>
    </row>
    <row r="8" spans="2:15">
      <c r="B8" s="8">
        <v>1</v>
      </c>
      <c r="C8" s="8" t="s">
        <v>6</v>
      </c>
      <c r="D8" s="9" t="s">
        <v>383</v>
      </c>
      <c r="E8" s="10"/>
    </row>
    <row r="9" spans="2:15">
      <c r="B9" s="8">
        <f>B8+1</f>
        <v>2</v>
      </c>
      <c r="C9" s="8" t="s">
        <v>290</v>
      </c>
      <c r="D9" s="9" t="s">
        <v>385</v>
      </c>
      <c r="E9" s="10"/>
    </row>
    <row r="10" spans="2:15">
      <c r="B10" s="8">
        <f>B9+1</f>
        <v>3</v>
      </c>
      <c r="C10" s="8" t="s">
        <v>24</v>
      </c>
      <c r="D10" s="9" t="s">
        <v>386</v>
      </c>
      <c r="E10" s="10"/>
    </row>
    <row r="11" spans="2:15">
      <c r="B11" s="8">
        <f>B10+1</f>
        <v>4</v>
      </c>
      <c r="C11" s="8" t="s">
        <v>25</v>
      </c>
      <c r="D11" s="9" t="s">
        <v>387</v>
      </c>
      <c r="E11" s="10"/>
    </row>
    <row r="12" spans="2:15">
      <c r="B12" s="8">
        <f>B11+1</f>
        <v>5</v>
      </c>
      <c r="C12" s="8" t="s">
        <v>291</v>
      </c>
      <c r="D12" s="9" t="s">
        <v>388</v>
      </c>
      <c r="E12" s="10"/>
    </row>
    <row r="13" spans="2:15">
      <c r="B13" s="8">
        <f t="shared" ref="B13:B39" si="0">B12+1</f>
        <v>6</v>
      </c>
      <c r="C13" s="8" t="s">
        <v>22</v>
      </c>
      <c r="D13" s="9" t="s">
        <v>228</v>
      </c>
      <c r="E13" s="10"/>
    </row>
    <row r="14" spans="2:15">
      <c r="B14" s="8">
        <f t="shared" si="0"/>
        <v>7</v>
      </c>
      <c r="C14" s="8" t="s">
        <v>27</v>
      </c>
      <c r="D14" s="9" t="s">
        <v>389</v>
      </c>
      <c r="E14" s="10"/>
    </row>
    <row r="15" spans="2:15">
      <c r="B15" s="8">
        <f t="shared" si="0"/>
        <v>8</v>
      </c>
      <c r="C15" s="8" t="s">
        <v>28</v>
      </c>
      <c r="D15" s="11" t="s">
        <v>197</v>
      </c>
      <c r="E15" s="10"/>
    </row>
    <row r="16" spans="2:15">
      <c r="B16" s="8">
        <f t="shared" si="0"/>
        <v>9</v>
      </c>
      <c r="C16" s="8" t="s">
        <v>23</v>
      </c>
      <c r="D16" s="11" t="s">
        <v>390</v>
      </c>
      <c r="E16" s="10"/>
    </row>
    <row r="17" spans="2:5">
      <c r="B17" s="8">
        <f t="shared" si="0"/>
        <v>10</v>
      </c>
      <c r="C17" s="8" t="s">
        <v>29</v>
      </c>
      <c r="D17" s="9" t="s">
        <v>249</v>
      </c>
      <c r="E17" s="10"/>
    </row>
    <row r="18" spans="2:5">
      <c r="B18" s="8">
        <f t="shared" si="0"/>
        <v>11</v>
      </c>
      <c r="C18" s="8" t="s">
        <v>30</v>
      </c>
      <c r="D18" s="11" t="s">
        <v>307</v>
      </c>
      <c r="E18" s="10"/>
    </row>
    <row r="19" spans="2:5">
      <c r="B19" s="8">
        <f t="shared" si="0"/>
        <v>12</v>
      </c>
      <c r="C19" s="8" t="s">
        <v>31</v>
      </c>
      <c r="D19" s="11" t="s">
        <v>250</v>
      </c>
      <c r="E19" s="10"/>
    </row>
    <row r="20" spans="2:5">
      <c r="B20" s="8">
        <f t="shared" si="0"/>
        <v>13</v>
      </c>
      <c r="C20" s="8" t="s">
        <v>32</v>
      </c>
      <c r="D20" s="11" t="s">
        <v>157</v>
      </c>
      <c r="E20" s="10"/>
    </row>
    <row r="21" spans="2:5">
      <c r="B21" s="8">
        <f t="shared" si="0"/>
        <v>14</v>
      </c>
      <c r="C21" s="8" t="s">
        <v>33</v>
      </c>
      <c r="D21" s="11" t="s">
        <v>26</v>
      </c>
      <c r="E21" s="10"/>
    </row>
    <row r="22" spans="2:5">
      <c r="B22" s="8">
        <f t="shared" si="0"/>
        <v>15</v>
      </c>
      <c r="C22" s="8" t="s">
        <v>34</v>
      </c>
      <c r="D22" s="9" t="s">
        <v>391</v>
      </c>
      <c r="E22" s="10"/>
    </row>
    <row r="23" spans="2:5">
      <c r="B23" s="8">
        <f t="shared" si="0"/>
        <v>16</v>
      </c>
      <c r="C23" s="8" t="s">
        <v>35</v>
      </c>
      <c r="D23" s="9" t="s">
        <v>392</v>
      </c>
      <c r="E23" s="10"/>
    </row>
    <row r="24" spans="2:5">
      <c r="B24" s="8">
        <f t="shared" si="0"/>
        <v>17</v>
      </c>
      <c r="C24" s="8" t="s">
        <v>165</v>
      </c>
      <c r="D24" s="9" t="s">
        <v>253</v>
      </c>
      <c r="E24" s="10"/>
    </row>
    <row r="25" spans="2:5">
      <c r="B25" s="8">
        <f t="shared" si="0"/>
        <v>18</v>
      </c>
      <c r="C25" s="8" t="s">
        <v>171</v>
      </c>
      <c r="D25" s="9" t="s">
        <v>393</v>
      </c>
      <c r="E25" s="10"/>
    </row>
    <row r="26" spans="2:5">
      <c r="B26" s="8">
        <f t="shared" si="0"/>
        <v>19</v>
      </c>
      <c r="C26" s="8" t="s">
        <v>382</v>
      </c>
      <c r="D26" s="9" t="s">
        <v>237</v>
      </c>
      <c r="E26" s="10"/>
    </row>
    <row r="27" spans="2:5">
      <c r="B27" s="8">
        <f t="shared" si="0"/>
        <v>20</v>
      </c>
      <c r="C27" s="8" t="s">
        <v>230</v>
      </c>
      <c r="D27" s="9" t="s">
        <v>394</v>
      </c>
      <c r="E27" s="10"/>
    </row>
    <row r="28" spans="2:5">
      <c r="B28" s="8">
        <f t="shared" si="0"/>
        <v>21</v>
      </c>
      <c r="C28" s="8" t="s">
        <v>231</v>
      </c>
      <c r="D28" s="11" t="s">
        <v>395</v>
      </c>
      <c r="E28" s="10"/>
    </row>
    <row r="29" spans="2:5" ht="15.75">
      <c r="B29" s="12"/>
      <c r="C29" s="12"/>
      <c r="D29" s="13" t="s">
        <v>236</v>
      </c>
      <c r="E29" s="14"/>
    </row>
    <row r="30" spans="2:5">
      <c r="B30" s="8">
        <f>B28+1</f>
        <v>22</v>
      </c>
      <c r="C30" s="8" t="s">
        <v>401</v>
      </c>
      <c r="D30" s="9" t="s">
        <v>409</v>
      </c>
      <c r="E30" s="10"/>
    </row>
    <row r="31" spans="2:5">
      <c r="B31" s="8">
        <f>B30+1</f>
        <v>23</v>
      </c>
      <c r="C31" s="8" t="s">
        <v>402</v>
      </c>
      <c r="D31" s="9" t="s">
        <v>410</v>
      </c>
      <c r="E31" s="10"/>
    </row>
    <row r="32" spans="2:5">
      <c r="B32" s="8">
        <f>B31+1</f>
        <v>24</v>
      </c>
      <c r="C32" s="8" t="s">
        <v>399</v>
      </c>
      <c r="D32" s="9" t="s">
        <v>192</v>
      </c>
      <c r="E32" s="10"/>
    </row>
    <row r="33" spans="2:5">
      <c r="B33" s="8">
        <f t="shared" si="0"/>
        <v>25</v>
      </c>
      <c r="C33" s="8" t="s">
        <v>400</v>
      </c>
      <c r="D33" s="9" t="s">
        <v>193</v>
      </c>
      <c r="E33" s="10"/>
    </row>
    <row r="34" spans="2:5">
      <c r="B34" s="8">
        <f t="shared" si="0"/>
        <v>26</v>
      </c>
      <c r="C34" s="8" t="s">
        <v>403</v>
      </c>
      <c r="D34" s="9" t="s">
        <v>194</v>
      </c>
      <c r="E34" s="10"/>
    </row>
    <row r="35" spans="2:5">
      <c r="B35" s="8">
        <f t="shared" si="0"/>
        <v>27</v>
      </c>
      <c r="C35" s="8" t="s">
        <v>404</v>
      </c>
      <c r="D35" s="9" t="s">
        <v>195</v>
      </c>
      <c r="E35" s="10"/>
    </row>
    <row r="36" spans="2:5">
      <c r="B36" s="8">
        <f t="shared" si="0"/>
        <v>28</v>
      </c>
      <c r="C36" s="8" t="s">
        <v>405</v>
      </c>
      <c r="D36" s="9" t="s">
        <v>214</v>
      </c>
      <c r="E36" s="10"/>
    </row>
    <row r="37" spans="2:5">
      <c r="B37" s="8">
        <f t="shared" si="0"/>
        <v>29</v>
      </c>
      <c r="C37" s="8" t="s">
        <v>406</v>
      </c>
      <c r="D37" s="9" t="s">
        <v>196</v>
      </c>
      <c r="E37" s="10"/>
    </row>
    <row r="38" spans="2:5">
      <c r="B38" s="8">
        <f t="shared" si="0"/>
        <v>30</v>
      </c>
      <c r="C38" s="8" t="s">
        <v>407</v>
      </c>
      <c r="D38" s="9" t="s">
        <v>396</v>
      </c>
      <c r="E38" s="10"/>
    </row>
    <row r="39" spans="2:5">
      <c r="B39" s="8">
        <f t="shared" si="0"/>
        <v>31</v>
      </c>
      <c r="C39" s="8" t="s">
        <v>408</v>
      </c>
      <c r="D39" s="9" t="s">
        <v>397</v>
      </c>
      <c r="E39" s="10"/>
    </row>
    <row r="41" spans="2:5" ht="15.75">
      <c r="B41" s="16" t="s">
        <v>398</v>
      </c>
      <c r="C41" s="16"/>
    </row>
  </sheetData>
  <mergeCells count="1">
    <mergeCell ref="B4:E4"/>
  </mergeCells>
  <phoneticPr fontId="12" type="noConversion"/>
  <pageMargins left="0.55000000000000004" right="0.23622047244094491" top="1.1023622047244095" bottom="0.98425196850393704" header="0.23622047244094491" footer="0.23622047244094491"/>
  <pageSetup paperSize="9" scale="77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S125"/>
  <sheetViews>
    <sheetView showGridLines="0" view="pageBreakPreview" topLeftCell="A105" zoomScale="90" zoomScaleNormal="70" zoomScaleSheetLayoutView="90" workbookViewId="0">
      <selection sqref="A1:XFD1"/>
    </sheetView>
  </sheetViews>
  <sheetFormatPr defaultColWidth="9.28515625" defaultRowHeight="18"/>
  <cols>
    <col min="1" max="1" width="4.28515625" style="188" customWidth="1"/>
    <col min="2" max="2" width="9.28515625" style="188"/>
    <col min="3" max="3" width="23.7109375" style="188" customWidth="1"/>
    <col min="4" max="4" width="14.28515625" style="188" customWidth="1"/>
    <col min="5" max="5" width="16.7109375" style="188" customWidth="1"/>
    <col min="6" max="6" width="13.28515625" style="188" customWidth="1"/>
    <col min="7" max="7" width="13" style="188" customWidth="1"/>
    <col min="8" max="8" width="15.5703125" style="188" customWidth="1"/>
    <col min="9" max="9" width="10.7109375" style="188" customWidth="1"/>
    <col min="10" max="10" width="15.28515625" style="188" customWidth="1"/>
    <col min="11" max="11" width="13" style="188" customWidth="1"/>
    <col min="12" max="12" width="10.7109375" style="188" customWidth="1"/>
    <col min="13" max="13" width="15.140625" style="188" customWidth="1"/>
    <col min="14" max="14" width="15.28515625" style="188" customWidth="1"/>
    <col min="15" max="15" width="10.7109375" style="188" customWidth="1"/>
    <col min="16" max="16" width="13.7109375" style="188" bestFit="1" customWidth="1"/>
    <col min="17" max="22" width="11.7109375" style="188" bestFit="1" customWidth="1"/>
    <col min="23" max="16384" width="9.28515625" style="188"/>
  </cols>
  <sheetData>
    <row r="1" spans="2:19" hidden="1">
      <c r="B1" s="187"/>
    </row>
    <row r="2" spans="2:19" ht="15" customHeight="1">
      <c r="B2" s="325" t="s">
        <v>511</v>
      </c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</row>
    <row r="3" spans="2:19" ht="15.75" customHeight="1">
      <c r="B3" s="325" t="s">
        <v>500</v>
      </c>
      <c r="C3" s="325"/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</row>
    <row r="4" spans="2:19" ht="15" customHeight="1">
      <c r="B4" s="326" t="s">
        <v>293</v>
      </c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</row>
    <row r="5" spans="2:19" ht="12" customHeight="1" thickBot="1">
      <c r="K5" s="189"/>
      <c r="O5" s="190" t="s">
        <v>4</v>
      </c>
    </row>
    <row r="6" spans="2:19" ht="15.75" customHeight="1">
      <c r="B6" s="315" t="s">
        <v>467</v>
      </c>
      <c r="C6" s="316"/>
      <c r="D6" s="316"/>
      <c r="E6" s="316"/>
      <c r="F6" s="316"/>
      <c r="G6" s="316"/>
      <c r="H6" s="316"/>
      <c r="I6" s="316"/>
      <c r="J6" s="316"/>
      <c r="K6" s="316"/>
      <c r="L6" s="316"/>
      <c r="M6" s="316"/>
      <c r="N6" s="316"/>
      <c r="O6" s="317"/>
    </row>
    <row r="7" spans="2:19" ht="14.25" customHeight="1">
      <c r="B7" s="318" t="s">
        <v>2</v>
      </c>
      <c r="C7" s="320" t="s">
        <v>289</v>
      </c>
      <c r="D7" s="322" t="s">
        <v>277</v>
      </c>
      <c r="E7" s="322" t="s">
        <v>278</v>
      </c>
      <c r="F7" s="322" t="s">
        <v>279</v>
      </c>
      <c r="G7" s="322"/>
      <c r="H7" s="322"/>
      <c r="I7" s="322"/>
      <c r="J7" s="322" t="s">
        <v>280</v>
      </c>
      <c r="K7" s="322"/>
      <c r="L7" s="322"/>
      <c r="M7" s="322"/>
      <c r="N7" s="322" t="s">
        <v>281</v>
      </c>
      <c r="O7" s="324"/>
    </row>
    <row r="8" spans="2:19" ht="90.75" thickBot="1">
      <c r="B8" s="319"/>
      <c r="C8" s="327"/>
      <c r="D8" s="323"/>
      <c r="E8" s="323"/>
      <c r="F8" s="191" t="s">
        <v>282</v>
      </c>
      <c r="G8" s="191" t="s">
        <v>138</v>
      </c>
      <c r="H8" s="191" t="s">
        <v>283</v>
      </c>
      <c r="I8" s="191" t="s">
        <v>284</v>
      </c>
      <c r="J8" s="191" t="s">
        <v>285</v>
      </c>
      <c r="K8" s="191" t="s">
        <v>138</v>
      </c>
      <c r="L8" s="191" t="s">
        <v>286</v>
      </c>
      <c r="M8" s="191" t="s">
        <v>287</v>
      </c>
      <c r="N8" s="191" t="s">
        <v>282</v>
      </c>
      <c r="O8" s="192" t="s">
        <v>284</v>
      </c>
    </row>
    <row r="9" spans="2:19">
      <c r="B9" s="193">
        <v>1</v>
      </c>
      <c r="C9" s="194" t="s">
        <v>483</v>
      </c>
      <c r="D9" s="195">
        <v>1000</v>
      </c>
      <c r="E9" s="196">
        <v>0</v>
      </c>
      <c r="F9" s="197">
        <v>0</v>
      </c>
      <c r="G9" s="198">
        <v>0</v>
      </c>
      <c r="H9" s="197">
        <v>0</v>
      </c>
      <c r="I9" s="199">
        <f>F9+G9-H9</f>
        <v>0</v>
      </c>
      <c r="J9" s="200">
        <v>0</v>
      </c>
      <c r="K9" s="201">
        <f>AVERAGE(F9,I9)*E9</f>
        <v>0</v>
      </c>
      <c r="L9" s="202"/>
      <c r="M9" s="203">
        <f>J9+K9-L9</f>
        <v>0</v>
      </c>
      <c r="N9" s="204">
        <f>F9-J9</f>
        <v>0</v>
      </c>
      <c r="O9" s="204">
        <f>I9-M9</f>
        <v>0</v>
      </c>
      <c r="R9" s="205"/>
      <c r="S9" s="205"/>
    </row>
    <row r="10" spans="2:19">
      <c r="B10" s="206">
        <v>2</v>
      </c>
      <c r="C10" s="207" t="s">
        <v>128</v>
      </c>
      <c r="D10" s="208">
        <v>1100</v>
      </c>
      <c r="E10" s="209">
        <v>3.3399999999999999E-2</v>
      </c>
      <c r="F10" s="210">
        <v>190.780041307</v>
      </c>
      <c r="G10" s="211">
        <v>-0.23</v>
      </c>
      <c r="H10" s="210">
        <v>0</v>
      </c>
      <c r="I10" s="212">
        <f>F10+G10-H10</f>
        <v>190.55004130700001</v>
      </c>
      <c r="J10" s="213">
        <v>116.5670246</v>
      </c>
      <c r="K10" s="214">
        <f t="shared" ref="K10:K11" si="0">AVERAGE(F10,I10)*E10</f>
        <v>6.3682123796538006</v>
      </c>
      <c r="L10" s="215"/>
      <c r="M10" s="216">
        <f t="shared" ref="M10:M11" si="1">J10+K10-L10</f>
        <v>122.93523697965379</v>
      </c>
      <c r="N10" s="212">
        <f t="shared" ref="N10:N11" si="2">F10-J10</f>
        <v>74.213016707000008</v>
      </c>
      <c r="O10" s="212">
        <f t="shared" ref="O10:O12" si="3">I10-M10</f>
        <v>67.614804327346221</v>
      </c>
      <c r="P10" s="205"/>
      <c r="R10" s="205"/>
      <c r="S10" s="205"/>
    </row>
    <row r="11" spans="2:19">
      <c r="B11" s="206">
        <v>3</v>
      </c>
      <c r="C11" s="194" t="s">
        <v>484</v>
      </c>
      <c r="D11" s="208">
        <v>1200</v>
      </c>
      <c r="E11" s="209">
        <v>5.28E-2</v>
      </c>
      <c r="F11" s="210">
        <v>0</v>
      </c>
      <c r="G11" s="211">
        <v>0</v>
      </c>
      <c r="H11" s="210">
        <v>0</v>
      </c>
      <c r="I11" s="212">
        <f t="shared" ref="I11" si="4">F11+G11-H11</f>
        <v>0</v>
      </c>
      <c r="J11" s="213">
        <v>0</v>
      </c>
      <c r="K11" s="214">
        <f t="shared" si="0"/>
        <v>0</v>
      </c>
      <c r="L11" s="215"/>
      <c r="M11" s="216">
        <f t="shared" si="1"/>
        <v>0</v>
      </c>
      <c r="N11" s="212">
        <f t="shared" si="2"/>
        <v>0</v>
      </c>
      <c r="O11" s="212">
        <f t="shared" si="3"/>
        <v>0</v>
      </c>
      <c r="P11" s="205"/>
      <c r="R11" s="205"/>
      <c r="S11" s="205"/>
    </row>
    <row r="12" spans="2:19" ht="18.75" thickBot="1">
      <c r="B12" s="206">
        <v>4</v>
      </c>
      <c r="C12" s="217" t="s">
        <v>127</v>
      </c>
      <c r="D12" s="208">
        <v>1300</v>
      </c>
      <c r="E12" s="218">
        <v>5.28E-2</v>
      </c>
      <c r="F12" s="211">
        <f>2189.965936624-146.96</f>
        <v>2043.0059366239998</v>
      </c>
      <c r="G12" s="211">
        <v>0.1</v>
      </c>
      <c r="H12" s="219">
        <v>0</v>
      </c>
      <c r="I12" s="212">
        <f>F12+G12-H12</f>
        <v>2043.1059366239997</v>
      </c>
      <c r="J12" s="213">
        <f>1594.749603451-149.58</f>
        <v>1445.1696034510001</v>
      </c>
      <c r="K12" s="214">
        <f>AVERAGE(F12,I12)*E12</f>
        <v>107.87335345374719</v>
      </c>
      <c r="L12" s="215"/>
      <c r="M12" s="216">
        <f>J12+K12-L12+0.02</f>
        <v>1553.0629569047471</v>
      </c>
      <c r="N12" s="212">
        <f>F12-J12-0.02</f>
        <v>597.81633317299975</v>
      </c>
      <c r="O12" s="212">
        <f t="shared" si="3"/>
        <v>490.04297971925257</v>
      </c>
      <c r="P12" s="205"/>
      <c r="R12" s="205"/>
      <c r="S12" s="205"/>
    </row>
    <row r="13" spans="2:19">
      <c r="B13" s="193">
        <v>5</v>
      </c>
      <c r="C13" s="217" t="s">
        <v>485</v>
      </c>
      <c r="D13" s="195">
        <v>1400</v>
      </c>
      <c r="E13" s="196">
        <v>5.28E-2</v>
      </c>
      <c r="F13" s="198">
        <v>15.863765349000001</v>
      </c>
      <c r="G13" s="198">
        <v>0</v>
      </c>
      <c r="H13" s="197">
        <v>0</v>
      </c>
      <c r="I13" s="199">
        <f>F13+G13-H13</f>
        <v>15.863765349000001</v>
      </c>
      <c r="J13" s="200">
        <v>2.4452330569999998</v>
      </c>
      <c r="K13" s="201">
        <f>AVERAGE(F13,I13)*E13</f>
        <v>0.83760681042720009</v>
      </c>
      <c r="L13" s="202"/>
      <c r="M13" s="203">
        <f>J13+K13-L13</f>
        <v>3.2828398674271999</v>
      </c>
      <c r="N13" s="204">
        <f>F13-J13</f>
        <v>13.418532292000002</v>
      </c>
      <c r="O13" s="204">
        <f>I13-M13</f>
        <v>12.580925481572802</v>
      </c>
      <c r="P13" s="205"/>
      <c r="R13" s="205"/>
      <c r="S13" s="205"/>
    </row>
    <row r="14" spans="2:19">
      <c r="B14" s="206">
        <v>6</v>
      </c>
      <c r="C14" s="217" t="s">
        <v>486</v>
      </c>
      <c r="D14" s="208">
        <v>1500</v>
      </c>
      <c r="E14" s="209">
        <v>5.28E-2</v>
      </c>
      <c r="F14" s="211">
        <v>178.79276744500001</v>
      </c>
      <c r="G14" s="211">
        <v>0</v>
      </c>
      <c r="H14" s="210">
        <v>0</v>
      </c>
      <c r="I14" s="212">
        <f>F14+G14-H14</f>
        <v>178.79276744500001</v>
      </c>
      <c r="J14" s="213">
        <v>129.87585880099999</v>
      </c>
      <c r="K14" s="214">
        <f t="shared" ref="K14:K16" si="5">AVERAGE(F14,I14)*E14</f>
        <v>9.4402581210960008</v>
      </c>
      <c r="L14" s="215"/>
      <c r="M14" s="216">
        <f t="shared" ref="M14:M16" si="6">J14+K14-L14</f>
        <v>139.316116922096</v>
      </c>
      <c r="N14" s="212">
        <f t="shared" ref="N14:N16" si="7">F14-J14</f>
        <v>48.916908644000017</v>
      </c>
      <c r="O14" s="212">
        <f t="shared" ref="O14:O16" si="8">I14-M14</f>
        <v>39.476650522904009</v>
      </c>
      <c r="P14" s="205"/>
      <c r="R14" s="205"/>
      <c r="S14" s="205"/>
    </row>
    <row r="15" spans="2:19">
      <c r="B15" s="206">
        <v>7</v>
      </c>
      <c r="C15" s="217" t="s">
        <v>487</v>
      </c>
      <c r="D15" s="208">
        <v>1600</v>
      </c>
      <c r="E15" s="209">
        <v>3.3399999999999999E-2</v>
      </c>
      <c r="F15" s="211">
        <v>43.499116899999997</v>
      </c>
      <c r="G15" s="211">
        <v>0</v>
      </c>
      <c r="H15" s="210">
        <v>0</v>
      </c>
      <c r="I15" s="212">
        <f t="shared" ref="I15:I16" si="9">F15+G15-H15</f>
        <v>43.499116899999997</v>
      </c>
      <c r="J15" s="213">
        <v>10.82502433</v>
      </c>
      <c r="K15" s="214">
        <f t="shared" si="5"/>
        <v>1.4528705044599999</v>
      </c>
      <c r="L15" s="215"/>
      <c r="M15" s="216">
        <f t="shared" si="6"/>
        <v>12.27789483446</v>
      </c>
      <c r="N15" s="212">
        <f t="shared" si="7"/>
        <v>32.674092569999999</v>
      </c>
      <c r="O15" s="212">
        <f t="shared" si="8"/>
        <v>31.221222065539997</v>
      </c>
      <c r="P15" s="205"/>
      <c r="R15" s="205"/>
      <c r="S15" s="205"/>
    </row>
    <row r="16" spans="2:19" ht="18.75" thickBot="1">
      <c r="B16" s="206">
        <v>8</v>
      </c>
      <c r="C16" s="217" t="s">
        <v>132</v>
      </c>
      <c r="D16" s="208">
        <v>1700</v>
      </c>
      <c r="E16" s="218">
        <v>9.5000000000000001E-2</v>
      </c>
      <c r="F16" s="211">
        <v>0</v>
      </c>
      <c r="G16" s="211">
        <v>0</v>
      </c>
      <c r="H16" s="219">
        <v>0</v>
      </c>
      <c r="I16" s="212">
        <f t="shared" si="9"/>
        <v>0</v>
      </c>
      <c r="J16" s="213">
        <v>0</v>
      </c>
      <c r="K16" s="214">
        <f t="shared" si="5"/>
        <v>0</v>
      </c>
      <c r="L16" s="215"/>
      <c r="M16" s="216">
        <f t="shared" si="6"/>
        <v>0</v>
      </c>
      <c r="N16" s="212">
        <f t="shared" si="7"/>
        <v>0</v>
      </c>
      <c r="O16" s="212">
        <f t="shared" si="8"/>
        <v>0</v>
      </c>
      <c r="P16" s="205"/>
      <c r="R16" s="205"/>
      <c r="S16" s="205"/>
    </row>
    <row r="17" spans="2:19" ht="36">
      <c r="B17" s="193">
        <v>9</v>
      </c>
      <c r="C17" s="217" t="s">
        <v>488</v>
      </c>
      <c r="D17" s="195">
        <v>1800</v>
      </c>
      <c r="E17" s="196">
        <v>6.3299999999999995E-2</v>
      </c>
      <c r="F17" s="198">
        <v>0.62053437499999997</v>
      </c>
      <c r="G17" s="198">
        <v>0</v>
      </c>
      <c r="H17" s="197">
        <v>0</v>
      </c>
      <c r="I17" s="199">
        <f>F17+G17-H17</f>
        <v>0.62053437499999997</v>
      </c>
      <c r="J17" s="200">
        <v>0.53526674400000007</v>
      </c>
      <c r="K17" s="201">
        <f>AVERAGE(F17,I17)*E17</f>
        <v>3.9279825937499999E-2</v>
      </c>
      <c r="L17" s="202"/>
      <c r="M17" s="203">
        <f>J17+K17-L17</f>
        <v>0.57454656993750008</v>
      </c>
      <c r="N17" s="204">
        <f>F17-J17</f>
        <v>8.5267630999999899E-2</v>
      </c>
      <c r="O17" s="204">
        <f>I17-M17</f>
        <v>4.5987805062499887E-2</v>
      </c>
      <c r="P17" s="205"/>
      <c r="R17" s="205"/>
      <c r="S17" s="205"/>
    </row>
    <row r="18" spans="2:19">
      <c r="B18" s="206">
        <v>10</v>
      </c>
      <c r="C18" s="217" t="s">
        <v>489</v>
      </c>
      <c r="D18" s="208">
        <v>1900</v>
      </c>
      <c r="E18" s="209">
        <v>0.15</v>
      </c>
      <c r="F18" s="211">
        <v>0.69570474299999996</v>
      </c>
      <c r="G18" s="211">
        <v>0</v>
      </c>
      <c r="H18" s="210">
        <v>0</v>
      </c>
      <c r="I18" s="212">
        <f>F18+G18-H18</f>
        <v>0.69570474299999996</v>
      </c>
      <c r="J18" s="213">
        <v>0.48358756500000005</v>
      </c>
      <c r="K18" s="214">
        <f t="shared" ref="K18:K20" si="10">AVERAGE(F18,I18)*E18</f>
        <v>0.10435571144999999</v>
      </c>
      <c r="L18" s="215"/>
      <c r="M18" s="216">
        <f t="shared" ref="M18:M19" si="11">J18+K18-L18</f>
        <v>0.58794327645</v>
      </c>
      <c r="N18" s="212">
        <f t="shared" ref="N18:N19" si="12">F18-J18</f>
        <v>0.21211717799999991</v>
      </c>
      <c r="O18" s="212">
        <f t="shared" ref="O18:O20" si="13">I18-M18</f>
        <v>0.10776146654999996</v>
      </c>
      <c r="P18" s="205"/>
      <c r="R18" s="205"/>
      <c r="S18" s="205"/>
    </row>
    <row r="19" spans="2:19">
      <c r="B19" s="206">
        <v>11</v>
      </c>
      <c r="C19" s="217" t="s">
        <v>134</v>
      </c>
      <c r="D19" s="208">
        <v>2100</v>
      </c>
      <c r="E19" s="209">
        <v>6.3299999999999995E-2</v>
      </c>
      <c r="F19" s="211">
        <v>0.106789704</v>
      </c>
      <c r="G19" s="211">
        <v>0</v>
      </c>
      <c r="H19" s="210">
        <v>0</v>
      </c>
      <c r="I19" s="212">
        <f t="shared" ref="I19:I20" si="14">F19+G19-H19</f>
        <v>0.106789704</v>
      </c>
      <c r="J19" s="213">
        <v>8.7608803999999998E-2</v>
      </c>
      <c r="K19" s="214">
        <f t="shared" si="10"/>
        <v>6.7597882631999992E-3</v>
      </c>
      <c r="L19" s="215"/>
      <c r="M19" s="216">
        <f t="shared" si="11"/>
        <v>9.4368592263199991E-2</v>
      </c>
      <c r="N19" s="212">
        <f t="shared" si="12"/>
        <v>1.9180900000000001E-2</v>
      </c>
      <c r="O19" s="212">
        <f t="shared" si="13"/>
        <v>1.2421111736800008E-2</v>
      </c>
      <c r="P19" s="205"/>
      <c r="R19" s="205"/>
      <c r="S19" s="205"/>
    </row>
    <row r="20" spans="2:19">
      <c r="B20" s="206"/>
      <c r="C20" s="217" t="s">
        <v>490</v>
      </c>
      <c r="D20" s="208">
        <v>2200</v>
      </c>
      <c r="E20" s="218">
        <v>0.15</v>
      </c>
      <c r="F20" s="211"/>
      <c r="G20" s="211">
        <v>0</v>
      </c>
      <c r="H20" s="219">
        <v>0</v>
      </c>
      <c r="I20" s="212">
        <f t="shared" si="14"/>
        <v>0</v>
      </c>
      <c r="J20" s="213">
        <v>1.8204499999999998E-2</v>
      </c>
      <c r="K20" s="214">
        <f t="shared" si="10"/>
        <v>0</v>
      </c>
      <c r="L20" s="215"/>
      <c r="M20" s="216"/>
      <c r="N20" s="212"/>
      <c r="O20" s="216">
        <f t="shared" si="13"/>
        <v>0</v>
      </c>
      <c r="P20" s="220"/>
      <c r="R20" s="205"/>
      <c r="S20" s="205"/>
    </row>
    <row r="21" spans="2:19">
      <c r="B21" s="244"/>
      <c r="C21" s="245" t="s">
        <v>139</v>
      </c>
      <c r="D21" s="246"/>
      <c r="E21" s="247">
        <v>5.0993698343942469E-2</v>
      </c>
      <c r="F21" s="248">
        <v>2473.364656447</v>
      </c>
      <c r="G21" s="248">
        <v>-0.13</v>
      </c>
      <c r="H21" s="249">
        <v>0</v>
      </c>
      <c r="I21" s="250">
        <v>2473.2346564469999</v>
      </c>
      <c r="J21" s="251">
        <v>1706.0074118519999</v>
      </c>
      <c r="K21" s="252">
        <v>126.12269659503487</v>
      </c>
      <c r="L21" s="253">
        <v>0</v>
      </c>
      <c r="M21" s="254">
        <v>1832.1301084470347</v>
      </c>
      <c r="N21" s="250">
        <v>767.35724459500011</v>
      </c>
      <c r="O21" s="254">
        <v>641.10454799996523</v>
      </c>
      <c r="P21" s="255"/>
      <c r="R21" s="205"/>
      <c r="S21" s="205"/>
    </row>
    <row r="22" spans="2:19" ht="18.75" thickBot="1">
      <c r="B22" s="221"/>
      <c r="C22" s="222" t="s">
        <v>139</v>
      </c>
      <c r="D22" s="222"/>
      <c r="E22" s="223">
        <f>IFERROR((K22-L22)/AVERAGE(F22,I22),0)</f>
        <v>5.0992704064820413E-2</v>
      </c>
      <c r="F22" s="224">
        <f>ROUND(SUM(F9:F20),2)</f>
        <v>2473.36</v>
      </c>
      <c r="G22" s="224">
        <f t="shared" ref="G22:O22" si="15">ROUND(SUM(G9:G20),2)</f>
        <v>-0.13</v>
      </c>
      <c r="H22" s="224">
        <f t="shared" si="15"/>
        <v>0</v>
      </c>
      <c r="I22" s="224">
        <f t="shared" si="15"/>
        <v>2473.23</v>
      </c>
      <c r="J22" s="224">
        <f t="shared" si="15"/>
        <v>1706.01</v>
      </c>
      <c r="K22" s="224">
        <f t="shared" si="15"/>
        <v>126.12</v>
      </c>
      <c r="L22" s="224">
        <f t="shared" si="15"/>
        <v>0</v>
      </c>
      <c r="M22" s="224">
        <f t="shared" si="15"/>
        <v>1832.13</v>
      </c>
      <c r="N22" s="224">
        <f t="shared" si="15"/>
        <v>767.36</v>
      </c>
      <c r="O22" s="224">
        <f t="shared" si="15"/>
        <v>641.1</v>
      </c>
      <c r="P22" s="205"/>
      <c r="Q22" s="205"/>
      <c r="R22" s="205"/>
      <c r="S22" s="205"/>
    </row>
    <row r="23" spans="2:19" ht="6" customHeight="1" thickBot="1">
      <c r="M23" s="205"/>
      <c r="N23" s="205"/>
    </row>
    <row r="24" spans="2:19">
      <c r="B24" s="315" t="s">
        <v>468</v>
      </c>
      <c r="C24" s="316"/>
      <c r="D24" s="316"/>
      <c r="E24" s="316"/>
      <c r="F24" s="316"/>
      <c r="G24" s="316"/>
      <c r="H24" s="316"/>
      <c r="I24" s="316"/>
      <c r="J24" s="316"/>
      <c r="K24" s="316"/>
      <c r="L24" s="316"/>
      <c r="M24" s="316"/>
      <c r="N24" s="316"/>
      <c r="O24" s="317"/>
    </row>
    <row r="25" spans="2:19" ht="14.25" customHeight="1">
      <c r="B25" s="318" t="s">
        <v>2</v>
      </c>
      <c r="C25" s="320" t="s">
        <v>289</v>
      </c>
      <c r="D25" s="322" t="s">
        <v>277</v>
      </c>
      <c r="E25" s="322" t="s">
        <v>278</v>
      </c>
      <c r="F25" s="322" t="s">
        <v>279</v>
      </c>
      <c r="G25" s="322"/>
      <c r="H25" s="322"/>
      <c r="I25" s="322"/>
      <c r="J25" s="322" t="s">
        <v>280</v>
      </c>
      <c r="K25" s="322"/>
      <c r="L25" s="322"/>
      <c r="M25" s="322"/>
      <c r="N25" s="322" t="s">
        <v>281</v>
      </c>
      <c r="O25" s="324"/>
    </row>
    <row r="26" spans="2:19" ht="84.75" customHeight="1" thickBot="1">
      <c r="B26" s="319"/>
      <c r="C26" s="321"/>
      <c r="D26" s="323"/>
      <c r="E26" s="323"/>
      <c r="F26" s="191" t="s">
        <v>282</v>
      </c>
      <c r="G26" s="191" t="s">
        <v>138</v>
      </c>
      <c r="H26" s="191" t="s">
        <v>283</v>
      </c>
      <c r="I26" s="191" t="s">
        <v>284</v>
      </c>
      <c r="J26" s="191" t="s">
        <v>285</v>
      </c>
      <c r="K26" s="191" t="s">
        <v>138</v>
      </c>
      <c r="L26" s="191" t="s">
        <v>286</v>
      </c>
      <c r="M26" s="191" t="s">
        <v>287</v>
      </c>
      <c r="N26" s="191" t="s">
        <v>282</v>
      </c>
      <c r="O26" s="192" t="s">
        <v>284</v>
      </c>
    </row>
    <row r="27" spans="2:19" ht="18.75" thickBot="1">
      <c r="B27" s="193">
        <v>1</v>
      </c>
      <c r="C27" s="225" t="s">
        <v>483</v>
      </c>
      <c r="D27" s="195">
        <v>1000</v>
      </c>
      <c r="E27" s="196">
        <v>0</v>
      </c>
      <c r="F27" s="199">
        <f>I9</f>
        <v>0</v>
      </c>
      <c r="G27" s="198"/>
      <c r="H27" s="197"/>
      <c r="I27" s="199">
        <f>F27+G27-H27</f>
        <v>0</v>
      </c>
      <c r="J27" s="200">
        <f t="shared" ref="J27:J37" si="16">M9</f>
        <v>0</v>
      </c>
      <c r="K27" s="201">
        <f>AVERAGE(F27,I27)*E27</f>
        <v>0</v>
      </c>
      <c r="L27" s="202"/>
      <c r="M27" s="203">
        <f>J27+K27-L27</f>
        <v>0</v>
      </c>
      <c r="N27" s="204">
        <f>F27-J27</f>
        <v>0</v>
      </c>
      <c r="O27" s="204">
        <f>I27-M27</f>
        <v>0</v>
      </c>
    </row>
    <row r="28" spans="2:19" ht="18.75" thickBot="1">
      <c r="B28" s="206">
        <v>2</v>
      </c>
      <c r="C28" s="207" t="s">
        <v>128</v>
      </c>
      <c r="D28" s="208">
        <v>1100</v>
      </c>
      <c r="E28" s="209">
        <v>3.3399999999999999E-2</v>
      </c>
      <c r="F28" s="199">
        <f>I10</f>
        <v>190.55004130700001</v>
      </c>
      <c r="G28" s="211"/>
      <c r="H28" s="210"/>
      <c r="I28" s="212">
        <f>F28+G28-H28</f>
        <v>190.55004130700001</v>
      </c>
      <c r="J28" s="200">
        <f t="shared" si="16"/>
        <v>122.93523697965379</v>
      </c>
      <c r="K28" s="214">
        <f t="shared" ref="K28:K29" si="17">AVERAGE(F28,I28)*E28</f>
        <v>6.3643713796538002</v>
      </c>
      <c r="L28" s="215"/>
      <c r="M28" s="216">
        <f t="shared" ref="M28:M29" si="18">J28+K28-L28</f>
        <v>129.2996083593076</v>
      </c>
      <c r="N28" s="212">
        <f t="shared" ref="N28:N30" si="19">F28-J28</f>
        <v>67.614804327346221</v>
      </c>
      <c r="O28" s="212">
        <f t="shared" ref="O28:O30" si="20">I28-M28</f>
        <v>61.250432947692417</v>
      </c>
    </row>
    <row r="29" spans="2:19" ht="18.75" thickBot="1">
      <c r="B29" s="206">
        <v>3</v>
      </c>
      <c r="C29" s="194" t="s">
        <v>484</v>
      </c>
      <c r="D29" s="208">
        <v>1200</v>
      </c>
      <c r="E29" s="209">
        <v>5.28E-2</v>
      </c>
      <c r="F29" s="199">
        <f>I11</f>
        <v>0</v>
      </c>
      <c r="G29" s="211"/>
      <c r="H29" s="210"/>
      <c r="I29" s="212">
        <f t="shared" ref="I29:I30" si="21">F29+G29-H29</f>
        <v>0</v>
      </c>
      <c r="J29" s="200">
        <f t="shared" si="16"/>
        <v>0</v>
      </c>
      <c r="K29" s="214">
        <f t="shared" si="17"/>
        <v>0</v>
      </c>
      <c r="L29" s="215"/>
      <c r="M29" s="216">
        <f t="shared" si="18"/>
        <v>0</v>
      </c>
      <c r="N29" s="212">
        <f t="shared" si="19"/>
        <v>0</v>
      </c>
      <c r="O29" s="212">
        <f t="shared" si="20"/>
        <v>0</v>
      </c>
    </row>
    <row r="30" spans="2:19" ht="18.75" thickBot="1">
      <c r="B30" s="206">
        <v>4</v>
      </c>
      <c r="C30" s="194" t="s">
        <v>127</v>
      </c>
      <c r="D30" s="208">
        <v>1300</v>
      </c>
      <c r="E30" s="218">
        <v>5.28E-2</v>
      </c>
      <c r="F30" s="199">
        <f>I12-0.004656447</f>
        <v>2043.1012801769998</v>
      </c>
      <c r="G30" s="211"/>
      <c r="H30" s="219"/>
      <c r="I30" s="212">
        <f t="shared" si="21"/>
        <v>2043.1012801769998</v>
      </c>
      <c r="J30" s="200">
        <f t="shared" si="16"/>
        <v>1553.0629569047471</v>
      </c>
      <c r="K30" s="214">
        <f>AVERAGE(F30,I30)*E30</f>
        <v>107.87574759334559</v>
      </c>
      <c r="L30" s="215"/>
      <c r="M30" s="226">
        <f>J30+K30-L30</f>
        <v>1660.9387044980926</v>
      </c>
      <c r="N30" s="212">
        <f t="shared" si="19"/>
        <v>490.03832327225268</v>
      </c>
      <c r="O30" s="212">
        <f t="shared" si="20"/>
        <v>382.16257567890716</v>
      </c>
    </row>
    <row r="31" spans="2:19" ht="18.75" thickBot="1">
      <c r="B31" s="193">
        <v>5</v>
      </c>
      <c r="C31" s="225" t="s">
        <v>485</v>
      </c>
      <c r="D31" s="195">
        <v>1400</v>
      </c>
      <c r="E31" s="196">
        <v>5.28E-2</v>
      </c>
      <c r="F31" s="199">
        <f t="shared" ref="F31:F37" si="22">I13</f>
        <v>15.863765349000001</v>
      </c>
      <c r="G31" s="198"/>
      <c r="H31" s="197"/>
      <c r="I31" s="199">
        <f>F31+G31-H31</f>
        <v>15.863765349000001</v>
      </c>
      <c r="J31" s="200">
        <f t="shared" si="16"/>
        <v>3.2828398674271999</v>
      </c>
      <c r="K31" s="201">
        <f>AVERAGE(F31,I31)*E31</f>
        <v>0.83760681042720009</v>
      </c>
      <c r="L31" s="202"/>
      <c r="M31" s="203">
        <f>J31+K31-L31</f>
        <v>4.1204466778543996</v>
      </c>
      <c r="N31" s="204">
        <f>F31-J31</f>
        <v>12.580925481572802</v>
      </c>
      <c r="O31" s="204">
        <f>I31-M31</f>
        <v>11.743318671145602</v>
      </c>
    </row>
    <row r="32" spans="2:19" ht="18.75" thickBot="1">
      <c r="B32" s="206">
        <v>6</v>
      </c>
      <c r="C32" s="207" t="s">
        <v>486</v>
      </c>
      <c r="D32" s="208">
        <v>1500</v>
      </c>
      <c r="E32" s="209">
        <v>5.28E-2</v>
      </c>
      <c r="F32" s="199">
        <f t="shared" si="22"/>
        <v>178.79276744500001</v>
      </c>
      <c r="G32" s="211"/>
      <c r="H32" s="210"/>
      <c r="I32" s="212">
        <f>F32+G32-H32</f>
        <v>178.79276744500001</v>
      </c>
      <c r="J32" s="200">
        <f t="shared" si="16"/>
        <v>139.316116922096</v>
      </c>
      <c r="K32" s="214">
        <f t="shared" ref="K32:K34" si="23">AVERAGE(F32,I32)*E32</f>
        <v>9.4402581210960008</v>
      </c>
      <c r="L32" s="215"/>
      <c r="M32" s="216">
        <f t="shared" ref="M32:M34" si="24">J32+K32-L32</f>
        <v>148.75637504319201</v>
      </c>
      <c r="N32" s="212">
        <f t="shared" ref="N32:N34" si="25">F32-J32</f>
        <v>39.476650522904009</v>
      </c>
      <c r="O32" s="212">
        <f t="shared" ref="O32:O34" si="26">I32-M32</f>
        <v>30.036392401808001</v>
      </c>
    </row>
    <row r="33" spans="2:15" ht="18.75" thickBot="1">
      <c r="B33" s="206">
        <v>7</v>
      </c>
      <c r="C33" s="194" t="s">
        <v>487</v>
      </c>
      <c r="D33" s="208">
        <v>1600</v>
      </c>
      <c r="E33" s="209">
        <v>3.3399999999999999E-2</v>
      </c>
      <c r="F33" s="199">
        <f t="shared" si="22"/>
        <v>43.499116899999997</v>
      </c>
      <c r="G33" s="211"/>
      <c r="H33" s="210"/>
      <c r="I33" s="212">
        <f t="shared" ref="I33:I34" si="27">F33+G33-H33</f>
        <v>43.499116899999997</v>
      </c>
      <c r="J33" s="200">
        <f t="shared" si="16"/>
        <v>12.27789483446</v>
      </c>
      <c r="K33" s="214">
        <f t="shared" si="23"/>
        <v>1.4528705044599999</v>
      </c>
      <c r="L33" s="215"/>
      <c r="M33" s="216">
        <f t="shared" si="24"/>
        <v>13.73076533892</v>
      </c>
      <c r="N33" s="212">
        <f t="shared" si="25"/>
        <v>31.221222065539997</v>
      </c>
      <c r="O33" s="212">
        <f t="shared" si="26"/>
        <v>29.768351561079996</v>
      </c>
    </row>
    <row r="34" spans="2:15" ht="18.75" thickBot="1">
      <c r="B34" s="206">
        <v>8</v>
      </c>
      <c r="C34" s="194" t="s">
        <v>132</v>
      </c>
      <c r="D34" s="208">
        <v>1700</v>
      </c>
      <c r="E34" s="218">
        <v>9.5000000000000001E-2</v>
      </c>
      <c r="F34" s="199">
        <f t="shared" si="22"/>
        <v>0</v>
      </c>
      <c r="G34" s="211"/>
      <c r="H34" s="219"/>
      <c r="I34" s="212">
        <f t="shared" si="27"/>
        <v>0</v>
      </c>
      <c r="J34" s="200">
        <f t="shared" si="16"/>
        <v>0</v>
      </c>
      <c r="K34" s="214">
        <f t="shared" si="23"/>
        <v>0</v>
      </c>
      <c r="L34" s="215"/>
      <c r="M34" s="216">
        <f t="shared" si="24"/>
        <v>0</v>
      </c>
      <c r="N34" s="212">
        <f t="shared" si="25"/>
        <v>0</v>
      </c>
      <c r="O34" s="212">
        <f t="shared" si="26"/>
        <v>0</v>
      </c>
    </row>
    <row r="35" spans="2:15" ht="18.75" thickBot="1">
      <c r="B35" s="193">
        <v>9</v>
      </c>
      <c r="C35" s="225" t="s">
        <v>488</v>
      </c>
      <c r="D35" s="195">
        <v>1800</v>
      </c>
      <c r="E35" s="196">
        <v>6.3299999999999995E-2</v>
      </c>
      <c r="F35" s="199">
        <f t="shared" si="22"/>
        <v>0.62053437499999997</v>
      </c>
      <c r="G35" s="198"/>
      <c r="H35" s="197"/>
      <c r="I35" s="199">
        <f>F35+G35-H35</f>
        <v>0.62053437499999997</v>
      </c>
      <c r="J35" s="200">
        <f t="shared" si="16"/>
        <v>0.57454656993750008</v>
      </c>
      <c r="K35" s="201">
        <f>AVERAGE(F35,I35)*E35</f>
        <v>3.9279825937499999E-2</v>
      </c>
      <c r="L35" s="202"/>
      <c r="M35" s="203">
        <f>J35+K35-L35</f>
        <v>0.6138263958750001</v>
      </c>
      <c r="N35" s="204">
        <f>F35-J35</f>
        <v>4.5987805062499887E-2</v>
      </c>
      <c r="O35" s="204">
        <f>I35-M35</f>
        <v>6.7079791249998744E-3</v>
      </c>
    </row>
    <row r="36" spans="2:15" ht="18.75" thickBot="1">
      <c r="B36" s="206">
        <v>10</v>
      </c>
      <c r="C36" s="207" t="s">
        <v>489</v>
      </c>
      <c r="D36" s="208">
        <v>1900</v>
      </c>
      <c r="E36" s="209">
        <v>0.15</v>
      </c>
      <c r="F36" s="199">
        <f t="shared" si="22"/>
        <v>0.69570474299999996</v>
      </c>
      <c r="G36" s="211"/>
      <c r="H36" s="210"/>
      <c r="I36" s="212">
        <f>F36+G36-H36</f>
        <v>0.69570474299999996</v>
      </c>
      <c r="J36" s="200">
        <f t="shared" si="16"/>
        <v>0.58794327645</v>
      </c>
      <c r="K36" s="214">
        <f t="shared" ref="K36:K37" si="28">AVERAGE(F36,I36)*E36</f>
        <v>0.10435571144999999</v>
      </c>
      <c r="L36" s="215"/>
      <c r="M36" s="216">
        <f t="shared" ref="M36:M37" si="29">J36+K36-L36</f>
        <v>0.6922989879</v>
      </c>
      <c r="N36" s="212">
        <f t="shared" ref="N36:N37" si="30">F36-J36</f>
        <v>0.10776146654999996</v>
      </c>
      <c r="O36" s="212">
        <f t="shared" ref="O36:O37" si="31">I36-M36</f>
        <v>3.4057550999999631E-3</v>
      </c>
    </row>
    <row r="37" spans="2:15" ht="18.75" thickBot="1">
      <c r="B37" s="206">
        <v>11</v>
      </c>
      <c r="C37" s="194" t="s">
        <v>134</v>
      </c>
      <c r="D37" s="208">
        <v>2100</v>
      </c>
      <c r="E37" s="209">
        <v>6.3299999999999995E-2</v>
      </c>
      <c r="F37" s="199">
        <f t="shared" si="22"/>
        <v>0.106789704</v>
      </c>
      <c r="G37" s="211"/>
      <c r="H37" s="210"/>
      <c r="I37" s="212">
        <f t="shared" ref="I37" si="32">F37+G37-H37</f>
        <v>0.106789704</v>
      </c>
      <c r="J37" s="200">
        <f t="shared" si="16"/>
        <v>9.4368592263199991E-2</v>
      </c>
      <c r="K37" s="214">
        <f t="shared" si="28"/>
        <v>6.7597882631999992E-3</v>
      </c>
      <c r="L37" s="215"/>
      <c r="M37" s="216">
        <f t="shared" si="29"/>
        <v>0.1011283805264</v>
      </c>
      <c r="N37" s="212">
        <f t="shared" si="30"/>
        <v>1.2421111736800008E-2</v>
      </c>
      <c r="O37" s="212">
        <f t="shared" si="31"/>
        <v>5.6613234736000023E-3</v>
      </c>
    </row>
    <row r="38" spans="2:15" ht="18.75" thickBot="1">
      <c r="B38" s="206"/>
      <c r="C38" s="194" t="s">
        <v>490</v>
      </c>
      <c r="D38" s="208">
        <v>2200</v>
      </c>
      <c r="E38" s="218">
        <v>0</v>
      </c>
      <c r="F38" s="199">
        <v>0</v>
      </c>
      <c r="G38" s="211"/>
      <c r="H38" s="219"/>
      <c r="I38" s="212"/>
      <c r="J38" s="200">
        <f>M20</f>
        <v>0</v>
      </c>
      <c r="K38" s="214"/>
      <c r="L38" s="215"/>
      <c r="M38" s="216"/>
      <c r="N38" s="212"/>
      <c r="O38" s="212"/>
    </row>
    <row r="39" spans="2:15">
      <c r="B39" s="206"/>
      <c r="C39" s="194"/>
      <c r="D39" s="208"/>
      <c r="E39" s="209"/>
      <c r="F39" s="199">
        <f>ROUND(SUM(F27:F37),2)</f>
        <v>2473.23</v>
      </c>
      <c r="G39" s="199">
        <f t="shared" ref="G39:O39" si="33">ROUND(SUM(G27:G37),2)</f>
        <v>0</v>
      </c>
      <c r="H39" s="199">
        <f t="shared" si="33"/>
        <v>0</v>
      </c>
      <c r="I39" s="199">
        <f t="shared" si="33"/>
        <v>2473.23</v>
      </c>
      <c r="J39" s="199">
        <f t="shared" si="33"/>
        <v>1832.13</v>
      </c>
      <c r="K39" s="199">
        <f t="shared" si="33"/>
        <v>126.12</v>
      </c>
      <c r="L39" s="199">
        <f t="shared" si="33"/>
        <v>0</v>
      </c>
      <c r="M39" s="199">
        <f t="shared" si="33"/>
        <v>1958.25</v>
      </c>
      <c r="N39" s="199">
        <f t="shared" si="33"/>
        <v>641.1</v>
      </c>
      <c r="O39" s="199">
        <f t="shared" si="33"/>
        <v>514.98</v>
      </c>
    </row>
    <row r="40" spans="2:15" ht="18.75" thickBot="1">
      <c r="B40" s="221"/>
      <c r="C40" s="222" t="s">
        <v>139</v>
      </c>
      <c r="D40" s="222"/>
      <c r="E40" s="223">
        <f>IFERROR((K40-L40)/AVERAGE(F40,I40),0)</f>
        <v>5.099404422556738E-2</v>
      </c>
      <c r="F40" s="224">
        <f>I22</f>
        <v>2473.23</v>
      </c>
      <c r="G40" s="224">
        <v>0</v>
      </c>
      <c r="H40" s="224">
        <v>0</v>
      </c>
      <c r="I40" s="224">
        <f>F40+G40-H40</f>
        <v>2473.23</v>
      </c>
      <c r="J40" s="224">
        <f>M22</f>
        <v>1832.13</v>
      </c>
      <c r="K40" s="224">
        <f>ROUND(SUM(K27:K37),2)</f>
        <v>126.12</v>
      </c>
      <c r="L40" s="224">
        <f>SUM(L27:L39)</f>
        <v>0</v>
      </c>
      <c r="M40" s="224">
        <f>J40+K40</f>
        <v>1958.25</v>
      </c>
      <c r="N40" s="224">
        <f>F40-J40</f>
        <v>641.09999999999991</v>
      </c>
      <c r="O40" s="224">
        <f>I40-M40</f>
        <v>514.98</v>
      </c>
    </row>
    <row r="41" spans="2:15" ht="18.75" thickBot="1">
      <c r="G41" s="205"/>
    </row>
    <row r="42" spans="2:15">
      <c r="B42" s="315" t="s">
        <v>469</v>
      </c>
      <c r="C42" s="316"/>
      <c r="D42" s="316"/>
      <c r="E42" s="316"/>
      <c r="F42" s="316"/>
      <c r="G42" s="316"/>
      <c r="H42" s="316"/>
      <c r="I42" s="316"/>
      <c r="J42" s="316"/>
      <c r="K42" s="316"/>
      <c r="L42" s="316"/>
      <c r="M42" s="316"/>
      <c r="N42" s="316"/>
      <c r="O42" s="317"/>
    </row>
    <row r="43" spans="2:15">
      <c r="B43" s="318" t="s">
        <v>2</v>
      </c>
      <c r="C43" s="320" t="s">
        <v>289</v>
      </c>
      <c r="D43" s="322" t="s">
        <v>277</v>
      </c>
      <c r="E43" s="322" t="s">
        <v>278</v>
      </c>
      <c r="F43" s="322" t="s">
        <v>279</v>
      </c>
      <c r="G43" s="322"/>
      <c r="H43" s="322"/>
      <c r="I43" s="322"/>
      <c r="J43" s="322" t="s">
        <v>280</v>
      </c>
      <c r="K43" s="322"/>
      <c r="L43" s="322"/>
      <c r="M43" s="322"/>
      <c r="N43" s="322" t="s">
        <v>281</v>
      </c>
      <c r="O43" s="324"/>
    </row>
    <row r="44" spans="2:15" ht="90.75" thickBot="1">
      <c r="B44" s="319"/>
      <c r="C44" s="321"/>
      <c r="D44" s="323"/>
      <c r="E44" s="323"/>
      <c r="F44" s="191" t="s">
        <v>282</v>
      </c>
      <c r="G44" s="191" t="s">
        <v>138</v>
      </c>
      <c r="H44" s="191" t="s">
        <v>283</v>
      </c>
      <c r="I44" s="191" t="s">
        <v>284</v>
      </c>
      <c r="J44" s="191" t="s">
        <v>285</v>
      </c>
      <c r="K44" s="191" t="s">
        <v>138</v>
      </c>
      <c r="L44" s="191" t="s">
        <v>286</v>
      </c>
      <c r="M44" s="191" t="s">
        <v>287</v>
      </c>
      <c r="N44" s="191" t="s">
        <v>282</v>
      </c>
      <c r="O44" s="192" t="s">
        <v>284</v>
      </c>
    </row>
    <row r="45" spans="2:15" ht="18.75" thickBot="1">
      <c r="B45" s="193">
        <v>1</v>
      </c>
      <c r="C45" s="194" t="s">
        <v>483</v>
      </c>
      <c r="D45" s="195">
        <v>1000</v>
      </c>
      <c r="E45" s="196">
        <v>0</v>
      </c>
      <c r="F45" s="199">
        <f t="shared" ref="F45:F55" si="34">I27</f>
        <v>0</v>
      </c>
      <c r="G45" s="198"/>
      <c r="H45" s="197"/>
      <c r="I45" s="199">
        <f>F45+G45-H45</f>
        <v>0</v>
      </c>
      <c r="J45" s="200">
        <f t="shared" ref="J45:J55" si="35">M27</f>
        <v>0</v>
      </c>
      <c r="K45" s="201"/>
      <c r="L45" s="202"/>
      <c r="M45" s="203">
        <f>J45+K45-L45</f>
        <v>0</v>
      </c>
      <c r="N45" s="204">
        <f>F45-J45</f>
        <v>0</v>
      </c>
      <c r="O45" s="204">
        <f>I45-M45</f>
        <v>0</v>
      </c>
    </row>
    <row r="46" spans="2:15" ht="18.75" thickBot="1">
      <c r="B46" s="206">
        <v>2</v>
      </c>
      <c r="C46" s="207" t="s">
        <v>128</v>
      </c>
      <c r="D46" s="208">
        <v>1100</v>
      </c>
      <c r="E46" s="209">
        <v>3.3399999999999999E-2</v>
      </c>
      <c r="F46" s="212">
        <f t="shared" si="34"/>
        <v>190.55004130700001</v>
      </c>
      <c r="G46" s="211"/>
      <c r="H46" s="210"/>
      <c r="I46" s="212">
        <f>F46+G46-H46</f>
        <v>190.55004130700001</v>
      </c>
      <c r="J46" s="200">
        <f t="shared" si="35"/>
        <v>129.2996083593076</v>
      </c>
      <c r="K46" s="214"/>
      <c r="L46" s="215"/>
      <c r="M46" s="216">
        <f t="shared" ref="M46:M48" si="36">J46+K46-L46</f>
        <v>129.2996083593076</v>
      </c>
      <c r="N46" s="212">
        <f t="shared" ref="N46:N48" si="37">F46-J46</f>
        <v>61.250432947692417</v>
      </c>
      <c r="O46" s="212">
        <f t="shared" ref="O46:O48" si="38">I46-M46</f>
        <v>61.250432947692417</v>
      </c>
    </row>
    <row r="47" spans="2:15" ht="18.75" thickBot="1">
      <c r="B47" s="206">
        <v>3</v>
      </c>
      <c r="C47" s="194" t="s">
        <v>484</v>
      </c>
      <c r="D47" s="208">
        <v>1200</v>
      </c>
      <c r="E47" s="209">
        <v>5.28E-2</v>
      </c>
      <c r="F47" s="212">
        <f t="shared" si="34"/>
        <v>0</v>
      </c>
      <c r="G47" s="211"/>
      <c r="H47" s="210"/>
      <c r="I47" s="212">
        <f t="shared" ref="I47:I48" si="39">F47+G47-H47</f>
        <v>0</v>
      </c>
      <c r="J47" s="200">
        <f t="shared" si="35"/>
        <v>0</v>
      </c>
      <c r="K47" s="214"/>
      <c r="L47" s="215"/>
      <c r="M47" s="216">
        <f t="shared" si="36"/>
        <v>0</v>
      </c>
      <c r="N47" s="212">
        <f t="shared" si="37"/>
        <v>0</v>
      </c>
      <c r="O47" s="212">
        <f t="shared" si="38"/>
        <v>0</v>
      </c>
    </row>
    <row r="48" spans="2:15" ht="18.75" thickBot="1">
      <c r="B48" s="206">
        <v>4</v>
      </c>
      <c r="C48" s="217" t="s">
        <v>127</v>
      </c>
      <c r="D48" s="208">
        <v>1300</v>
      </c>
      <c r="E48" s="218">
        <v>5.28E-2</v>
      </c>
      <c r="F48" s="212">
        <f t="shared" si="34"/>
        <v>2043.1012801769998</v>
      </c>
      <c r="G48" s="211"/>
      <c r="H48" s="219"/>
      <c r="I48" s="212">
        <f t="shared" si="39"/>
        <v>2043.1012801769998</v>
      </c>
      <c r="J48" s="200">
        <f t="shared" si="35"/>
        <v>1660.9387044980926</v>
      </c>
      <c r="K48" s="214">
        <v>22.304620051794341</v>
      </c>
      <c r="L48" s="215"/>
      <c r="M48" s="216">
        <f t="shared" si="36"/>
        <v>1683.2433245498869</v>
      </c>
      <c r="N48" s="212">
        <f t="shared" si="37"/>
        <v>382.16257567890716</v>
      </c>
      <c r="O48" s="212">
        <f t="shared" si="38"/>
        <v>359.85795562711291</v>
      </c>
    </row>
    <row r="49" spans="2:15" ht="18.75" thickBot="1">
      <c r="B49" s="193">
        <v>5</v>
      </c>
      <c r="C49" s="217" t="s">
        <v>485</v>
      </c>
      <c r="D49" s="195">
        <v>1400</v>
      </c>
      <c r="E49" s="196">
        <v>5.28E-2</v>
      </c>
      <c r="F49" s="199">
        <f t="shared" si="34"/>
        <v>15.863765349000001</v>
      </c>
      <c r="G49" s="198"/>
      <c r="H49" s="197"/>
      <c r="I49" s="199">
        <f>F49+G49-H49</f>
        <v>15.863765349000001</v>
      </c>
      <c r="J49" s="200">
        <f t="shared" si="35"/>
        <v>4.1204466778543996</v>
      </c>
      <c r="K49" s="201"/>
      <c r="L49" s="202"/>
      <c r="M49" s="203">
        <f>J49+K49-L49</f>
        <v>4.1204466778543996</v>
      </c>
      <c r="N49" s="204">
        <f>F49-J49</f>
        <v>11.743318671145602</v>
      </c>
      <c r="O49" s="204">
        <f>I49-M49</f>
        <v>11.743318671145602</v>
      </c>
    </row>
    <row r="50" spans="2:15" ht="18.75" thickBot="1">
      <c r="B50" s="206">
        <v>6</v>
      </c>
      <c r="C50" s="217" t="s">
        <v>486</v>
      </c>
      <c r="D50" s="208">
        <v>1500</v>
      </c>
      <c r="E50" s="209">
        <v>5.28E-2</v>
      </c>
      <c r="F50" s="212">
        <f t="shared" si="34"/>
        <v>178.79276744500001</v>
      </c>
      <c r="G50" s="211"/>
      <c r="H50" s="210"/>
      <c r="I50" s="212">
        <f>F50+G50-H50</f>
        <v>178.79276744500001</v>
      </c>
      <c r="J50" s="200">
        <f t="shared" si="35"/>
        <v>148.75637504319201</v>
      </c>
      <c r="K50" s="214"/>
      <c r="L50" s="215"/>
      <c r="M50" s="216">
        <f t="shared" ref="M50:M52" si="40">J50+K50-L50</f>
        <v>148.75637504319201</v>
      </c>
      <c r="N50" s="212">
        <f t="shared" ref="N50:N52" si="41">F50-J50</f>
        <v>30.036392401808001</v>
      </c>
      <c r="O50" s="212">
        <f t="shared" ref="O50:O52" si="42">I50-M50</f>
        <v>30.036392401808001</v>
      </c>
    </row>
    <row r="51" spans="2:15" ht="18.75" thickBot="1">
      <c r="B51" s="206">
        <v>7</v>
      </c>
      <c r="C51" s="217" t="s">
        <v>487</v>
      </c>
      <c r="D51" s="208">
        <v>1600</v>
      </c>
      <c r="E51" s="209">
        <v>3.3399999999999999E-2</v>
      </c>
      <c r="F51" s="212">
        <f t="shared" si="34"/>
        <v>43.499116899999997</v>
      </c>
      <c r="G51" s="211"/>
      <c r="H51" s="210"/>
      <c r="I51" s="212">
        <f t="shared" ref="I51:I52" si="43">F51+G51-H51</f>
        <v>43.499116899999997</v>
      </c>
      <c r="J51" s="200">
        <f t="shared" si="35"/>
        <v>13.73076533892</v>
      </c>
      <c r="K51" s="214"/>
      <c r="L51" s="215"/>
      <c r="M51" s="216">
        <f t="shared" si="40"/>
        <v>13.73076533892</v>
      </c>
      <c r="N51" s="212">
        <f t="shared" si="41"/>
        <v>29.768351561079996</v>
      </c>
      <c r="O51" s="212">
        <f t="shared" si="42"/>
        <v>29.768351561079996</v>
      </c>
    </row>
    <row r="52" spans="2:15" ht="18.75" thickBot="1">
      <c r="B52" s="206">
        <v>8</v>
      </c>
      <c r="C52" s="217" t="s">
        <v>132</v>
      </c>
      <c r="D52" s="208">
        <v>1700</v>
      </c>
      <c r="E52" s="218">
        <v>9.5000000000000001E-2</v>
      </c>
      <c r="F52" s="212">
        <f t="shared" si="34"/>
        <v>0</v>
      </c>
      <c r="G52" s="211"/>
      <c r="H52" s="219"/>
      <c r="I52" s="212">
        <f t="shared" si="43"/>
        <v>0</v>
      </c>
      <c r="J52" s="200">
        <f t="shared" si="35"/>
        <v>0</v>
      </c>
      <c r="K52" s="214"/>
      <c r="L52" s="215"/>
      <c r="M52" s="216">
        <f t="shared" si="40"/>
        <v>0</v>
      </c>
      <c r="N52" s="212">
        <f t="shared" si="41"/>
        <v>0</v>
      </c>
      <c r="O52" s="212">
        <f t="shared" si="42"/>
        <v>0</v>
      </c>
    </row>
    <row r="53" spans="2:15" ht="36.75" thickBot="1">
      <c r="B53" s="193">
        <v>9</v>
      </c>
      <c r="C53" s="217" t="s">
        <v>488</v>
      </c>
      <c r="D53" s="195">
        <v>1800</v>
      </c>
      <c r="E53" s="196">
        <v>6.3299999999999995E-2</v>
      </c>
      <c r="F53" s="199">
        <f t="shared" si="34"/>
        <v>0.62053437499999997</v>
      </c>
      <c r="G53" s="198"/>
      <c r="H53" s="197"/>
      <c r="I53" s="199">
        <f>F53+G53-H53</f>
        <v>0.62053437499999997</v>
      </c>
      <c r="J53" s="200">
        <f t="shared" si="35"/>
        <v>0.6138263958750001</v>
      </c>
      <c r="K53" s="201"/>
      <c r="L53" s="202"/>
      <c r="M53" s="203">
        <f>J53+K53-L53</f>
        <v>0.6138263958750001</v>
      </c>
      <c r="N53" s="204">
        <f>F53-J53</f>
        <v>6.7079791249998744E-3</v>
      </c>
      <c r="O53" s="204">
        <f>I53-M53</f>
        <v>6.7079791249998744E-3</v>
      </c>
    </row>
    <row r="54" spans="2:15" ht="18.75" thickBot="1">
      <c r="B54" s="206">
        <v>10</v>
      </c>
      <c r="C54" s="217" t="s">
        <v>489</v>
      </c>
      <c r="D54" s="208">
        <v>1900</v>
      </c>
      <c r="E54" s="209">
        <v>0.15</v>
      </c>
      <c r="F54" s="212">
        <f t="shared" si="34"/>
        <v>0.69570474299999996</v>
      </c>
      <c r="G54" s="211"/>
      <c r="H54" s="210"/>
      <c r="I54" s="212">
        <f>F54+G54-H54</f>
        <v>0.69570474299999996</v>
      </c>
      <c r="J54" s="200">
        <f t="shared" si="35"/>
        <v>0.6922989879</v>
      </c>
      <c r="K54" s="214"/>
      <c r="L54" s="215"/>
      <c r="M54" s="216">
        <f t="shared" ref="M54:M56" si="44">J54+K54-L54</f>
        <v>0.6922989879</v>
      </c>
      <c r="N54" s="212">
        <f t="shared" ref="N54:N56" si="45">F54-J54</f>
        <v>3.4057550999999631E-3</v>
      </c>
      <c r="O54" s="212">
        <f t="shared" ref="O54:O56" si="46">I54-M54</f>
        <v>3.4057550999999631E-3</v>
      </c>
    </row>
    <row r="55" spans="2:15" ht="18.75" thickBot="1">
      <c r="B55" s="206">
        <v>11</v>
      </c>
      <c r="C55" s="217" t="s">
        <v>134</v>
      </c>
      <c r="D55" s="208">
        <v>2100</v>
      </c>
      <c r="E55" s="209">
        <v>6.3299999999999995E-2</v>
      </c>
      <c r="F55" s="212">
        <f t="shared" si="34"/>
        <v>0.106789704</v>
      </c>
      <c r="G55" s="211">
        <v>2.34</v>
      </c>
      <c r="H55" s="210"/>
      <c r="I55" s="212">
        <f t="shared" ref="I55:I56" si="47">F55+G55-H55</f>
        <v>2.446789704</v>
      </c>
      <c r="J55" s="200">
        <f t="shared" si="35"/>
        <v>0.1011283805264</v>
      </c>
      <c r="K55" s="214"/>
      <c r="L55" s="215"/>
      <c r="M55" s="216">
        <f t="shared" si="44"/>
        <v>0.1011283805264</v>
      </c>
      <c r="N55" s="212">
        <f t="shared" si="45"/>
        <v>5.6613234736000023E-3</v>
      </c>
      <c r="O55" s="212">
        <f t="shared" si="46"/>
        <v>2.3456613234736001</v>
      </c>
    </row>
    <row r="56" spans="2:15">
      <c r="B56" s="206"/>
      <c r="C56" s="217" t="s">
        <v>490</v>
      </c>
      <c r="D56" s="208">
        <v>2200</v>
      </c>
      <c r="E56" s="218">
        <v>0</v>
      </c>
      <c r="F56" s="212">
        <f>I38</f>
        <v>0</v>
      </c>
      <c r="G56" s="211"/>
      <c r="H56" s="219"/>
      <c r="I56" s="212">
        <f t="shared" si="47"/>
        <v>0</v>
      </c>
      <c r="J56" s="200">
        <f>M38</f>
        <v>0</v>
      </c>
      <c r="K56" s="214"/>
      <c r="L56" s="215"/>
      <c r="M56" s="216">
        <f t="shared" si="44"/>
        <v>0</v>
      </c>
      <c r="N56" s="212">
        <f t="shared" si="45"/>
        <v>0</v>
      </c>
      <c r="O56" s="212">
        <f t="shared" si="46"/>
        <v>0</v>
      </c>
    </row>
    <row r="57" spans="2:15" ht="18.75" thickBot="1">
      <c r="B57" s="221"/>
      <c r="C57" s="222" t="s">
        <v>139</v>
      </c>
      <c r="D57" s="222"/>
      <c r="E57" s="223">
        <f>IFERROR((K57-L57)/AVERAGE(F57,I57),0)</f>
        <v>9.0141545046103239E-3</v>
      </c>
      <c r="F57" s="224">
        <f>I40</f>
        <v>2473.23</v>
      </c>
      <c r="G57" s="224">
        <f>'F3'!I12</f>
        <v>2.3391448086579545</v>
      </c>
      <c r="H57" s="224">
        <f t="shared" ref="H57:L57" si="48">SUM(H45:H56)</f>
        <v>0</v>
      </c>
      <c r="I57" s="224">
        <f>F57+G57-H57</f>
        <v>2475.5691448086582</v>
      </c>
      <c r="J57" s="224">
        <f>M40</f>
        <v>1958.25</v>
      </c>
      <c r="K57" s="224">
        <f t="shared" si="48"/>
        <v>22.304620051794341</v>
      </c>
      <c r="L57" s="224">
        <f t="shared" si="48"/>
        <v>0</v>
      </c>
      <c r="M57" s="224">
        <f>J57+K57</f>
        <v>1980.5546200517942</v>
      </c>
      <c r="N57" s="224">
        <f>F57-J57</f>
        <v>514.98</v>
      </c>
      <c r="O57" s="224">
        <f>I57-M57</f>
        <v>495.01452475686392</v>
      </c>
    </row>
    <row r="58" spans="2:15" ht="18.75" thickBot="1">
      <c r="F58" s="205"/>
      <c r="G58" s="205"/>
      <c r="H58" s="205"/>
      <c r="I58" s="205"/>
      <c r="J58" s="205"/>
      <c r="K58" s="205"/>
      <c r="L58" s="205"/>
      <c r="M58" s="205"/>
      <c r="N58" s="205"/>
      <c r="O58" s="205"/>
    </row>
    <row r="59" spans="2:15">
      <c r="B59" s="315" t="s">
        <v>470</v>
      </c>
      <c r="C59" s="316"/>
      <c r="D59" s="316"/>
      <c r="E59" s="316"/>
      <c r="F59" s="316"/>
      <c r="G59" s="316"/>
      <c r="H59" s="316"/>
      <c r="I59" s="316"/>
      <c r="J59" s="316"/>
      <c r="K59" s="316"/>
      <c r="L59" s="316"/>
      <c r="M59" s="316"/>
      <c r="N59" s="316"/>
      <c r="O59" s="317"/>
    </row>
    <row r="60" spans="2:15">
      <c r="B60" s="318" t="s">
        <v>2</v>
      </c>
      <c r="C60" s="320" t="s">
        <v>289</v>
      </c>
      <c r="D60" s="322" t="s">
        <v>277</v>
      </c>
      <c r="E60" s="322" t="s">
        <v>278</v>
      </c>
      <c r="F60" s="322" t="s">
        <v>279</v>
      </c>
      <c r="G60" s="322"/>
      <c r="H60" s="322"/>
      <c r="I60" s="322"/>
      <c r="J60" s="322" t="s">
        <v>280</v>
      </c>
      <c r="K60" s="322"/>
      <c r="L60" s="322"/>
      <c r="M60" s="322"/>
      <c r="N60" s="322" t="s">
        <v>281</v>
      </c>
      <c r="O60" s="324"/>
    </row>
    <row r="61" spans="2:15" ht="90.75" thickBot="1">
      <c r="B61" s="319"/>
      <c r="C61" s="321"/>
      <c r="D61" s="323"/>
      <c r="E61" s="323"/>
      <c r="F61" s="191" t="s">
        <v>282</v>
      </c>
      <c r="G61" s="191" t="s">
        <v>138</v>
      </c>
      <c r="H61" s="191" t="s">
        <v>283</v>
      </c>
      <c r="I61" s="191" t="s">
        <v>284</v>
      </c>
      <c r="J61" s="191" t="s">
        <v>285</v>
      </c>
      <c r="K61" s="191" t="s">
        <v>138</v>
      </c>
      <c r="L61" s="191" t="s">
        <v>286</v>
      </c>
      <c r="M61" s="191" t="s">
        <v>287</v>
      </c>
      <c r="N61" s="191" t="s">
        <v>282</v>
      </c>
      <c r="O61" s="192" t="s">
        <v>284</v>
      </c>
    </row>
    <row r="62" spans="2:15" ht="18.75" thickBot="1">
      <c r="B62" s="193">
        <v>1</v>
      </c>
      <c r="C62" s="194" t="s">
        <v>483</v>
      </c>
      <c r="D62" s="195">
        <v>1000</v>
      </c>
      <c r="E62" s="196">
        <v>0</v>
      </c>
      <c r="F62" s="199">
        <f t="shared" ref="F62:F73" si="49">I45</f>
        <v>0</v>
      </c>
      <c r="G62" s="198"/>
      <c r="H62" s="197"/>
      <c r="I62" s="199">
        <f>F62+G62-H62</f>
        <v>0</v>
      </c>
      <c r="J62" s="200">
        <f>M45</f>
        <v>0</v>
      </c>
      <c r="K62" s="201"/>
      <c r="L62" s="202"/>
      <c r="M62" s="203">
        <f>J62+K62-L62</f>
        <v>0</v>
      </c>
      <c r="N62" s="204">
        <f>F62-J62</f>
        <v>0</v>
      </c>
      <c r="O62" s="204">
        <f>I62-M62</f>
        <v>0</v>
      </c>
    </row>
    <row r="63" spans="2:15" ht="18.75" thickBot="1">
      <c r="B63" s="206">
        <v>2</v>
      </c>
      <c r="C63" s="207" t="s">
        <v>128</v>
      </c>
      <c r="D63" s="208">
        <v>1100</v>
      </c>
      <c r="E63" s="209">
        <v>3.3399999999999999E-2</v>
      </c>
      <c r="F63" s="212">
        <f t="shared" si="49"/>
        <v>190.55004130700001</v>
      </c>
      <c r="G63" s="211"/>
      <c r="H63" s="210"/>
      <c r="I63" s="212">
        <f>F63+G63-H63</f>
        <v>190.55004130700001</v>
      </c>
      <c r="J63" s="200">
        <f t="shared" ref="J63:J73" si="50">M46</f>
        <v>129.2996083593076</v>
      </c>
      <c r="K63" s="214"/>
      <c r="L63" s="215"/>
      <c r="M63" s="216">
        <f t="shared" ref="M63:M65" si="51">J63+K63-L63</f>
        <v>129.2996083593076</v>
      </c>
      <c r="N63" s="212">
        <f t="shared" ref="N63:N65" si="52">F63-J63</f>
        <v>61.250432947692417</v>
      </c>
      <c r="O63" s="212">
        <f t="shared" ref="O63:O65" si="53">I63-M63</f>
        <v>61.250432947692417</v>
      </c>
    </row>
    <row r="64" spans="2:15" ht="18.75" thickBot="1">
      <c r="B64" s="206">
        <v>3</v>
      </c>
      <c r="C64" s="194" t="s">
        <v>484</v>
      </c>
      <c r="D64" s="208">
        <v>1200</v>
      </c>
      <c r="E64" s="209">
        <v>5.28E-2</v>
      </c>
      <c r="F64" s="212">
        <f t="shared" si="49"/>
        <v>0</v>
      </c>
      <c r="G64" s="211"/>
      <c r="H64" s="210"/>
      <c r="I64" s="212">
        <f t="shared" ref="I64:I65" si="54">F64+G64-H64</f>
        <v>0</v>
      </c>
      <c r="J64" s="200">
        <f t="shared" si="50"/>
        <v>0</v>
      </c>
      <c r="K64" s="214"/>
      <c r="L64" s="215"/>
      <c r="M64" s="216">
        <f t="shared" si="51"/>
        <v>0</v>
      </c>
      <c r="N64" s="212">
        <f t="shared" si="52"/>
        <v>0</v>
      </c>
      <c r="O64" s="212">
        <f t="shared" si="53"/>
        <v>0</v>
      </c>
    </row>
    <row r="65" spans="2:15" ht="18.75" thickBot="1">
      <c r="B65" s="206">
        <v>4</v>
      </c>
      <c r="C65" s="217" t="s">
        <v>127</v>
      </c>
      <c r="D65" s="208">
        <v>1300</v>
      </c>
      <c r="E65" s="218">
        <v>5.28E-2</v>
      </c>
      <c r="F65" s="212">
        <f t="shared" si="49"/>
        <v>2043.1012801769998</v>
      </c>
      <c r="G65" s="211"/>
      <c r="H65" s="219"/>
      <c r="I65" s="212">
        <f t="shared" si="54"/>
        <v>2043.1012801769998</v>
      </c>
      <c r="J65" s="200">
        <f t="shared" si="50"/>
        <v>1683.2433245498869</v>
      </c>
      <c r="K65" s="214">
        <v>22.496074597248914</v>
      </c>
      <c r="L65" s="215"/>
      <c r="M65" s="216">
        <f t="shared" si="51"/>
        <v>1705.7393991471358</v>
      </c>
      <c r="N65" s="212">
        <f t="shared" si="52"/>
        <v>359.85795562711291</v>
      </c>
      <c r="O65" s="212">
        <f t="shared" si="53"/>
        <v>337.36188102986398</v>
      </c>
    </row>
    <row r="66" spans="2:15" ht="18.75" thickBot="1">
      <c r="B66" s="193">
        <v>5</v>
      </c>
      <c r="C66" s="217" t="s">
        <v>485</v>
      </c>
      <c r="D66" s="195">
        <v>1400</v>
      </c>
      <c r="E66" s="196">
        <v>5.28E-2</v>
      </c>
      <c r="F66" s="199">
        <f t="shared" si="49"/>
        <v>15.863765349000001</v>
      </c>
      <c r="G66" s="198"/>
      <c r="H66" s="197"/>
      <c r="I66" s="199">
        <f>F66+G66-H66</f>
        <v>15.863765349000001</v>
      </c>
      <c r="J66" s="200">
        <f t="shared" si="50"/>
        <v>4.1204466778543996</v>
      </c>
      <c r="K66" s="201"/>
      <c r="L66" s="202"/>
      <c r="M66" s="203">
        <f>J66+K66-L66</f>
        <v>4.1204466778543996</v>
      </c>
      <c r="N66" s="204">
        <f>F66-J66</f>
        <v>11.743318671145602</v>
      </c>
      <c r="O66" s="204">
        <f>I66-M66</f>
        <v>11.743318671145602</v>
      </c>
    </row>
    <row r="67" spans="2:15" ht="18.75" thickBot="1">
      <c r="B67" s="206">
        <v>6</v>
      </c>
      <c r="C67" s="217" t="s">
        <v>486</v>
      </c>
      <c r="D67" s="208">
        <v>1500</v>
      </c>
      <c r="E67" s="209">
        <v>5.28E-2</v>
      </c>
      <c r="F67" s="212">
        <f t="shared" si="49"/>
        <v>178.79276744500001</v>
      </c>
      <c r="G67" s="211"/>
      <c r="H67" s="210"/>
      <c r="I67" s="212">
        <f>F67+G67-H67</f>
        <v>178.79276744500001</v>
      </c>
      <c r="J67" s="200">
        <f t="shared" si="50"/>
        <v>148.75637504319201</v>
      </c>
      <c r="K67" s="214"/>
      <c r="L67" s="215"/>
      <c r="M67" s="216">
        <f t="shared" ref="M67:M69" si="55">J67+K67-L67</f>
        <v>148.75637504319201</v>
      </c>
      <c r="N67" s="212">
        <f t="shared" ref="N67:N69" si="56">F67-J67</f>
        <v>30.036392401808001</v>
      </c>
      <c r="O67" s="212">
        <f t="shared" ref="O67:O69" si="57">I67-M67</f>
        <v>30.036392401808001</v>
      </c>
    </row>
    <row r="68" spans="2:15" ht="18.75" thickBot="1">
      <c r="B68" s="206">
        <v>7</v>
      </c>
      <c r="C68" s="217" t="s">
        <v>487</v>
      </c>
      <c r="D68" s="208">
        <v>1600</v>
      </c>
      <c r="E68" s="209">
        <v>3.3399999999999999E-2</v>
      </c>
      <c r="F68" s="212">
        <f t="shared" si="49"/>
        <v>43.499116899999997</v>
      </c>
      <c r="G68" s="211"/>
      <c r="H68" s="210"/>
      <c r="I68" s="212">
        <f t="shared" ref="I68:I69" si="58">F68+G68-H68</f>
        <v>43.499116899999997</v>
      </c>
      <c r="J68" s="200">
        <f t="shared" si="50"/>
        <v>13.73076533892</v>
      </c>
      <c r="K68" s="214"/>
      <c r="L68" s="215"/>
      <c r="M68" s="216">
        <f t="shared" si="55"/>
        <v>13.73076533892</v>
      </c>
      <c r="N68" s="212">
        <f t="shared" si="56"/>
        <v>29.768351561079996</v>
      </c>
      <c r="O68" s="212">
        <f t="shared" si="57"/>
        <v>29.768351561079996</v>
      </c>
    </row>
    <row r="69" spans="2:15" ht="18.75" thickBot="1">
      <c r="B69" s="206">
        <v>8</v>
      </c>
      <c r="C69" s="217" t="s">
        <v>132</v>
      </c>
      <c r="D69" s="208">
        <v>1700</v>
      </c>
      <c r="E69" s="218">
        <v>9.5000000000000001E-2</v>
      </c>
      <c r="F69" s="212">
        <f t="shared" si="49"/>
        <v>0</v>
      </c>
      <c r="G69" s="211"/>
      <c r="H69" s="219"/>
      <c r="I69" s="212">
        <f t="shared" si="58"/>
        <v>0</v>
      </c>
      <c r="J69" s="200">
        <f t="shared" si="50"/>
        <v>0</v>
      </c>
      <c r="K69" s="214"/>
      <c r="L69" s="215"/>
      <c r="M69" s="216">
        <f t="shared" si="55"/>
        <v>0</v>
      </c>
      <c r="N69" s="212">
        <f t="shared" si="56"/>
        <v>0</v>
      </c>
      <c r="O69" s="212">
        <f t="shared" si="57"/>
        <v>0</v>
      </c>
    </row>
    <row r="70" spans="2:15" ht="36.75" thickBot="1">
      <c r="B70" s="193">
        <v>9</v>
      </c>
      <c r="C70" s="217" t="s">
        <v>488</v>
      </c>
      <c r="D70" s="195">
        <v>1800</v>
      </c>
      <c r="E70" s="196">
        <v>6.3299999999999995E-2</v>
      </c>
      <c r="F70" s="199">
        <f t="shared" si="49"/>
        <v>0.62053437499999997</v>
      </c>
      <c r="G70" s="198"/>
      <c r="H70" s="197"/>
      <c r="I70" s="199">
        <f>F70+G70-H70</f>
        <v>0.62053437499999997</v>
      </c>
      <c r="J70" s="200">
        <f t="shared" si="50"/>
        <v>0.6138263958750001</v>
      </c>
      <c r="K70" s="201"/>
      <c r="L70" s="202"/>
      <c r="M70" s="203">
        <f>J70+K70-L70</f>
        <v>0.6138263958750001</v>
      </c>
      <c r="N70" s="204">
        <f>F70-J70</f>
        <v>6.7079791249998744E-3</v>
      </c>
      <c r="O70" s="204">
        <f>I70-M70</f>
        <v>6.7079791249998744E-3</v>
      </c>
    </row>
    <row r="71" spans="2:15" ht="18.75" thickBot="1">
      <c r="B71" s="206">
        <v>10</v>
      </c>
      <c r="C71" s="217" t="s">
        <v>489</v>
      </c>
      <c r="D71" s="208">
        <v>1900</v>
      </c>
      <c r="E71" s="209">
        <v>0.15</v>
      </c>
      <c r="F71" s="212">
        <f t="shared" si="49"/>
        <v>0.69570474299999996</v>
      </c>
      <c r="G71" s="211"/>
      <c r="H71" s="210"/>
      <c r="I71" s="212">
        <f>F71+G71-H71</f>
        <v>0.69570474299999996</v>
      </c>
      <c r="J71" s="200">
        <f t="shared" si="50"/>
        <v>0.6922989879</v>
      </c>
      <c r="K71" s="214"/>
      <c r="L71" s="215"/>
      <c r="M71" s="216">
        <f t="shared" ref="M71:M73" si="59">J71+K71-L71</f>
        <v>0.6922989879</v>
      </c>
      <c r="N71" s="212">
        <f t="shared" ref="N71:N73" si="60">F71-J71</f>
        <v>3.4057550999999631E-3</v>
      </c>
      <c r="O71" s="212">
        <f t="shared" ref="O71:O73" si="61">I71-M71</f>
        <v>3.4057550999999631E-3</v>
      </c>
    </row>
    <row r="72" spans="2:15" ht="18.75" thickBot="1">
      <c r="B72" s="206">
        <v>11</v>
      </c>
      <c r="C72" s="217" t="s">
        <v>134</v>
      </c>
      <c r="D72" s="208">
        <v>2100</v>
      </c>
      <c r="E72" s="209">
        <v>6.3299999999999995E-2</v>
      </c>
      <c r="F72" s="212">
        <f t="shared" si="49"/>
        <v>2.446789704</v>
      </c>
      <c r="G72" s="211"/>
      <c r="H72" s="210"/>
      <c r="I72" s="212">
        <f t="shared" ref="I72:I73" si="62">F72+G72-H72</f>
        <v>2.446789704</v>
      </c>
      <c r="J72" s="200">
        <f t="shared" si="50"/>
        <v>0.1011283805264</v>
      </c>
      <c r="K72" s="214"/>
      <c r="L72" s="215"/>
      <c r="M72" s="216">
        <f t="shared" si="59"/>
        <v>0.1011283805264</v>
      </c>
      <c r="N72" s="212">
        <f t="shared" si="60"/>
        <v>2.3456613234736001</v>
      </c>
      <c r="O72" s="212">
        <f t="shared" si="61"/>
        <v>2.3456613234736001</v>
      </c>
    </row>
    <row r="73" spans="2:15">
      <c r="B73" s="206"/>
      <c r="C73" s="217" t="s">
        <v>490</v>
      </c>
      <c r="D73" s="208">
        <v>2200</v>
      </c>
      <c r="E73" s="218">
        <v>0</v>
      </c>
      <c r="F73" s="212">
        <f t="shared" si="49"/>
        <v>0</v>
      </c>
      <c r="G73" s="211"/>
      <c r="H73" s="219"/>
      <c r="I73" s="212">
        <f t="shared" si="62"/>
        <v>0</v>
      </c>
      <c r="J73" s="200">
        <f t="shared" si="50"/>
        <v>0</v>
      </c>
      <c r="K73" s="214"/>
      <c r="L73" s="215"/>
      <c r="M73" s="216">
        <f t="shared" si="59"/>
        <v>0</v>
      </c>
      <c r="N73" s="212">
        <f t="shared" si="60"/>
        <v>0</v>
      </c>
      <c r="O73" s="212">
        <f t="shared" si="61"/>
        <v>0</v>
      </c>
    </row>
    <row r="74" spans="2:15" ht="18.75" thickBot="1">
      <c r="B74" s="221"/>
      <c r="C74" s="222" t="s">
        <v>139</v>
      </c>
      <c r="D74" s="222"/>
      <c r="E74" s="223">
        <f>IFERROR((K74-L74)/AVERAGE(F74,I74),0)</f>
        <v>9.0872333921368544E-3</v>
      </c>
      <c r="F74" s="224">
        <f>I57</f>
        <v>2475.5691448086582</v>
      </c>
      <c r="G74" s="224">
        <f>'F3'!J12</f>
        <v>0</v>
      </c>
      <c r="H74" s="224">
        <f t="shared" ref="H74:L74" si="63">SUM(H62:H73)</f>
        <v>0</v>
      </c>
      <c r="I74" s="224">
        <f>F74+G74</f>
        <v>2475.5691448086582</v>
      </c>
      <c r="J74" s="224">
        <f>M57</f>
        <v>1980.5546200517942</v>
      </c>
      <c r="K74" s="224">
        <f t="shared" si="63"/>
        <v>22.496074597248914</v>
      </c>
      <c r="L74" s="224">
        <f t="shared" si="63"/>
        <v>0</v>
      </c>
      <c r="M74" s="224">
        <f>J74+K74</f>
        <v>2003.0506946490432</v>
      </c>
      <c r="N74" s="224">
        <f>F74-J74</f>
        <v>495.01452475686392</v>
      </c>
      <c r="O74" s="224">
        <f>I74-M74</f>
        <v>472.51845015961499</v>
      </c>
    </row>
    <row r="75" spans="2:15" ht="18.75" thickBot="1"/>
    <row r="76" spans="2:15">
      <c r="B76" s="315" t="s">
        <v>471</v>
      </c>
      <c r="C76" s="316"/>
      <c r="D76" s="316"/>
      <c r="E76" s="316"/>
      <c r="F76" s="316"/>
      <c r="G76" s="316"/>
      <c r="H76" s="316"/>
      <c r="I76" s="316"/>
      <c r="J76" s="316"/>
      <c r="K76" s="316"/>
      <c r="L76" s="316"/>
      <c r="M76" s="316"/>
      <c r="N76" s="316"/>
      <c r="O76" s="317"/>
    </row>
    <row r="77" spans="2:15">
      <c r="B77" s="318" t="s">
        <v>2</v>
      </c>
      <c r="C77" s="320" t="s">
        <v>289</v>
      </c>
      <c r="D77" s="322" t="s">
        <v>277</v>
      </c>
      <c r="E77" s="322" t="s">
        <v>278</v>
      </c>
      <c r="F77" s="322" t="s">
        <v>279</v>
      </c>
      <c r="G77" s="322"/>
      <c r="H77" s="322"/>
      <c r="I77" s="322"/>
      <c r="J77" s="322" t="s">
        <v>280</v>
      </c>
      <c r="K77" s="322"/>
      <c r="L77" s="322"/>
      <c r="M77" s="322"/>
      <c r="N77" s="322" t="s">
        <v>281</v>
      </c>
      <c r="O77" s="324"/>
    </row>
    <row r="78" spans="2:15" ht="90.75" thickBot="1">
      <c r="B78" s="319"/>
      <c r="C78" s="321"/>
      <c r="D78" s="323"/>
      <c r="E78" s="323"/>
      <c r="F78" s="191" t="s">
        <v>282</v>
      </c>
      <c r="G78" s="191" t="s">
        <v>138</v>
      </c>
      <c r="H78" s="191" t="s">
        <v>283</v>
      </c>
      <c r="I78" s="191" t="s">
        <v>284</v>
      </c>
      <c r="J78" s="191" t="s">
        <v>285</v>
      </c>
      <c r="K78" s="191" t="s">
        <v>138</v>
      </c>
      <c r="L78" s="191" t="s">
        <v>286</v>
      </c>
      <c r="M78" s="191" t="s">
        <v>287</v>
      </c>
      <c r="N78" s="191" t="s">
        <v>282</v>
      </c>
      <c r="O78" s="192" t="s">
        <v>284</v>
      </c>
    </row>
    <row r="79" spans="2:15" ht="18.75" thickBot="1">
      <c r="B79" s="193">
        <v>1</v>
      </c>
      <c r="C79" s="194" t="s">
        <v>483</v>
      </c>
      <c r="D79" s="195">
        <v>1000</v>
      </c>
      <c r="E79" s="196">
        <v>0</v>
      </c>
      <c r="F79" s="199">
        <f t="shared" ref="F79:F90" si="64">I62</f>
        <v>0</v>
      </c>
      <c r="G79" s="198"/>
      <c r="H79" s="197"/>
      <c r="I79" s="199">
        <f>F79+G79-H79</f>
        <v>0</v>
      </c>
      <c r="J79" s="200">
        <f>M62</f>
        <v>0</v>
      </c>
      <c r="K79" s="201"/>
      <c r="L79" s="202"/>
      <c r="M79" s="203">
        <f>J79+K79-L79</f>
        <v>0</v>
      </c>
      <c r="N79" s="204">
        <f>F79-J79</f>
        <v>0</v>
      </c>
      <c r="O79" s="204">
        <f>I79-M79</f>
        <v>0</v>
      </c>
    </row>
    <row r="80" spans="2:15" ht="18.75" thickBot="1">
      <c r="B80" s="206">
        <v>2</v>
      </c>
      <c r="C80" s="207" t="s">
        <v>128</v>
      </c>
      <c r="D80" s="208">
        <v>1100</v>
      </c>
      <c r="E80" s="209">
        <v>3.3399999999999999E-2</v>
      </c>
      <c r="F80" s="212">
        <f t="shared" si="64"/>
        <v>190.55004130700001</v>
      </c>
      <c r="G80" s="211"/>
      <c r="H80" s="210"/>
      <c r="I80" s="212">
        <f>F80+G80-H80</f>
        <v>190.55004130700001</v>
      </c>
      <c r="J80" s="200">
        <f t="shared" ref="J80:J90" si="65">M63</f>
        <v>129.2996083593076</v>
      </c>
      <c r="K80" s="214"/>
      <c r="L80" s="215"/>
      <c r="M80" s="216">
        <f t="shared" ref="M80:M82" si="66">J80+K80-L80</f>
        <v>129.2996083593076</v>
      </c>
      <c r="N80" s="212">
        <f t="shared" ref="N80:N82" si="67">F80-J80</f>
        <v>61.250432947692417</v>
      </c>
      <c r="O80" s="212">
        <f t="shared" ref="O80:O82" si="68">I80-M80</f>
        <v>61.250432947692417</v>
      </c>
    </row>
    <row r="81" spans="2:15" ht="18.75" thickBot="1">
      <c r="B81" s="206">
        <v>3</v>
      </c>
      <c r="C81" s="194" t="s">
        <v>484</v>
      </c>
      <c r="D81" s="208">
        <v>1200</v>
      </c>
      <c r="E81" s="209">
        <v>5.28E-2</v>
      </c>
      <c r="F81" s="212">
        <f t="shared" si="64"/>
        <v>0</v>
      </c>
      <c r="G81" s="211"/>
      <c r="H81" s="210"/>
      <c r="I81" s="212">
        <f t="shared" ref="I81:I82" si="69">F81+G81-H81</f>
        <v>0</v>
      </c>
      <c r="J81" s="200">
        <f t="shared" si="65"/>
        <v>0</v>
      </c>
      <c r="K81" s="214"/>
      <c r="L81" s="215"/>
      <c r="M81" s="216">
        <f t="shared" si="66"/>
        <v>0</v>
      </c>
      <c r="N81" s="212">
        <f t="shared" si="67"/>
        <v>0</v>
      </c>
      <c r="O81" s="212">
        <f t="shared" si="68"/>
        <v>0</v>
      </c>
    </row>
    <row r="82" spans="2:15" ht="18.75" thickBot="1">
      <c r="B82" s="206">
        <v>4</v>
      </c>
      <c r="C82" s="217" t="s">
        <v>127</v>
      </c>
      <c r="D82" s="208">
        <v>1300</v>
      </c>
      <c r="E82" s="218">
        <v>5.28E-2</v>
      </c>
      <c r="F82" s="212">
        <f t="shared" si="64"/>
        <v>2043.1012801769998</v>
      </c>
      <c r="G82" s="211"/>
      <c r="H82" s="219"/>
      <c r="I82" s="212">
        <f t="shared" si="69"/>
        <v>2043.1012801769998</v>
      </c>
      <c r="J82" s="200">
        <f t="shared" si="65"/>
        <v>1705.7393991471358</v>
      </c>
      <c r="K82" s="214">
        <v>22.496074597248914</v>
      </c>
      <c r="L82" s="215"/>
      <c r="M82" s="216">
        <f t="shared" si="66"/>
        <v>1728.2354737443848</v>
      </c>
      <c r="N82" s="212">
        <f t="shared" si="67"/>
        <v>337.36188102986398</v>
      </c>
      <c r="O82" s="212">
        <f t="shared" si="68"/>
        <v>314.86580643261505</v>
      </c>
    </row>
    <row r="83" spans="2:15" ht="18.75" thickBot="1">
      <c r="B83" s="193">
        <v>5</v>
      </c>
      <c r="C83" s="217" t="s">
        <v>485</v>
      </c>
      <c r="D83" s="195">
        <v>1400</v>
      </c>
      <c r="E83" s="196">
        <v>5.28E-2</v>
      </c>
      <c r="F83" s="199">
        <f t="shared" si="64"/>
        <v>15.863765349000001</v>
      </c>
      <c r="G83" s="198"/>
      <c r="H83" s="197"/>
      <c r="I83" s="199">
        <f>F83+G83-H83</f>
        <v>15.863765349000001</v>
      </c>
      <c r="J83" s="200">
        <f t="shared" si="65"/>
        <v>4.1204466778543996</v>
      </c>
      <c r="K83" s="201"/>
      <c r="L83" s="202"/>
      <c r="M83" s="203">
        <f>J83+K83-L83</f>
        <v>4.1204466778543996</v>
      </c>
      <c r="N83" s="204">
        <f>F83-J83</f>
        <v>11.743318671145602</v>
      </c>
      <c r="O83" s="204">
        <f>I83-M83</f>
        <v>11.743318671145602</v>
      </c>
    </row>
    <row r="84" spans="2:15" ht="18.75" thickBot="1">
      <c r="B84" s="206">
        <v>6</v>
      </c>
      <c r="C84" s="217" t="s">
        <v>486</v>
      </c>
      <c r="D84" s="208">
        <v>1500</v>
      </c>
      <c r="E84" s="209">
        <v>5.28E-2</v>
      </c>
      <c r="F84" s="212">
        <f t="shared" si="64"/>
        <v>178.79276744500001</v>
      </c>
      <c r="G84" s="211"/>
      <c r="H84" s="210"/>
      <c r="I84" s="212">
        <f>F84+G84-H84</f>
        <v>178.79276744500001</v>
      </c>
      <c r="J84" s="200">
        <f t="shared" si="65"/>
        <v>148.75637504319201</v>
      </c>
      <c r="K84" s="214"/>
      <c r="L84" s="215"/>
      <c r="M84" s="216">
        <f t="shared" ref="M84:M86" si="70">J84+K84-L84</f>
        <v>148.75637504319201</v>
      </c>
      <c r="N84" s="212">
        <f t="shared" ref="N84:N86" si="71">F84-J84</f>
        <v>30.036392401808001</v>
      </c>
      <c r="O84" s="212">
        <f t="shared" ref="O84:O86" si="72">I84-M84</f>
        <v>30.036392401808001</v>
      </c>
    </row>
    <row r="85" spans="2:15" ht="18.75" thickBot="1">
      <c r="B85" s="206">
        <v>7</v>
      </c>
      <c r="C85" s="217" t="s">
        <v>487</v>
      </c>
      <c r="D85" s="208">
        <v>1600</v>
      </c>
      <c r="E85" s="209">
        <v>3.3399999999999999E-2</v>
      </c>
      <c r="F85" s="212">
        <f t="shared" si="64"/>
        <v>43.499116899999997</v>
      </c>
      <c r="G85" s="211"/>
      <c r="H85" s="210"/>
      <c r="I85" s="212">
        <f t="shared" ref="I85:I86" si="73">F85+G85-H85</f>
        <v>43.499116899999997</v>
      </c>
      <c r="J85" s="200">
        <f t="shared" si="65"/>
        <v>13.73076533892</v>
      </c>
      <c r="K85" s="214"/>
      <c r="L85" s="215"/>
      <c r="M85" s="216">
        <f t="shared" si="70"/>
        <v>13.73076533892</v>
      </c>
      <c r="N85" s="212">
        <f t="shared" si="71"/>
        <v>29.768351561079996</v>
      </c>
      <c r="O85" s="212">
        <f t="shared" si="72"/>
        <v>29.768351561079996</v>
      </c>
    </row>
    <row r="86" spans="2:15" ht="18.75" thickBot="1">
      <c r="B86" s="206">
        <v>8</v>
      </c>
      <c r="C86" s="217" t="s">
        <v>132</v>
      </c>
      <c r="D86" s="208">
        <v>1700</v>
      </c>
      <c r="E86" s="218">
        <v>9.5000000000000001E-2</v>
      </c>
      <c r="F86" s="212">
        <f t="shared" si="64"/>
        <v>0</v>
      </c>
      <c r="G86" s="211"/>
      <c r="H86" s="219"/>
      <c r="I86" s="212">
        <f t="shared" si="73"/>
        <v>0</v>
      </c>
      <c r="J86" s="200">
        <f t="shared" si="65"/>
        <v>0</v>
      </c>
      <c r="K86" s="214"/>
      <c r="L86" s="215"/>
      <c r="M86" s="216">
        <f t="shared" si="70"/>
        <v>0</v>
      </c>
      <c r="N86" s="212">
        <f t="shared" si="71"/>
        <v>0</v>
      </c>
      <c r="O86" s="212">
        <f t="shared" si="72"/>
        <v>0</v>
      </c>
    </row>
    <row r="87" spans="2:15" ht="36.75" thickBot="1">
      <c r="B87" s="193">
        <v>9</v>
      </c>
      <c r="C87" s="217" t="s">
        <v>488</v>
      </c>
      <c r="D87" s="195">
        <v>1800</v>
      </c>
      <c r="E87" s="196">
        <v>6.3299999999999995E-2</v>
      </c>
      <c r="F87" s="199">
        <f t="shared" si="64"/>
        <v>0.62053437499999997</v>
      </c>
      <c r="G87" s="198"/>
      <c r="H87" s="197"/>
      <c r="I87" s="199">
        <f>F87+G87-H87</f>
        <v>0.62053437499999997</v>
      </c>
      <c r="J87" s="200">
        <f t="shared" si="65"/>
        <v>0.6138263958750001</v>
      </c>
      <c r="K87" s="201"/>
      <c r="L87" s="202"/>
      <c r="M87" s="203">
        <f>J87+K87-L87</f>
        <v>0.6138263958750001</v>
      </c>
      <c r="N87" s="204">
        <f>F87-J87</f>
        <v>6.7079791249998744E-3</v>
      </c>
      <c r="O87" s="204">
        <f>I87-M87</f>
        <v>6.7079791249998744E-3</v>
      </c>
    </row>
    <row r="88" spans="2:15" ht="18.75" thickBot="1">
      <c r="B88" s="206">
        <v>10</v>
      </c>
      <c r="C88" s="217" t="s">
        <v>489</v>
      </c>
      <c r="D88" s="208">
        <v>1900</v>
      </c>
      <c r="E88" s="209">
        <v>0.15</v>
      </c>
      <c r="F88" s="212">
        <f t="shared" si="64"/>
        <v>0.69570474299999996</v>
      </c>
      <c r="G88" s="211"/>
      <c r="H88" s="210"/>
      <c r="I88" s="212">
        <f>F88+G88-H88</f>
        <v>0.69570474299999996</v>
      </c>
      <c r="J88" s="200">
        <f t="shared" si="65"/>
        <v>0.6922989879</v>
      </c>
      <c r="K88" s="214"/>
      <c r="L88" s="215"/>
      <c r="M88" s="216">
        <f t="shared" ref="M88:M90" si="74">J88+K88-L88</f>
        <v>0.6922989879</v>
      </c>
      <c r="N88" s="212">
        <f t="shared" ref="N88:N90" si="75">F88-J88</f>
        <v>3.4057550999999631E-3</v>
      </c>
      <c r="O88" s="212">
        <f t="shared" ref="O88:O90" si="76">I88-M88</f>
        <v>3.4057550999999631E-3</v>
      </c>
    </row>
    <row r="89" spans="2:15" ht="18.75" thickBot="1">
      <c r="B89" s="206">
        <v>11</v>
      </c>
      <c r="C89" s="217" t="s">
        <v>134</v>
      </c>
      <c r="D89" s="208">
        <v>2100</v>
      </c>
      <c r="E89" s="209">
        <v>6.3299999999999995E-2</v>
      </c>
      <c r="F89" s="212">
        <f t="shared" si="64"/>
        <v>2.446789704</v>
      </c>
      <c r="G89" s="211"/>
      <c r="H89" s="210"/>
      <c r="I89" s="212">
        <f t="shared" ref="I89:I90" si="77">F89+G89-H89</f>
        <v>2.446789704</v>
      </c>
      <c r="J89" s="200">
        <f t="shared" si="65"/>
        <v>0.1011283805264</v>
      </c>
      <c r="K89" s="214"/>
      <c r="L89" s="215"/>
      <c r="M89" s="216">
        <f t="shared" si="74"/>
        <v>0.1011283805264</v>
      </c>
      <c r="N89" s="212">
        <f t="shared" si="75"/>
        <v>2.3456613234736001</v>
      </c>
      <c r="O89" s="212">
        <f t="shared" si="76"/>
        <v>2.3456613234736001</v>
      </c>
    </row>
    <row r="90" spans="2:15">
      <c r="B90" s="206"/>
      <c r="C90" s="217" t="s">
        <v>490</v>
      </c>
      <c r="D90" s="208">
        <v>2200</v>
      </c>
      <c r="E90" s="218">
        <v>0</v>
      </c>
      <c r="F90" s="212">
        <f t="shared" si="64"/>
        <v>0</v>
      </c>
      <c r="G90" s="211"/>
      <c r="H90" s="219"/>
      <c r="I90" s="212">
        <f t="shared" si="77"/>
        <v>0</v>
      </c>
      <c r="J90" s="200">
        <f t="shared" si="65"/>
        <v>0</v>
      </c>
      <c r="K90" s="214"/>
      <c r="L90" s="215"/>
      <c r="M90" s="216">
        <f t="shared" si="74"/>
        <v>0</v>
      </c>
      <c r="N90" s="212">
        <f t="shared" si="75"/>
        <v>0</v>
      </c>
      <c r="O90" s="212">
        <f t="shared" si="76"/>
        <v>0</v>
      </c>
    </row>
    <row r="91" spans="2:15" ht="18.75" thickBot="1">
      <c r="B91" s="221"/>
      <c r="C91" s="222" t="s">
        <v>139</v>
      </c>
      <c r="D91" s="222"/>
      <c r="E91" s="223">
        <f>IFERROR((K91-L91)/AVERAGE(F91,I91),0)</f>
        <v>9.0872333921368544E-3</v>
      </c>
      <c r="F91" s="224">
        <f>I74</f>
        <v>2475.5691448086582</v>
      </c>
      <c r="G91" s="224">
        <f>'F3'!K12</f>
        <v>0</v>
      </c>
      <c r="H91" s="224">
        <v>0</v>
      </c>
      <c r="I91" s="224">
        <f>F91+G91-H91</f>
        <v>2475.5691448086582</v>
      </c>
      <c r="J91" s="224">
        <f>M74</f>
        <v>2003.0506946490432</v>
      </c>
      <c r="K91" s="224">
        <f t="shared" ref="K91:L91" si="78">SUM(K79:K90)</f>
        <v>22.496074597248914</v>
      </c>
      <c r="L91" s="224">
        <f t="shared" si="78"/>
        <v>0</v>
      </c>
      <c r="M91" s="224">
        <f t="shared" ref="M91" si="79">SUM(M79:M90)</f>
        <v>2025.5499229279603</v>
      </c>
      <c r="N91" s="224">
        <f>F91-J91</f>
        <v>472.51845015961499</v>
      </c>
      <c r="O91" s="224">
        <f>I91-M91</f>
        <v>450.01922188069784</v>
      </c>
    </row>
    <row r="92" spans="2:15" ht="18.75" thickBot="1"/>
    <row r="93" spans="2:15">
      <c r="B93" s="315" t="s">
        <v>472</v>
      </c>
      <c r="C93" s="316"/>
      <c r="D93" s="316"/>
      <c r="E93" s="316"/>
      <c r="F93" s="316"/>
      <c r="G93" s="316"/>
      <c r="H93" s="316"/>
      <c r="I93" s="316"/>
      <c r="J93" s="316"/>
      <c r="K93" s="316"/>
      <c r="L93" s="316"/>
      <c r="M93" s="316"/>
      <c r="N93" s="316"/>
      <c r="O93" s="317"/>
    </row>
    <row r="94" spans="2:15">
      <c r="B94" s="318" t="s">
        <v>2</v>
      </c>
      <c r="C94" s="320" t="s">
        <v>289</v>
      </c>
      <c r="D94" s="322" t="s">
        <v>277</v>
      </c>
      <c r="E94" s="322" t="s">
        <v>278</v>
      </c>
      <c r="F94" s="322" t="s">
        <v>279</v>
      </c>
      <c r="G94" s="322"/>
      <c r="H94" s="322"/>
      <c r="I94" s="322"/>
      <c r="J94" s="322" t="s">
        <v>280</v>
      </c>
      <c r="K94" s="322"/>
      <c r="L94" s="322"/>
      <c r="M94" s="322"/>
      <c r="N94" s="322" t="s">
        <v>281</v>
      </c>
      <c r="O94" s="324"/>
    </row>
    <row r="95" spans="2:15" ht="90.75" thickBot="1">
      <c r="B95" s="319"/>
      <c r="C95" s="321"/>
      <c r="D95" s="323"/>
      <c r="E95" s="323"/>
      <c r="F95" s="191" t="s">
        <v>282</v>
      </c>
      <c r="G95" s="191" t="s">
        <v>138</v>
      </c>
      <c r="H95" s="191" t="s">
        <v>283</v>
      </c>
      <c r="I95" s="191" t="s">
        <v>284</v>
      </c>
      <c r="J95" s="191" t="s">
        <v>285</v>
      </c>
      <c r="K95" s="191" t="s">
        <v>138</v>
      </c>
      <c r="L95" s="191" t="s">
        <v>286</v>
      </c>
      <c r="M95" s="191" t="s">
        <v>287</v>
      </c>
      <c r="N95" s="191" t="s">
        <v>282</v>
      </c>
      <c r="O95" s="192" t="s">
        <v>284</v>
      </c>
    </row>
    <row r="96" spans="2:15" ht="18.75" thickBot="1">
      <c r="B96" s="193">
        <v>1</v>
      </c>
      <c r="C96" s="194" t="s">
        <v>483</v>
      </c>
      <c r="D96" s="195">
        <v>1000</v>
      </c>
      <c r="E96" s="196">
        <v>0</v>
      </c>
      <c r="F96" s="199">
        <f t="shared" ref="F96:F107" si="80">I79</f>
        <v>0</v>
      </c>
      <c r="G96" s="198"/>
      <c r="H96" s="197"/>
      <c r="I96" s="199">
        <f>F96+G96-H96</f>
        <v>0</v>
      </c>
      <c r="J96" s="200">
        <f>M79</f>
        <v>0</v>
      </c>
      <c r="K96" s="201"/>
      <c r="L96" s="202"/>
      <c r="M96" s="203">
        <f>J96+K96-L96</f>
        <v>0</v>
      </c>
      <c r="N96" s="204">
        <f>F96-J96</f>
        <v>0</v>
      </c>
      <c r="O96" s="204">
        <f>I96-M96</f>
        <v>0</v>
      </c>
    </row>
    <row r="97" spans="2:15" ht="18.75" thickBot="1">
      <c r="B97" s="206">
        <v>2</v>
      </c>
      <c r="C97" s="207" t="s">
        <v>128</v>
      </c>
      <c r="D97" s="208">
        <v>1100</v>
      </c>
      <c r="E97" s="209">
        <v>3.3399999999999999E-2</v>
      </c>
      <c r="F97" s="212">
        <f t="shared" si="80"/>
        <v>190.55004130700001</v>
      </c>
      <c r="G97" s="211"/>
      <c r="H97" s="210"/>
      <c r="I97" s="212">
        <f>F97+G97-H97</f>
        <v>190.55004130700001</v>
      </c>
      <c r="J97" s="200">
        <f t="shared" ref="J97:J107" si="81">M80</f>
        <v>129.2996083593076</v>
      </c>
      <c r="K97" s="214"/>
      <c r="L97" s="215"/>
      <c r="M97" s="216">
        <f t="shared" ref="M97:M99" si="82">J97+K97-L97</f>
        <v>129.2996083593076</v>
      </c>
      <c r="N97" s="212">
        <f t="shared" ref="N97:N99" si="83">F97-J97</f>
        <v>61.250432947692417</v>
      </c>
      <c r="O97" s="212">
        <f t="shared" ref="O97:O99" si="84">I97-M97</f>
        <v>61.250432947692417</v>
      </c>
    </row>
    <row r="98" spans="2:15" ht="18.75" thickBot="1">
      <c r="B98" s="206">
        <v>3</v>
      </c>
      <c r="C98" s="194" t="s">
        <v>484</v>
      </c>
      <c r="D98" s="208">
        <v>1200</v>
      </c>
      <c r="E98" s="209">
        <v>5.28E-2</v>
      </c>
      <c r="F98" s="212">
        <f t="shared" si="80"/>
        <v>0</v>
      </c>
      <c r="G98" s="211"/>
      <c r="H98" s="210"/>
      <c r="I98" s="212">
        <f t="shared" ref="I98:I99" si="85">F98+G98-H98</f>
        <v>0</v>
      </c>
      <c r="J98" s="200">
        <f t="shared" si="81"/>
        <v>0</v>
      </c>
      <c r="K98" s="214"/>
      <c r="L98" s="215"/>
      <c r="M98" s="216">
        <f t="shared" si="82"/>
        <v>0</v>
      </c>
      <c r="N98" s="212">
        <f t="shared" si="83"/>
        <v>0</v>
      </c>
      <c r="O98" s="212">
        <f t="shared" si="84"/>
        <v>0</v>
      </c>
    </row>
    <row r="99" spans="2:15" ht="18.75" thickBot="1">
      <c r="B99" s="206">
        <v>4</v>
      </c>
      <c r="C99" s="217" t="s">
        <v>127</v>
      </c>
      <c r="D99" s="208">
        <v>1300</v>
      </c>
      <c r="E99" s="218">
        <v>5.28E-2</v>
      </c>
      <c r="F99" s="212">
        <f t="shared" si="80"/>
        <v>2043.1012801769998</v>
      </c>
      <c r="G99" s="211"/>
      <c r="H99" s="219"/>
      <c r="I99" s="212">
        <f t="shared" si="85"/>
        <v>2043.1012801769998</v>
      </c>
      <c r="J99" s="200">
        <f t="shared" si="81"/>
        <v>1728.2354737443848</v>
      </c>
      <c r="K99" s="214">
        <v>22.49607459724891</v>
      </c>
      <c r="L99" s="215"/>
      <c r="M99" s="216">
        <f t="shared" si="82"/>
        <v>1750.7315483416337</v>
      </c>
      <c r="N99" s="212">
        <f t="shared" si="83"/>
        <v>314.86580643261505</v>
      </c>
      <c r="O99" s="212">
        <f t="shared" si="84"/>
        <v>292.36973183536611</v>
      </c>
    </row>
    <row r="100" spans="2:15" ht="18.75" thickBot="1">
      <c r="B100" s="193">
        <v>5</v>
      </c>
      <c r="C100" s="217" t="s">
        <v>485</v>
      </c>
      <c r="D100" s="195">
        <v>1400</v>
      </c>
      <c r="E100" s="196">
        <v>5.28E-2</v>
      </c>
      <c r="F100" s="199">
        <f t="shared" si="80"/>
        <v>15.863765349000001</v>
      </c>
      <c r="G100" s="198"/>
      <c r="H100" s="197"/>
      <c r="I100" s="199">
        <f>F100+G100-H100</f>
        <v>15.863765349000001</v>
      </c>
      <c r="J100" s="200">
        <f t="shared" si="81"/>
        <v>4.1204466778543996</v>
      </c>
      <c r="K100" s="201"/>
      <c r="L100" s="202"/>
      <c r="M100" s="203">
        <f>J100+K100-L100</f>
        <v>4.1204466778543996</v>
      </c>
      <c r="N100" s="204">
        <f>F100-J100</f>
        <v>11.743318671145602</v>
      </c>
      <c r="O100" s="204">
        <f>I100-M100</f>
        <v>11.743318671145602</v>
      </c>
    </row>
    <row r="101" spans="2:15" ht="18.75" thickBot="1">
      <c r="B101" s="206">
        <v>6</v>
      </c>
      <c r="C101" s="217" t="s">
        <v>486</v>
      </c>
      <c r="D101" s="208">
        <v>1500</v>
      </c>
      <c r="E101" s="209">
        <v>5.28E-2</v>
      </c>
      <c r="F101" s="212">
        <f t="shared" si="80"/>
        <v>178.79276744500001</v>
      </c>
      <c r="G101" s="211"/>
      <c r="H101" s="210"/>
      <c r="I101" s="212">
        <f>F101+G101-H101</f>
        <v>178.79276744500001</v>
      </c>
      <c r="J101" s="200">
        <f t="shared" si="81"/>
        <v>148.75637504319201</v>
      </c>
      <c r="K101" s="214"/>
      <c r="L101" s="215"/>
      <c r="M101" s="216">
        <f t="shared" ref="M101:M103" si="86">J101+K101-L101</f>
        <v>148.75637504319201</v>
      </c>
      <c r="N101" s="212">
        <f t="shared" ref="N101:N103" si="87">F101-J101</f>
        <v>30.036392401808001</v>
      </c>
      <c r="O101" s="212">
        <f t="shared" ref="O101:O103" si="88">I101-M101</f>
        <v>30.036392401808001</v>
      </c>
    </row>
    <row r="102" spans="2:15" ht="18.75" thickBot="1">
      <c r="B102" s="206">
        <v>7</v>
      </c>
      <c r="C102" s="217" t="s">
        <v>487</v>
      </c>
      <c r="D102" s="208">
        <v>1600</v>
      </c>
      <c r="E102" s="209">
        <v>3.3399999999999999E-2</v>
      </c>
      <c r="F102" s="212">
        <f t="shared" si="80"/>
        <v>43.499116899999997</v>
      </c>
      <c r="G102" s="211"/>
      <c r="H102" s="210"/>
      <c r="I102" s="212">
        <f t="shared" ref="I102:I103" si="89">F102+G102-H102</f>
        <v>43.499116899999997</v>
      </c>
      <c r="J102" s="200">
        <f t="shared" si="81"/>
        <v>13.73076533892</v>
      </c>
      <c r="K102" s="214"/>
      <c r="L102" s="215"/>
      <c r="M102" s="216">
        <f t="shared" si="86"/>
        <v>13.73076533892</v>
      </c>
      <c r="N102" s="212">
        <f t="shared" si="87"/>
        <v>29.768351561079996</v>
      </c>
      <c r="O102" s="212">
        <f t="shared" si="88"/>
        <v>29.768351561079996</v>
      </c>
    </row>
    <row r="103" spans="2:15" ht="18.75" thickBot="1">
      <c r="B103" s="206">
        <v>8</v>
      </c>
      <c r="C103" s="217" t="s">
        <v>132</v>
      </c>
      <c r="D103" s="208">
        <v>1700</v>
      </c>
      <c r="E103" s="218">
        <v>9.5000000000000001E-2</v>
      </c>
      <c r="F103" s="212">
        <f t="shared" si="80"/>
        <v>0</v>
      </c>
      <c r="G103" s="211"/>
      <c r="H103" s="219"/>
      <c r="I103" s="212">
        <f t="shared" si="89"/>
        <v>0</v>
      </c>
      <c r="J103" s="200">
        <f t="shared" si="81"/>
        <v>0</v>
      </c>
      <c r="K103" s="214"/>
      <c r="L103" s="215"/>
      <c r="M103" s="216">
        <f t="shared" si="86"/>
        <v>0</v>
      </c>
      <c r="N103" s="212">
        <f t="shared" si="87"/>
        <v>0</v>
      </c>
      <c r="O103" s="212">
        <f t="shared" si="88"/>
        <v>0</v>
      </c>
    </row>
    <row r="104" spans="2:15" ht="36.75" thickBot="1">
      <c r="B104" s="193">
        <v>9</v>
      </c>
      <c r="C104" s="217" t="s">
        <v>488</v>
      </c>
      <c r="D104" s="195">
        <v>1800</v>
      </c>
      <c r="E104" s="196">
        <v>6.3299999999999995E-2</v>
      </c>
      <c r="F104" s="199">
        <f t="shared" si="80"/>
        <v>0.62053437499999997</v>
      </c>
      <c r="G104" s="198"/>
      <c r="H104" s="197"/>
      <c r="I104" s="199">
        <f>F104+G104-H104</f>
        <v>0.62053437499999997</v>
      </c>
      <c r="J104" s="200">
        <f t="shared" si="81"/>
        <v>0.6138263958750001</v>
      </c>
      <c r="K104" s="201"/>
      <c r="L104" s="202"/>
      <c r="M104" s="203">
        <f>J104+K104-L104</f>
        <v>0.6138263958750001</v>
      </c>
      <c r="N104" s="204">
        <f>F104-J104</f>
        <v>6.7079791249998744E-3</v>
      </c>
      <c r="O104" s="204">
        <f>I104-M104</f>
        <v>6.7079791249998744E-3</v>
      </c>
    </row>
    <row r="105" spans="2:15" ht="18.75" thickBot="1">
      <c r="B105" s="206">
        <v>10</v>
      </c>
      <c r="C105" s="217" t="s">
        <v>489</v>
      </c>
      <c r="D105" s="208">
        <v>1900</v>
      </c>
      <c r="E105" s="209">
        <v>0.15</v>
      </c>
      <c r="F105" s="212">
        <f t="shared" si="80"/>
        <v>0.69570474299999996</v>
      </c>
      <c r="G105" s="211"/>
      <c r="H105" s="210"/>
      <c r="I105" s="212">
        <f>F105+G105-H105</f>
        <v>0.69570474299999996</v>
      </c>
      <c r="J105" s="200">
        <f t="shared" si="81"/>
        <v>0.6922989879</v>
      </c>
      <c r="K105" s="214"/>
      <c r="L105" s="215"/>
      <c r="M105" s="216">
        <f t="shared" ref="M105:M107" si="90">J105+K105-L105</f>
        <v>0.6922989879</v>
      </c>
      <c r="N105" s="212">
        <f t="shared" ref="N105:N107" si="91">F105-J105</f>
        <v>3.4057550999999631E-3</v>
      </c>
      <c r="O105" s="212">
        <f t="shared" ref="O105:O107" si="92">I105-M105</f>
        <v>3.4057550999999631E-3</v>
      </c>
    </row>
    <row r="106" spans="2:15" ht="18.75" thickBot="1">
      <c r="B106" s="206">
        <v>11</v>
      </c>
      <c r="C106" s="217" t="s">
        <v>134</v>
      </c>
      <c r="D106" s="208">
        <v>2100</v>
      </c>
      <c r="E106" s="209">
        <v>6.3299999999999995E-2</v>
      </c>
      <c r="F106" s="212">
        <f t="shared" si="80"/>
        <v>2.446789704</v>
      </c>
      <c r="G106" s="211"/>
      <c r="H106" s="210"/>
      <c r="I106" s="212">
        <f t="shared" ref="I106:I107" si="93">F106+G106-H106</f>
        <v>2.446789704</v>
      </c>
      <c r="J106" s="200">
        <f t="shared" si="81"/>
        <v>0.1011283805264</v>
      </c>
      <c r="K106" s="214"/>
      <c r="L106" s="215"/>
      <c r="M106" s="216">
        <f t="shared" si="90"/>
        <v>0.1011283805264</v>
      </c>
      <c r="N106" s="212">
        <f t="shared" si="91"/>
        <v>2.3456613234736001</v>
      </c>
      <c r="O106" s="212">
        <f t="shared" si="92"/>
        <v>2.3456613234736001</v>
      </c>
    </row>
    <row r="107" spans="2:15">
      <c r="B107" s="206"/>
      <c r="C107" s="217" t="s">
        <v>490</v>
      </c>
      <c r="D107" s="208">
        <v>2200</v>
      </c>
      <c r="E107" s="218">
        <v>0</v>
      </c>
      <c r="F107" s="212">
        <f t="shared" si="80"/>
        <v>0</v>
      </c>
      <c r="G107" s="211"/>
      <c r="H107" s="219"/>
      <c r="I107" s="212">
        <f t="shared" si="93"/>
        <v>0</v>
      </c>
      <c r="J107" s="200">
        <f t="shared" si="81"/>
        <v>0</v>
      </c>
      <c r="K107" s="214"/>
      <c r="L107" s="215"/>
      <c r="M107" s="216">
        <f t="shared" si="90"/>
        <v>0</v>
      </c>
      <c r="N107" s="212">
        <f t="shared" si="91"/>
        <v>0</v>
      </c>
      <c r="O107" s="212">
        <f t="shared" si="92"/>
        <v>0</v>
      </c>
    </row>
    <row r="108" spans="2:15" ht="18.75" thickBot="1">
      <c r="B108" s="221"/>
      <c r="C108" s="222" t="s">
        <v>139</v>
      </c>
      <c r="D108" s="222"/>
      <c r="E108" s="223">
        <f>IFERROR((K108-L108)/AVERAGE(F108,I108),0)</f>
        <v>9.0872333921368526E-3</v>
      </c>
      <c r="F108" s="224">
        <f>I91</f>
        <v>2475.5691448086582</v>
      </c>
      <c r="G108" s="224">
        <f>'F3'!L12</f>
        <v>0</v>
      </c>
      <c r="H108" s="224">
        <v>0</v>
      </c>
      <c r="I108" s="224">
        <f>F108+G108-H108</f>
        <v>2475.5691448086582</v>
      </c>
      <c r="J108" s="224">
        <f>M91</f>
        <v>2025.5499229279603</v>
      </c>
      <c r="K108" s="224">
        <f t="shared" ref="K108:L108" si="94">SUM(K96:K107)</f>
        <v>22.49607459724891</v>
      </c>
      <c r="L108" s="224">
        <f t="shared" si="94"/>
        <v>0</v>
      </c>
      <c r="M108" s="224">
        <f>J108+K108</f>
        <v>2048.0459975252093</v>
      </c>
      <c r="N108" s="224">
        <f>F108-J108</f>
        <v>450.01922188069784</v>
      </c>
      <c r="O108" s="224">
        <f>I108-M108</f>
        <v>427.52314728344891</v>
      </c>
    </row>
    <row r="109" spans="2:15" ht="18.75" thickBot="1"/>
    <row r="110" spans="2:15">
      <c r="B110" s="315" t="s">
        <v>473</v>
      </c>
      <c r="C110" s="316"/>
      <c r="D110" s="316"/>
      <c r="E110" s="316"/>
      <c r="F110" s="316"/>
      <c r="G110" s="316"/>
      <c r="H110" s="316"/>
      <c r="I110" s="316"/>
      <c r="J110" s="316"/>
      <c r="K110" s="316"/>
      <c r="L110" s="316"/>
      <c r="M110" s="316"/>
      <c r="N110" s="316"/>
      <c r="O110" s="317"/>
    </row>
    <row r="111" spans="2:15">
      <c r="B111" s="318" t="s">
        <v>2</v>
      </c>
      <c r="C111" s="320" t="s">
        <v>289</v>
      </c>
      <c r="D111" s="322" t="s">
        <v>277</v>
      </c>
      <c r="E111" s="322" t="s">
        <v>278</v>
      </c>
      <c r="F111" s="322" t="s">
        <v>279</v>
      </c>
      <c r="G111" s="322"/>
      <c r="H111" s="322"/>
      <c r="I111" s="322"/>
      <c r="J111" s="322" t="s">
        <v>280</v>
      </c>
      <c r="K111" s="322"/>
      <c r="L111" s="322"/>
      <c r="M111" s="322"/>
      <c r="N111" s="322" t="s">
        <v>281</v>
      </c>
      <c r="O111" s="324"/>
    </row>
    <row r="112" spans="2:15" ht="90.75" thickBot="1">
      <c r="B112" s="319"/>
      <c r="C112" s="321"/>
      <c r="D112" s="323"/>
      <c r="E112" s="323"/>
      <c r="F112" s="191" t="s">
        <v>282</v>
      </c>
      <c r="G112" s="191" t="s">
        <v>138</v>
      </c>
      <c r="H112" s="191" t="s">
        <v>283</v>
      </c>
      <c r="I112" s="191" t="s">
        <v>284</v>
      </c>
      <c r="J112" s="191" t="s">
        <v>285</v>
      </c>
      <c r="K112" s="191" t="s">
        <v>138</v>
      </c>
      <c r="L112" s="191" t="s">
        <v>286</v>
      </c>
      <c r="M112" s="191" t="s">
        <v>287</v>
      </c>
      <c r="N112" s="191" t="s">
        <v>282</v>
      </c>
      <c r="O112" s="192" t="s">
        <v>284</v>
      </c>
    </row>
    <row r="113" spans="2:15" ht="18.75" thickBot="1">
      <c r="B113" s="193">
        <v>1</v>
      </c>
      <c r="C113" s="194" t="s">
        <v>483</v>
      </c>
      <c r="D113" s="195">
        <v>1000</v>
      </c>
      <c r="E113" s="196">
        <v>0</v>
      </c>
      <c r="F113" s="199">
        <f t="shared" ref="F113:F124" si="95">I96</f>
        <v>0</v>
      </c>
      <c r="G113" s="198"/>
      <c r="H113" s="197"/>
      <c r="I113" s="199">
        <f>F113+G113-H113</f>
        <v>0</v>
      </c>
      <c r="J113" s="200">
        <f>M96</f>
        <v>0</v>
      </c>
      <c r="K113" s="201"/>
      <c r="L113" s="202"/>
      <c r="M113" s="203">
        <f>J113+K113-L113</f>
        <v>0</v>
      </c>
      <c r="N113" s="204">
        <f>F113-J113</f>
        <v>0</v>
      </c>
      <c r="O113" s="204">
        <f>I113-M113</f>
        <v>0</v>
      </c>
    </row>
    <row r="114" spans="2:15" ht="18.75" thickBot="1">
      <c r="B114" s="206">
        <v>2</v>
      </c>
      <c r="C114" s="207" t="s">
        <v>128</v>
      </c>
      <c r="D114" s="208">
        <v>1100</v>
      </c>
      <c r="E114" s="209">
        <v>3.3399999999999999E-2</v>
      </c>
      <c r="F114" s="212">
        <f t="shared" si="95"/>
        <v>190.55004130700001</v>
      </c>
      <c r="G114" s="211"/>
      <c r="H114" s="210"/>
      <c r="I114" s="212">
        <f>F114+G114-H114</f>
        <v>190.55004130700001</v>
      </c>
      <c r="J114" s="200">
        <f t="shared" ref="J114:J124" si="96">M97</f>
        <v>129.2996083593076</v>
      </c>
      <c r="K114" s="214"/>
      <c r="L114" s="215"/>
      <c r="M114" s="216">
        <f t="shared" ref="M114:M116" si="97">J114+K114-L114</f>
        <v>129.2996083593076</v>
      </c>
      <c r="N114" s="212">
        <f t="shared" ref="N114:N116" si="98">F114-J114</f>
        <v>61.250432947692417</v>
      </c>
      <c r="O114" s="212">
        <f t="shared" ref="O114:O116" si="99">I114-M114</f>
        <v>61.250432947692417</v>
      </c>
    </row>
    <row r="115" spans="2:15" ht="18.75" thickBot="1">
      <c r="B115" s="206">
        <v>3</v>
      </c>
      <c r="C115" s="194" t="s">
        <v>484</v>
      </c>
      <c r="D115" s="208">
        <v>1200</v>
      </c>
      <c r="E115" s="209">
        <v>5.28E-2</v>
      </c>
      <c r="F115" s="212">
        <f t="shared" si="95"/>
        <v>0</v>
      </c>
      <c r="G115" s="211"/>
      <c r="H115" s="210"/>
      <c r="I115" s="212">
        <f t="shared" ref="I115:I116" si="100">F115+G115-H115</f>
        <v>0</v>
      </c>
      <c r="J115" s="200">
        <f t="shared" si="96"/>
        <v>0</v>
      </c>
      <c r="K115" s="214"/>
      <c r="L115" s="215"/>
      <c r="M115" s="216">
        <f t="shared" si="97"/>
        <v>0</v>
      </c>
      <c r="N115" s="212">
        <f t="shared" si="98"/>
        <v>0</v>
      </c>
      <c r="O115" s="212">
        <f t="shared" si="99"/>
        <v>0</v>
      </c>
    </row>
    <row r="116" spans="2:15" ht="18.75" thickBot="1">
      <c r="B116" s="206">
        <v>4</v>
      </c>
      <c r="C116" s="217" t="s">
        <v>127</v>
      </c>
      <c r="D116" s="208">
        <v>1300</v>
      </c>
      <c r="E116" s="218">
        <v>5.28E-2</v>
      </c>
      <c r="F116" s="212">
        <f t="shared" si="95"/>
        <v>2043.1012801769998</v>
      </c>
      <c r="G116" s="211"/>
      <c r="H116" s="219"/>
      <c r="I116" s="212">
        <f t="shared" si="100"/>
        <v>2043.1012801769998</v>
      </c>
      <c r="J116" s="200">
        <f t="shared" si="96"/>
        <v>1750.7315483416337</v>
      </c>
      <c r="K116" s="214">
        <v>22.496074597248935</v>
      </c>
      <c r="L116" s="215"/>
      <c r="M116" s="216">
        <f t="shared" si="97"/>
        <v>1773.2276229388826</v>
      </c>
      <c r="N116" s="212">
        <f t="shared" si="98"/>
        <v>292.36973183536611</v>
      </c>
      <c r="O116" s="212">
        <f t="shared" si="99"/>
        <v>269.87365723811718</v>
      </c>
    </row>
    <row r="117" spans="2:15" ht="18.75" thickBot="1">
      <c r="B117" s="193">
        <v>5</v>
      </c>
      <c r="C117" s="217" t="s">
        <v>485</v>
      </c>
      <c r="D117" s="195">
        <v>1400</v>
      </c>
      <c r="E117" s="196">
        <v>5.28E-2</v>
      </c>
      <c r="F117" s="199">
        <f t="shared" si="95"/>
        <v>15.863765349000001</v>
      </c>
      <c r="G117" s="198"/>
      <c r="H117" s="197"/>
      <c r="I117" s="199">
        <f>F117+G117-H117</f>
        <v>15.863765349000001</v>
      </c>
      <c r="J117" s="200">
        <f t="shared" si="96"/>
        <v>4.1204466778543996</v>
      </c>
      <c r="K117" s="201"/>
      <c r="L117" s="202"/>
      <c r="M117" s="203">
        <f>J117+K117-L117</f>
        <v>4.1204466778543996</v>
      </c>
      <c r="N117" s="204">
        <f>F117-J117</f>
        <v>11.743318671145602</v>
      </c>
      <c r="O117" s="204">
        <f>I117-M117</f>
        <v>11.743318671145602</v>
      </c>
    </row>
    <row r="118" spans="2:15" ht="18.75" thickBot="1">
      <c r="B118" s="206">
        <v>6</v>
      </c>
      <c r="C118" s="217" t="s">
        <v>486</v>
      </c>
      <c r="D118" s="208">
        <v>1500</v>
      </c>
      <c r="E118" s="209">
        <v>5.28E-2</v>
      </c>
      <c r="F118" s="212">
        <f t="shared" si="95"/>
        <v>178.79276744500001</v>
      </c>
      <c r="G118" s="211"/>
      <c r="H118" s="210"/>
      <c r="I118" s="212">
        <f>F118+G118-H118</f>
        <v>178.79276744500001</v>
      </c>
      <c r="J118" s="200">
        <f t="shared" si="96"/>
        <v>148.75637504319201</v>
      </c>
      <c r="K118" s="214"/>
      <c r="L118" s="215"/>
      <c r="M118" s="216">
        <f t="shared" ref="M118:M120" si="101">J118+K118-L118</f>
        <v>148.75637504319201</v>
      </c>
      <c r="N118" s="212">
        <f t="shared" ref="N118:N120" si="102">F118-J118</f>
        <v>30.036392401808001</v>
      </c>
      <c r="O118" s="212">
        <f t="shared" ref="O118:O120" si="103">I118-M118</f>
        <v>30.036392401808001</v>
      </c>
    </row>
    <row r="119" spans="2:15" ht="18.75" thickBot="1">
      <c r="B119" s="206">
        <v>7</v>
      </c>
      <c r="C119" s="217" t="s">
        <v>487</v>
      </c>
      <c r="D119" s="208">
        <v>1600</v>
      </c>
      <c r="E119" s="209">
        <v>3.3399999999999999E-2</v>
      </c>
      <c r="F119" s="212">
        <f t="shared" si="95"/>
        <v>43.499116899999997</v>
      </c>
      <c r="G119" s="211"/>
      <c r="H119" s="210"/>
      <c r="I119" s="212">
        <f t="shared" ref="I119:I120" si="104">F119+G119-H119</f>
        <v>43.499116899999997</v>
      </c>
      <c r="J119" s="200">
        <f t="shared" si="96"/>
        <v>13.73076533892</v>
      </c>
      <c r="K119" s="214"/>
      <c r="L119" s="215"/>
      <c r="M119" s="216">
        <f t="shared" si="101"/>
        <v>13.73076533892</v>
      </c>
      <c r="N119" s="212">
        <f t="shared" si="102"/>
        <v>29.768351561079996</v>
      </c>
      <c r="O119" s="212">
        <f t="shared" si="103"/>
        <v>29.768351561079996</v>
      </c>
    </row>
    <row r="120" spans="2:15" ht="18.75" thickBot="1">
      <c r="B120" s="206">
        <v>8</v>
      </c>
      <c r="C120" s="217" t="s">
        <v>132</v>
      </c>
      <c r="D120" s="208">
        <v>1700</v>
      </c>
      <c r="E120" s="218">
        <v>9.5000000000000001E-2</v>
      </c>
      <c r="F120" s="212">
        <f t="shared" si="95"/>
        <v>0</v>
      </c>
      <c r="G120" s="211"/>
      <c r="H120" s="219"/>
      <c r="I120" s="212">
        <f t="shared" si="104"/>
        <v>0</v>
      </c>
      <c r="J120" s="200">
        <f t="shared" si="96"/>
        <v>0</v>
      </c>
      <c r="K120" s="214"/>
      <c r="L120" s="215"/>
      <c r="M120" s="216">
        <f t="shared" si="101"/>
        <v>0</v>
      </c>
      <c r="N120" s="212">
        <f t="shared" si="102"/>
        <v>0</v>
      </c>
      <c r="O120" s="212">
        <f t="shared" si="103"/>
        <v>0</v>
      </c>
    </row>
    <row r="121" spans="2:15" ht="36.75" thickBot="1">
      <c r="B121" s="193">
        <v>9</v>
      </c>
      <c r="C121" s="217" t="s">
        <v>488</v>
      </c>
      <c r="D121" s="195">
        <v>1800</v>
      </c>
      <c r="E121" s="196">
        <v>6.3299999999999995E-2</v>
      </c>
      <c r="F121" s="199">
        <f t="shared" si="95"/>
        <v>0.62053437499999997</v>
      </c>
      <c r="G121" s="198"/>
      <c r="H121" s="197"/>
      <c r="I121" s="199">
        <f>F121+G121-H121</f>
        <v>0.62053437499999997</v>
      </c>
      <c r="J121" s="200">
        <f t="shared" si="96"/>
        <v>0.6138263958750001</v>
      </c>
      <c r="K121" s="201"/>
      <c r="L121" s="202"/>
      <c r="M121" s="203">
        <f>J121+K121-L121</f>
        <v>0.6138263958750001</v>
      </c>
      <c r="N121" s="204">
        <f>F121-J121</f>
        <v>6.7079791249998744E-3</v>
      </c>
      <c r="O121" s="204">
        <f>I121-M121</f>
        <v>6.7079791249998744E-3</v>
      </c>
    </row>
    <row r="122" spans="2:15" ht="18.75" thickBot="1">
      <c r="B122" s="206">
        <v>10</v>
      </c>
      <c r="C122" s="217" t="s">
        <v>489</v>
      </c>
      <c r="D122" s="208">
        <v>1900</v>
      </c>
      <c r="E122" s="209">
        <v>0.15</v>
      </c>
      <c r="F122" s="212">
        <f t="shared" si="95"/>
        <v>0.69570474299999996</v>
      </c>
      <c r="G122" s="211"/>
      <c r="H122" s="210"/>
      <c r="I122" s="212">
        <f>F122+G122-H122</f>
        <v>0.69570474299999996</v>
      </c>
      <c r="J122" s="200">
        <f t="shared" si="96"/>
        <v>0.6922989879</v>
      </c>
      <c r="K122" s="214"/>
      <c r="L122" s="215"/>
      <c r="M122" s="216">
        <f t="shared" ref="M122:M124" si="105">J122+K122-L122</f>
        <v>0.6922989879</v>
      </c>
      <c r="N122" s="212">
        <f t="shared" ref="N122:N124" si="106">F122-J122</f>
        <v>3.4057550999999631E-3</v>
      </c>
      <c r="O122" s="212">
        <f t="shared" ref="O122:O124" si="107">I122-M122</f>
        <v>3.4057550999999631E-3</v>
      </c>
    </row>
    <row r="123" spans="2:15" ht="18.75" thickBot="1">
      <c r="B123" s="206">
        <v>11</v>
      </c>
      <c r="C123" s="217" t="s">
        <v>134</v>
      </c>
      <c r="D123" s="208">
        <v>2100</v>
      </c>
      <c r="E123" s="209">
        <v>6.3299999999999995E-2</v>
      </c>
      <c r="F123" s="212">
        <f t="shared" si="95"/>
        <v>2.446789704</v>
      </c>
      <c r="G123" s="211"/>
      <c r="H123" s="210"/>
      <c r="I123" s="212">
        <f t="shared" ref="I123:I124" si="108">F123+G123-H123</f>
        <v>2.446789704</v>
      </c>
      <c r="J123" s="200">
        <f t="shared" si="96"/>
        <v>0.1011283805264</v>
      </c>
      <c r="K123" s="214"/>
      <c r="L123" s="215"/>
      <c r="M123" s="216">
        <f t="shared" si="105"/>
        <v>0.1011283805264</v>
      </c>
      <c r="N123" s="212">
        <f t="shared" si="106"/>
        <v>2.3456613234736001</v>
      </c>
      <c r="O123" s="212">
        <f t="shared" si="107"/>
        <v>2.3456613234736001</v>
      </c>
    </row>
    <row r="124" spans="2:15">
      <c r="B124" s="206"/>
      <c r="C124" s="217" t="s">
        <v>490</v>
      </c>
      <c r="D124" s="208">
        <v>2200</v>
      </c>
      <c r="E124" s="218">
        <v>0</v>
      </c>
      <c r="F124" s="212">
        <f t="shared" si="95"/>
        <v>0</v>
      </c>
      <c r="G124" s="211"/>
      <c r="H124" s="219"/>
      <c r="I124" s="212">
        <f t="shared" si="108"/>
        <v>0</v>
      </c>
      <c r="J124" s="200">
        <f t="shared" si="96"/>
        <v>0</v>
      </c>
      <c r="K124" s="214"/>
      <c r="L124" s="215"/>
      <c r="M124" s="216">
        <f t="shared" si="105"/>
        <v>0</v>
      </c>
      <c r="N124" s="212">
        <f t="shared" si="106"/>
        <v>0</v>
      </c>
      <c r="O124" s="212">
        <f t="shared" si="107"/>
        <v>0</v>
      </c>
    </row>
    <row r="125" spans="2:15" ht="18.75" thickBot="1">
      <c r="B125" s="221"/>
      <c r="C125" s="222" t="s">
        <v>139</v>
      </c>
      <c r="D125" s="222"/>
      <c r="E125" s="223">
        <f>IFERROR((K125-L125)/AVERAGE(F125,I125),0)</f>
        <v>9.066039247051837E-3</v>
      </c>
      <c r="F125" s="224">
        <f>I108</f>
        <v>2475.5691448086582</v>
      </c>
      <c r="G125" s="224">
        <f>'F3'!M12</f>
        <v>11.574529999999999</v>
      </c>
      <c r="H125" s="224">
        <f t="shared" ref="H125:L125" si="109">SUM(H113:H124)</f>
        <v>0</v>
      </c>
      <c r="I125" s="224">
        <f>F125+G125-H125</f>
        <v>2487.143674808658</v>
      </c>
      <c r="J125" s="224">
        <f>M108</f>
        <v>2048.0459975252093</v>
      </c>
      <c r="K125" s="224">
        <f t="shared" si="109"/>
        <v>22.496074597248935</v>
      </c>
      <c r="L125" s="224">
        <f t="shared" si="109"/>
        <v>0</v>
      </c>
      <c r="M125" s="224">
        <f>J125+K125</f>
        <v>2070.5420721224582</v>
      </c>
      <c r="N125" s="224">
        <f>F125-J125</f>
        <v>427.52314728344891</v>
      </c>
      <c r="O125" s="224">
        <f>I125-M125</f>
        <v>416.60160268619984</v>
      </c>
    </row>
  </sheetData>
  <mergeCells count="59">
    <mergeCell ref="B2:O2"/>
    <mergeCell ref="B3:O3"/>
    <mergeCell ref="B4:O4"/>
    <mergeCell ref="B6:O6"/>
    <mergeCell ref="J25:M25"/>
    <mergeCell ref="N25:O25"/>
    <mergeCell ref="B24:O24"/>
    <mergeCell ref="B7:B8"/>
    <mergeCell ref="C7:C8"/>
    <mergeCell ref="D7:D8"/>
    <mergeCell ref="E7:E8"/>
    <mergeCell ref="F7:I7"/>
    <mergeCell ref="J7:M7"/>
    <mergeCell ref="N7:O7"/>
    <mergeCell ref="B25:B26"/>
    <mergeCell ref="C25:C26"/>
    <mergeCell ref="D25:D26"/>
    <mergeCell ref="E25:E26"/>
    <mergeCell ref="F25:I25"/>
    <mergeCell ref="B42:O42"/>
    <mergeCell ref="B43:B44"/>
    <mergeCell ref="C43:C44"/>
    <mergeCell ref="D43:D44"/>
    <mergeCell ref="E43:E44"/>
    <mergeCell ref="F43:I43"/>
    <mergeCell ref="J43:M43"/>
    <mergeCell ref="N43:O43"/>
    <mergeCell ref="B59:O59"/>
    <mergeCell ref="B60:B61"/>
    <mergeCell ref="C60:C61"/>
    <mergeCell ref="D60:D61"/>
    <mergeCell ref="E60:E61"/>
    <mergeCell ref="F60:I60"/>
    <mergeCell ref="J60:M60"/>
    <mergeCell ref="N60:O60"/>
    <mergeCell ref="B76:O76"/>
    <mergeCell ref="B77:B78"/>
    <mergeCell ref="C77:C78"/>
    <mergeCell ref="D77:D78"/>
    <mergeCell ref="E77:E78"/>
    <mergeCell ref="F77:I77"/>
    <mergeCell ref="J77:M77"/>
    <mergeCell ref="N77:O77"/>
    <mergeCell ref="B93:O93"/>
    <mergeCell ref="B94:B95"/>
    <mergeCell ref="C94:C95"/>
    <mergeCell ref="D94:D95"/>
    <mergeCell ref="E94:E95"/>
    <mergeCell ref="F94:I94"/>
    <mergeCell ref="J94:M94"/>
    <mergeCell ref="N94:O94"/>
    <mergeCell ref="B110:O110"/>
    <mergeCell ref="B111:B112"/>
    <mergeCell ref="C111:C112"/>
    <mergeCell ref="D111:D112"/>
    <mergeCell ref="E111:E112"/>
    <mergeCell ref="F111:I111"/>
    <mergeCell ref="J111:M111"/>
    <mergeCell ref="N111:O111"/>
  </mergeCells>
  <pageMargins left="0" right="0" top="0" bottom="0" header="0.25" footer="0.25"/>
  <pageSetup paperSize="9" scale="68" fitToHeight="0" orientation="landscape" r:id="rId1"/>
  <headerFooter alignWithMargins="0">
    <oddHeader>&amp;F</oddHeader>
  </headerFooter>
  <rowBreaks count="3" manualBreakCount="3">
    <brk id="40" max="16383" man="1"/>
    <brk id="74" max="16383" man="1"/>
    <brk id="10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B1:N60"/>
  <sheetViews>
    <sheetView showGridLines="0" view="pageBreakPreview" zoomScale="90" zoomScaleNormal="96" zoomScaleSheetLayoutView="90" workbookViewId="0">
      <selection activeCell="L51" sqref="L51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3.7109375" style="5" customWidth="1"/>
    <col min="4" max="13" width="15.140625" style="40" customWidth="1"/>
    <col min="14" max="14" width="11.7109375" style="40" bestFit="1" customWidth="1"/>
    <col min="15" max="16" width="11.7109375" style="5" bestFit="1" customWidth="1"/>
    <col min="17" max="16384" width="9.28515625" style="5"/>
  </cols>
  <sheetData>
    <row r="1" spans="2:14" ht="15">
      <c r="B1" s="30"/>
    </row>
    <row r="2" spans="2:14" ht="15.75">
      <c r="B2" s="292" t="s">
        <v>517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</row>
    <row r="3" spans="2:14" ht="15.75">
      <c r="B3" s="292" t="s">
        <v>518</v>
      </c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</row>
    <row r="4" spans="2:14" ht="15.75">
      <c r="B4" s="292" t="s">
        <v>525</v>
      </c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</row>
    <row r="5" spans="2:14" ht="15">
      <c r="B5" s="39" t="s">
        <v>57</v>
      </c>
      <c r="C5" s="30" t="s">
        <v>295</v>
      </c>
      <c r="D5" s="281"/>
      <c r="E5" s="281"/>
      <c r="F5" s="281"/>
      <c r="G5" s="281"/>
      <c r="H5" s="281"/>
      <c r="I5" s="281"/>
      <c r="J5" s="281"/>
    </row>
    <row r="6" spans="2:14" ht="15">
      <c r="M6" s="282" t="s">
        <v>4</v>
      </c>
    </row>
    <row r="7" spans="2:14" s="19" customFormat="1" ht="29.25" customHeight="1">
      <c r="B7" s="296" t="s">
        <v>200</v>
      </c>
      <c r="C7" s="299" t="s">
        <v>18</v>
      </c>
      <c r="D7" s="303" t="s">
        <v>503</v>
      </c>
      <c r="E7" s="304"/>
      <c r="F7" s="305"/>
      <c r="G7" s="303" t="s">
        <v>513</v>
      </c>
      <c r="H7" s="304"/>
      <c r="I7" s="309" t="s">
        <v>238</v>
      </c>
      <c r="J7" s="309"/>
      <c r="K7" s="309"/>
      <c r="L7" s="309"/>
      <c r="M7" s="309"/>
      <c r="N7" s="62"/>
    </row>
    <row r="8" spans="2:14" s="19" customFormat="1" ht="30">
      <c r="B8" s="297"/>
      <c r="C8" s="299"/>
      <c r="D8" s="279" t="s">
        <v>377</v>
      </c>
      <c r="E8" s="279" t="s">
        <v>256</v>
      </c>
      <c r="F8" s="279" t="s">
        <v>216</v>
      </c>
      <c r="G8" s="279" t="s">
        <v>377</v>
      </c>
      <c r="H8" s="279" t="s">
        <v>255</v>
      </c>
      <c r="I8" s="279" t="s">
        <v>469</v>
      </c>
      <c r="J8" s="279" t="s">
        <v>470</v>
      </c>
      <c r="K8" s="279" t="s">
        <v>471</v>
      </c>
      <c r="L8" s="279" t="s">
        <v>472</v>
      </c>
      <c r="M8" s="279" t="s">
        <v>473</v>
      </c>
      <c r="N8" s="62"/>
    </row>
    <row r="9" spans="2:14" s="19" customFormat="1" ht="15">
      <c r="B9" s="298"/>
      <c r="C9" s="300"/>
      <c r="D9" s="279" t="s">
        <v>10</v>
      </c>
      <c r="E9" s="279" t="s">
        <v>12</v>
      </c>
      <c r="F9" s="279" t="s">
        <v>245</v>
      </c>
      <c r="G9" s="279" t="s">
        <v>10</v>
      </c>
      <c r="H9" s="279" t="s">
        <v>5</v>
      </c>
      <c r="I9" s="279" t="s">
        <v>8</v>
      </c>
      <c r="J9" s="279" t="s">
        <v>8</v>
      </c>
      <c r="K9" s="279" t="s">
        <v>8</v>
      </c>
      <c r="L9" s="279" t="s">
        <v>8</v>
      </c>
      <c r="M9" s="279" t="s">
        <v>8</v>
      </c>
      <c r="N9" s="62"/>
    </row>
    <row r="10" spans="2:14">
      <c r="B10" s="68">
        <v>1</v>
      </c>
      <c r="C10" s="33" t="s">
        <v>178</v>
      </c>
      <c r="D10" s="141">
        <f>E10</f>
        <v>1731.3520000000001</v>
      </c>
      <c r="E10" s="125">
        <f>F10</f>
        <v>1731.3520000000001</v>
      </c>
      <c r="F10" s="125">
        <f>'F4'!F22*70%</f>
        <v>1731.3520000000001</v>
      </c>
      <c r="G10" s="129"/>
      <c r="H10" s="129">
        <f>F10+F14</f>
        <v>1731.2610000000002</v>
      </c>
      <c r="I10" s="129">
        <f>H10+H14</f>
        <v>1731.2610000000002</v>
      </c>
      <c r="J10" s="129">
        <f t="shared" ref="J10:M10" si="0">I10+I14</f>
        <v>1732.8984013660609</v>
      </c>
      <c r="K10" s="129">
        <f t="shared" si="0"/>
        <v>1732.8984013660609</v>
      </c>
      <c r="L10" s="129">
        <f t="shared" si="0"/>
        <v>1732.8984013660609</v>
      </c>
      <c r="M10" s="129">
        <f t="shared" si="0"/>
        <v>1732.8984013660609</v>
      </c>
    </row>
    <row r="11" spans="2:14">
      <c r="B11" s="26">
        <f>B10+1</f>
        <v>2</v>
      </c>
      <c r="C11" s="33" t="s">
        <v>179</v>
      </c>
      <c r="D11" s="141">
        <f>E11</f>
        <v>1706.01</v>
      </c>
      <c r="E11" s="125">
        <f>'F4'!J22</f>
        <v>1706.01</v>
      </c>
      <c r="F11" s="125">
        <f>E11</f>
        <v>1706.01</v>
      </c>
      <c r="G11" s="129"/>
      <c r="H11" s="129">
        <f>F11+F15</f>
        <v>1832.13</v>
      </c>
      <c r="I11" s="129">
        <f>H11+H15</f>
        <v>1958.25</v>
      </c>
      <c r="J11" s="129">
        <f t="shared" ref="J11:M11" si="1">I11+I15</f>
        <v>1980.5546200517942</v>
      </c>
      <c r="K11" s="129">
        <f t="shared" si="1"/>
        <v>2003.0506946490432</v>
      </c>
      <c r="L11" s="129">
        <f t="shared" si="1"/>
        <v>2025.5467692462921</v>
      </c>
      <c r="M11" s="129">
        <f t="shared" si="1"/>
        <v>2048.042843843541</v>
      </c>
    </row>
    <row r="12" spans="2:14" ht="15">
      <c r="B12" s="26">
        <f t="shared" ref="B12:B22" si="2">B11+1</f>
        <v>3</v>
      </c>
      <c r="C12" s="35" t="s">
        <v>180</v>
      </c>
      <c r="D12" s="283">
        <f>D10-D11</f>
        <v>25.342000000000098</v>
      </c>
      <c r="E12" s="283">
        <f t="shared" ref="E12:M12" si="3">E10-E11</f>
        <v>25.342000000000098</v>
      </c>
      <c r="F12" s="283">
        <f t="shared" si="3"/>
        <v>25.342000000000098</v>
      </c>
      <c r="G12" s="283">
        <f>G10-G11</f>
        <v>0</v>
      </c>
      <c r="H12" s="283">
        <f t="shared" si="3"/>
        <v>-100.86899999999991</v>
      </c>
      <c r="I12" s="283">
        <f>I10-I11</f>
        <v>-226.98899999999981</v>
      </c>
      <c r="J12" s="283">
        <f t="shared" si="3"/>
        <v>-247.65621868573339</v>
      </c>
      <c r="K12" s="283">
        <f t="shared" si="3"/>
        <v>-270.15229328298233</v>
      </c>
      <c r="L12" s="283">
        <f t="shared" si="3"/>
        <v>-292.64836788023126</v>
      </c>
      <c r="M12" s="283">
        <f t="shared" si="3"/>
        <v>-315.1444424774802</v>
      </c>
    </row>
    <row r="13" spans="2:14" ht="28.5">
      <c r="B13" s="26">
        <f t="shared" si="2"/>
        <v>4</v>
      </c>
      <c r="C13" s="72" t="s">
        <v>181</v>
      </c>
      <c r="D13" s="284"/>
      <c r="E13" s="284"/>
      <c r="F13" s="284"/>
      <c r="G13" s="284"/>
      <c r="H13" s="284"/>
      <c r="I13" s="284"/>
      <c r="J13" s="284"/>
      <c r="K13" s="284"/>
      <c r="L13" s="284"/>
      <c r="M13" s="284"/>
    </row>
    <row r="14" spans="2:14" s="38" customFormat="1" ht="28.5">
      <c r="B14" s="26">
        <f t="shared" si="2"/>
        <v>5</v>
      </c>
      <c r="C14" s="43" t="s">
        <v>417</v>
      </c>
      <c r="D14" s="284"/>
      <c r="E14" s="125">
        <f>'F4'!G22*70%</f>
        <v>-9.0999999999999998E-2</v>
      </c>
      <c r="F14" s="125">
        <f>E14</f>
        <v>-9.0999999999999998E-2</v>
      </c>
      <c r="G14" s="125"/>
      <c r="H14" s="125">
        <f>F3.1!H15*70%</f>
        <v>0</v>
      </c>
      <c r="I14" s="125">
        <f>F3.1!H21*70%</f>
        <v>1.637401366060568</v>
      </c>
      <c r="J14" s="125">
        <f>F3.1!H27*70%</f>
        <v>0</v>
      </c>
      <c r="K14" s="125">
        <f>F3.1!H33*70%</f>
        <v>0</v>
      </c>
      <c r="L14" s="125">
        <f>F3.1!H39*70%</f>
        <v>0</v>
      </c>
      <c r="M14" s="125">
        <f>F3.1!H45*70%</f>
        <v>8.1021709999999985</v>
      </c>
      <c r="N14" s="281"/>
    </row>
    <row r="15" spans="2:14">
      <c r="B15" s="26">
        <f t="shared" si="2"/>
        <v>6</v>
      </c>
      <c r="C15" s="72" t="s">
        <v>186</v>
      </c>
      <c r="D15" s="285">
        <f>'F1'!F12</f>
        <v>129.12</v>
      </c>
      <c r="E15" s="285">
        <f>'F1'!G12</f>
        <v>126.12</v>
      </c>
      <c r="F15" s="285">
        <f>'F1'!H12</f>
        <v>126.12</v>
      </c>
      <c r="G15" s="285">
        <f>'F1'!I12</f>
        <v>130.58000000000001</v>
      </c>
      <c r="H15" s="285">
        <f>'F1'!J12</f>
        <v>126.12</v>
      </c>
      <c r="I15" s="285">
        <f>'F1'!K12</f>
        <v>22.304620051794341</v>
      </c>
      <c r="J15" s="285">
        <f>'F1'!L12</f>
        <v>22.496074597248914</v>
      </c>
      <c r="K15" s="285">
        <f>'F1'!M12</f>
        <v>22.496074597248914</v>
      </c>
      <c r="L15" s="285">
        <f>'F1'!N12</f>
        <v>22.49607459724891</v>
      </c>
      <c r="M15" s="285">
        <f>'F1'!O12</f>
        <v>22.496074597248935</v>
      </c>
    </row>
    <row r="16" spans="2:14" ht="15">
      <c r="B16" s="26">
        <f t="shared" si="2"/>
        <v>7</v>
      </c>
      <c r="C16" s="33" t="s">
        <v>182</v>
      </c>
      <c r="D16" s="283">
        <v>0</v>
      </c>
      <c r="E16" s="283">
        <v>0</v>
      </c>
      <c r="F16" s="283">
        <v>0</v>
      </c>
      <c r="G16" s="283">
        <f t="shared" ref="G16:M16" si="4">G12-G13+G14-G15</f>
        <v>-130.58000000000001</v>
      </c>
      <c r="H16" s="283">
        <f t="shared" si="4"/>
        <v>-226.98899999999992</v>
      </c>
      <c r="I16" s="283">
        <f t="shared" si="4"/>
        <v>-247.65621868573356</v>
      </c>
      <c r="J16" s="283">
        <f t="shared" si="4"/>
        <v>-270.15229328298233</v>
      </c>
      <c r="K16" s="283">
        <f t="shared" si="4"/>
        <v>-292.64836788023126</v>
      </c>
      <c r="L16" s="283">
        <f t="shared" si="4"/>
        <v>-315.1444424774802</v>
      </c>
      <c r="M16" s="283">
        <f t="shared" si="4"/>
        <v>-329.53834607472913</v>
      </c>
    </row>
    <row r="17" spans="2:13" ht="15">
      <c r="B17" s="26">
        <f t="shared" si="2"/>
        <v>8</v>
      </c>
      <c r="C17" s="33" t="s">
        <v>183</v>
      </c>
      <c r="D17" s="283">
        <f>D10-D13+D14-D15</f>
        <v>1602.232</v>
      </c>
      <c r="E17" s="283">
        <f t="shared" ref="E17:M17" si="5">E10-E13+E14-E15</f>
        <v>1605.1410000000001</v>
      </c>
      <c r="F17" s="283">
        <f t="shared" si="5"/>
        <v>1605.1410000000001</v>
      </c>
      <c r="G17" s="283">
        <f t="shared" si="5"/>
        <v>-130.58000000000001</v>
      </c>
      <c r="H17" s="283">
        <f t="shared" si="5"/>
        <v>1605.1410000000001</v>
      </c>
      <c r="I17" s="283">
        <f t="shared" si="5"/>
        <v>1710.5937813142666</v>
      </c>
      <c r="J17" s="283">
        <f t="shared" si="5"/>
        <v>1710.4023267688119</v>
      </c>
      <c r="K17" s="283">
        <f t="shared" si="5"/>
        <v>1710.4023267688119</v>
      </c>
      <c r="L17" s="283">
        <f t="shared" si="5"/>
        <v>1710.4023267688119</v>
      </c>
      <c r="M17" s="283">
        <f t="shared" si="5"/>
        <v>1718.5044977688119</v>
      </c>
    </row>
    <row r="18" spans="2:13" ht="15">
      <c r="B18" s="26">
        <f t="shared" si="2"/>
        <v>9</v>
      </c>
      <c r="C18" s="33" t="s">
        <v>222</v>
      </c>
      <c r="D18" s="283">
        <f>AVERAGE(D12,D16)</f>
        <v>12.671000000000049</v>
      </c>
      <c r="E18" s="283">
        <f t="shared" ref="E18:M18" si="6">AVERAGE(E12,E16)</f>
        <v>12.671000000000049</v>
      </c>
      <c r="F18" s="283">
        <f t="shared" si="6"/>
        <v>12.671000000000049</v>
      </c>
      <c r="G18" s="283">
        <f t="shared" si="6"/>
        <v>-65.290000000000006</v>
      </c>
      <c r="H18" s="283">
        <f t="shared" si="6"/>
        <v>-163.92899999999992</v>
      </c>
      <c r="I18" s="283">
        <f t="shared" si="6"/>
        <v>-237.32260934286668</v>
      </c>
      <c r="J18" s="283">
        <f t="shared" si="6"/>
        <v>-258.90425598435786</v>
      </c>
      <c r="K18" s="283">
        <f t="shared" si="6"/>
        <v>-281.4003305816068</v>
      </c>
      <c r="L18" s="283">
        <f t="shared" si="6"/>
        <v>-303.89640517885573</v>
      </c>
      <c r="M18" s="283">
        <f t="shared" si="6"/>
        <v>-322.34139427610467</v>
      </c>
    </row>
    <row r="19" spans="2:13">
      <c r="B19" s="26">
        <f t="shared" si="2"/>
        <v>10</v>
      </c>
      <c r="C19" s="72" t="s">
        <v>221</v>
      </c>
      <c r="D19" s="286">
        <v>0.1033</v>
      </c>
      <c r="E19" s="286">
        <v>0.1033</v>
      </c>
      <c r="F19" s="286">
        <f>E19</f>
        <v>0.1033</v>
      </c>
      <c r="G19" s="286"/>
      <c r="H19" s="286">
        <f>G56</f>
        <v>0</v>
      </c>
      <c r="I19" s="286"/>
      <c r="J19" s="286"/>
      <c r="K19" s="286">
        <f t="shared" ref="K19:M19" si="7">H56</f>
        <v>0</v>
      </c>
      <c r="L19" s="286">
        <f t="shared" si="7"/>
        <v>0</v>
      </c>
      <c r="M19" s="286">
        <f t="shared" si="7"/>
        <v>0</v>
      </c>
    </row>
    <row r="20" spans="2:13" ht="15">
      <c r="B20" s="26">
        <f t="shared" si="2"/>
        <v>11</v>
      </c>
      <c r="C20" s="33" t="s">
        <v>296</v>
      </c>
      <c r="D20" s="283">
        <f>D18*D19</f>
        <v>1.3089143000000052</v>
      </c>
      <c r="E20" s="283">
        <f>E18*E19</f>
        <v>1.3089143000000052</v>
      </c>
      <c r="F20" s="283">
        <f t="shared" ref="F20:M20" si="8">F18*F19</f>
        <v>1.3089143000000052</v>
      </c>
      <c r="G20" s="283">
        <f t="shared" si="8"/>
        <v>0</v>
      </c>
      <c r="H20" s="283">
        <f t="shared" si="8"/>
        <v>0</v>
      </c>
      <c r="I20" s="283">
        <f t="shared" si="8"/>
        <v>0</v>
      </c>
      <c r="J20" s="283">
        <f t="shared" si="8"/>
        <v>0</v>
      </c>
      <c r="K20" s="283">
        <f t="shared" si="8"/>
        <v>0</v>
      </c>
      <c r="L20" s="283">
        <f t="shared" si="8"/>
        <v>0</v>
      </c>
      <c r="M20" s="283">
        <f t="shared" si="8"/>
        <v>0</v>
      </c>
    </row>
    <row r="21" spans="2:13">
      <c r="B21" s="26">
        <f t="shared" si="2"/>
        <v>12</v>
      </c>
      <c r="C21" s="33" t="s">
        <v>298</v>
      </c>
      <c r="D21" s="287"/>
      <c r="E21" s="287"/>
      <c r="F21" s="287"/>
      <c r="G21" s="287"/>
      <c r="H21" s="287"/>
      <c r="I21" s="287"/>
      <c r="J21" s="287"/>
      <c r="K21" s="287"/>
      <c r="L21" s="287"/>
      <c r="M21" s="287"/>
    </row>
    <row r="22" spans="2:13" ht="15">
      <c r="B22" s="26">
        <f t="shared" si="2"/>
        <v>13</v>
      </c>
      <c r="C22" s="33" t="s">
        <v>299</v>
      </c>
      <c r="D22" s="283">
        <v>1.34</v>
      </c>
      <c r="E22" s="283">
        <f t="shared" ref="E22:M22" si="9">E20+E21</f>
        <v>1.3089143000000052</v>
      </c>
      <c r="F22" s="283">
        <f t="shared" si="9"/>
        <v>1.3089143000000052</v>
      </c>
      <c r="G22" s="283">
        <f t="shared" si="9"/>
        <v>0</v>
      </c>
      <c r="H22" s="283">
        <f t="shared" si="9"/>
        <v>0</v>
      </c>
      <c r="I22" s="283">
        <f t="shared" si="9"/>
        <v>0</v>
      </c>
      <c r="J22" s="283">
        <f t="shared" si="9"/>
        <v>0</v>
      </c>
      <c r="K22" s="283">
        <f t="shared" si="9"/>
        <v>0</v>
      </c>
      <c r="L22" s="283">
        <f t="shared" si="9"/>
        <v>0</v>
      </c>
      <c r="M22" s="283">
        <f t="shared" si="9"/>
        <v>0</v>
      </c>
    </row>
    <row r="23" spans="2:13">
      <c r="B23" s="40"/>
      <c r="C23" s="5" t="s">
        <v>258</v>
      </c>
    </row>
    <row r="24" spans="2:13">
      <c r="C24" s="5" t="s">
        <v>418</v>
      </c>
    </row>
    <row r="25" spans="2:13" ht="15">
      <c r="B25" s="39" t="s">
        <v>62</v>
      </c>
      <c r="C25" s="30" t="s">
        <v>297</v>
      </c>
    </row>
    <row r="26" spans="2:13" ht="15">
      <c r="J26" s="282" t="s">
        <v>4</v>
      </c>
    </row>
    <row r="27" spans="2:13" ht="15" customHeight="1">
      <c r="B27" s="296" t="s">
        <v>200</v>
      </c>
      <c r="C27" s="299" t="s">
        <v>18</v>
      </c>
      <c r="D27" s="280" t="s">
        <v>243</v>
      </c>
      <c r="E27" s="303" t="s">
        <v>242</v>
      </c>
      <c r="F27" s="304"/>
      <c r="G27" s="305"/>
      <c r="H27" s="328"/>
      <c r="I27" s="328"/>
      <c r="J27" s="329"/>
    </row>
    <row r="28" spans="2:13" ht="15">
      <c r="B28" s="297"/>
      <c r="C28" s="299"/>
      <c r="D28" s="279" t="s">
        <v>256</v>
      </c>
      <c r="E28" s="279" t="s">
        <v>246</v>
      </c>
      <c r="F28" s="279" t="s">
        <v>247</v>
      </c>
      <c r="G28" s="279" t="s">
        <v>255</v>
      </c>
      <c r="H28" s="279" t="s">
        <v>239</v>
      </c>
      <c r="I28" s="279" t="s">
        <v>240</v>
      </c>
      <c r="J28" s="279" t="s">
        <v>241</v>
      </c>
    </row>
    <row r="29" spans="2:13" ht="15">
      <c r="B29" s="298"/>
      <c r="C29" s="300"/>
      <c r="D29" s="279" t="s">
        <v>12</v>
      </c>
      <c r="E29" s="279" t="s">
        <v>3</v>
      </c>
      <c r="F29" s="279" t="s">
        <v>5</v>
      </c>
      <c r="G29" s="279" t="s">
        <v>5</v>
      </c>
      <c r="H29" s="279" t="s">
        <v>8</v>
      </c>
      <c r="I29" s="279" t="s">
        <v>8</v>
      </c>
      <c r="J29" s="279" t="s">
        <v>8</v>
      </c>
    </row>
    <row r="30" spans="2:13" ht="15">
      <c r="B30" s="26">
        <v>1</v>
      </c>
      <c r="C30" s="152" t="s">
        <v>531</v>
      </c>
      <c r="D30" s="125"/>
      <c r="E30" s="278"/>
      <c r="F30" s="278"/>
      <c r="G30" s="278"/>
      <c r="H30" s="278"/>
      <c r="I30" s="278"/>
      <c r="J30" s="278"/>
    </row>
    <row r="31" spans="2:13">
      <c r="B31" s="33"/>
      <c r="C31" s="140" t="s">
        <v>13</v>
      </c>
      <c r="D31" s="125">
        <v>50.4</v>
      </c>
      <c r="E31" s="278"/>
      <c r="F31" s="278"/>
      <c r="G31" s="278"/>
      <c r="H31" s="278"/>
      <c r="I31" s="278"/>
      <c r="J31" s="278"/>
    </row>
    <row r="32" spans="2:13">
      <c r="B32" s="33"/>
      <c r="C32" s="140" t="s">
        <v>170</v>
      </c>
      <c r="D32" s="125">
        <v>0</v>
      </c>
      <c r="E32" s="278"/>
      <c r="F32" s="278"/>
      <c r="G32" s="278"/>
      <c r="H32" s="278"/>
      <c r="I32" s="278"/>
      <c r="J32" s="278"/>
    </row>
    <row r="33" spans="2:10">
      <c r="B33" s="33"/>
      <c r="C33" s="140" t="s">
        <v>14</v>
      </c>
      <c r="D33" s="125">
        <v>50.4</v>
      </c>
      <c r="E33" s="278"/>
      <c r="F33" s="278"/>
      <c r="G33" s="278"/>
      <c r="H33" s="278"/>
      <c r="I33" s="278"/>
      <c r="J33" s="278"/>
    </row>
    <row r="34" spans="2:10" ht="15">
      <c r="B34" s="33"/>
      <c r="C34" s="140" t="s">
        <v>15</v>
      </c>
      <c r="D34" s="130">
        <v>0</v>
      </c>
      <c r="E34" s="130">
        <f t="shared" ref="E34:J34" si="10">E31+E32-E33</f>
        <v>0</v>
      </c>
      <c r="F34" s="130">
        <f t="shared" si="10"/>
        <v>0</v>
      </c>
      <c r="G34" s="130">
        <f t="shared" si="10"/>
        <v>0</v>
      </c>
      <c r="H34" s="130">
        <f t="shared" si="10"/>
        <v>0</v>
      </c>
      <c r="I34" s="130">
        <f t="shared" si="10"/>
        <v>0</v>
      </c>
      <c r="J34" s="130">
        <f t="shared" si="10"/>
        <v>0</v>
      </c>
    </row>
    <row r="35" spans="2:10" ht="15">
      <c r="B35" s="33"/>
      <c r="C35" s="140" t="s">
        <v>223</v>
      </c>
      <c r="D35" s="130">
        <v>8.32</v>
      </c>
      <c r="E35" s="130">
        <f t="shared" ref="E35:J35" si="11">AVERAGE(E31,E34)</f>
        <v>0</v>
      </c>
      <c r="F35" s="130">
        <f t="shared" si="11"/>
        <v>0</v>
      </c>
      <c r="G35" s="130">
        <f t="shared" si="11"/>
        <v>0</v>
      </c>
      <c r="H35" s="130">
        <f t="shared" si="11"/>
        <v>0</v>
      </c>
      <c r="I35" s="130">
        <f t="shared" si="11"/>
        <v>0</v>
      </c>
      <c r="J35" s="130">
        <f t="shared" si="11"/>
        <v>0</v>
      </c>
    </row>
    <row r="36" spans="2:10">
      <c r="B36" s="33"/>
      <c r="C36" s="140" t="s">
        <v>16</v>
      </c>
      <c r="D36" s="125">
        <v>10.43</v>
      </c>
      <c r="E36" s="288"/>
      <c r="F36" s="288"/>
      <c r="G36" s="288"/>
      <c r="H36" s="288"/>
      <c r="I36" s="288"/>
      <c r="J36" s="288"/>
    </row>
    <row r="37" spans="2:10" ht="15">
      <c r="B37" s="33"/>
      <c r="C37" s="140" t="s">
        <v>296</v>
      </c>
      <c r="D37" s="130">
        <v>0.87</v>
      </c>
      <c r="E37" s="130">
        <f t="shared" ref="E37:J37" si="12">E35*E36</f>
        <v>0</v>
      </c>
      <c r="F37" s="130">
        <f t="shared" si="12"/>
        <v>0</v>
      </c>
      <c r="G37" s="130">
        <f t="shared" si="12"/>
        <v>0</v>
      </c>
      <c r="H37" s="130">
        <f t="shared" si="12"/>
        <v>0</v>
      </c>
      <c r="I37" s="130">
        <f t="shared" si="12"/>
        <v>0</v>
      </c>
      <c r="J37" s="130">
        <f t="shared" si="12"/>
        <v>0</v>
      </c>
    </row>
    <row r="38" spans="2:10">
      <c r="B38" s="33"/>
      <c r="C38" s="140" t="s">
        <v>298</v>
      </c>
      <c r="D38" s="125">
        <v>0</v>
      </c>
      <c r="E38" s="125"/>
      <c r="F38" s="125"/>
      <c r="G38" s="125"/>
      <c r="H38" s="125"/>
      <c r="I38" s="125"/>
      <c r="J38" s="125"/>
    </row>
    <row r="39" spans="2:10" ht="15">
      <c r="B39" s="33"/>
      <c r="C39" s="140" t="s">
        <v>299</v>
      </c>
      <c r="D39" s="130">
        <v>0.87</v>
      </c>
      <c r="E39" s="130">
        <f t="shared" ref="E39:J39" si="13">E37+E38</f>
        <v>0</v>
      </c>
      <c r="F39" s="130">
        <f t="shared" si="13"/>
        <v>0</v>
      </c>
      <c r="G39" s="130">
        <f t="shared" si="13"/>
        <v>0</v>
      </c>
      <c r="H39" s="130">
        <f t="shared" si="13"/>
        <v>0</v>
      </c>
      <c r="I39" s="130">
        <f t="shared" si="13"/>
        <v>0</v>
      </c>
      <c r="J39" s="130">
        <f t="shared" si="13"/>
        <v>0</v>
      </c>
    </row>
    <row r="40" spans="2:10" ht="15">
      <c r="C40" s="152"/>
      <c r="D40" s="125"/>
      <c r="E40" s="125"/>
      <c r="F40" s="125"/>
      <c r="G40" s="125"/>
      <c r="H40" s="125"/>
      <c r="I40" s="125"/>
      <c r="J40" s="125"/>
    </row>
    <row r="41" spans="2:10" ht="15">
      <c r="B41" s="26">
        <v>2</v>
      </c>
      <c r="C41" s="152" t="s">
        <v>532</v>
      </c>
      <c r="D41" s="125"/>
      <c r="E41" s="125"/>
      <c r="F41" s="125"/>
      <c r="G41" s="125"/>
      <c r="H41" s="125"/>
      <c r="I41" s="125"/>
      <c r="J41" s="125"/>
    </row>
    <row r="42" spans="2:10">
      <c r="B42" s="33"/>
      <c r="C42" s="140" t="s">
        <v>13</v>
      </c>
      <c r="D42" s="125">
        <v>6.31</v>
      </c>
      <c r="E42" s="125"/>
      <c r="F42" s="125"/>
      <c r="G42" s="125"/>
      <c r="H42" s="125"/>
      <c r="I42" s="125"/>
      <c r="J42" s="125"/>
    </row>
    <row r="43" spans="2:10">
      <c r="B43" s="33"/>
      <c r="C43" s="140" t="s">
        <v>170</v>
      </c>
      <c r="D43" s="125">
        <v>0</v>
      </c>
      <c r="E43" s="125"/>
      <c r="F43" s="125"/>
      <c r="G43" s="125"/>
      <c r="H43" s="125"/>
      <c r="I43" s="125"/>
      <c r="J43" s="125"/>
    </row>
    <row r="44" spans="2:10" ht="15">
      <c r="B44" s="33"/>
      <c r="C44" s="140" t="s">
        <v>14</v>
      </c>
      <c r="D44" s="130">
        <v>6.31</v>
      </c>
      <c r="E44" s="130">
        <f t="shared" ref="E44:J44" si="14">E41+E42-E43</f>
        <v>0</v>
      </c>
      <c r="F44" s="130">
        <f t="shared" si="14"/>
        <v>0</v>
      </c>
      <c r="G44" s="130">
        <f t="shared" si="14"/>
        <v>0</v>
      </c>
      <c r="H44" s="130">
        <f t="shared" si="14"/>
        <v>0</v>
      </c>
      <c r="I44" s="130">
        <f t="shared" si="14"/>
        <v>0</v>
      </c>
      <c r="J44" s="130">
        <f t="shared" si="14"/>
        <v>0</v>
      </c>
    </row>
    <row r="45" spans="2:10" ht="15">
      <c r="B45" s="33"/>
      <c r="C45" s="140" t="s">
        <v>15</v>
      </c>
      <c r="D45" s="130">
        <v>0</v>
      </c>
      <c r="E45" s="130">
        <f t="shared" ref="E45:J45" si="15">AVERAGE(E41,E44)</f>
        <v>0</v>
      </c>
      <c r="F45" s="130">
        <f t="shared" si="15"/>
        <v>0</v>
      </c>
      <c r="G45" s="130">
        <f t="shared" si="15"/>
        <v>0</v>
      </c>
      <c r="H45" s="130">
        <f t="shared" si="15"/>
        <v>0</v>
      </c>
      <c r="I45" s="130">
        <f t="shared" si="15"/>
        <v>0</v>
      </c>
      <c r="J45" s="130">
        <f t="shared" si="15"/>
        <v>0</v>
      </c>
    </row>
    <row r="46" spans="2:10">
      <c r="B46" s="33"/>
      <c r="C46" s="140" t="s">
        <v>223</v>
      </c>
      <c r="D46" s="125">
        <v>1.54</v>
      </c>
      <c r="E46" s="288"/>
      <c r="F46" s="288"/>
      <c r="G46" s="288"/>
      <c r="H46" s="288"/>
      <c r="I46" s="288"/>
      <c r="J46" s="288"/>
    </row>
    <row r="47" spans="2:10" ht="15">
      <c r="B47" s="33"/>
      <c r="C47" s="140" t="s">
        <v>16</v>
      </c>
      <c r="D47" s="130">
        <v>9.8000000000000007</v>
      </c>
      <c r="E47" s="130">
        <f t="shared" ref="E47:J47" si="16">E45*E46</f>
        <v>0</v>
      </c>
      <c r="F47" s="130">
        <f t="shared" si="16"/>
        <v>0</v>
      </c>
      <c r="G47" s="130">
        <f t="shared" si="16"/>
        <v>0</v>
      </c>
      <c r="H47" s="130">
        <f t="shared" si="16"/>
        <v>0</v>
      </c>
      <c r="I47" s="130">
        <f t="shared" si="16"/>
        <v>0</v>
      </c>
      <c r="J47" s="130">
        <f t="shared" si="16"/>
        <v>0</v>
      </c>
    </row>
    <row r="48" spans="2:10">
      <c r="B48" s="33"/>
      <c r="C48" s="140" t="s">
        <v>296</v>
      </c>
      <c r="D48" s="125">
        <v>0.15</v>
      </c>
      <c r="E48" s="125"/>
      <c r="F48" s="125"/>
      <c r="G48" s="125"/>
      <c r="H48" s="125"/>
      <c r="I48" s="125"/>
      <c r="J48" s="125"/>
    </row>
    <row r="49" spans="2:10" ht="15">
      <c r="B49" s="33"/>
      <c r="C49" s="140" t="s">
        <v>298</v>
      </c>
      <c r="D49" s="130">
        <v>0</v>
      </c>
      <c r="E49" s="130">
        <f t="shared" ref="E49:J49" si="17">E47+E48</f>
        <v>0</v>
      </c>
      <c r="F49" s="130">
        <f t="shared" si="17"/>
        <v>0</v>
      </c>
      <c r="G49" s="130">
        <f t="shared" si="17"/>
        <v>0</v>
      </c>
      <c r="H49" s="130">
        <f t="shared" si="17"/>
        <v>0</v>
      </c>
      <c r="I49" s="130">
        <f t="shared" si="17"/>
        <v>0</v>
      </c>
      <c r="J49" s="130">
        <f t="shared" si="17"/>
        <v>0</v>
      </c>
    </row>
    <row r="50" spans="2:10">
      <c r="B50" s="33"/>
      <c r="C50" s="140" t="s">
        <v>299</v>
      </c>
      <c r="D50" s="125">
        <v>0.15</v>
      </c>
      <c r="E50" s="125"/>
      <c r="F50" s="125"/>
      <c r="G50" s="125"/>
      <c r="H50" s="125"/>
      <c r="I50" s="125"/>
      <c r="J50" s="125"/>
    </row>
    <row r="51" spans="2:10" ht="15">
      <c r="B51" s="33"/>
      <c r="C51" s="152" t="s">
        <v>139</v>
      </c>
      <c r="D51" s="130"/>
      <c r="E51" s="130"/>
      <c r="F51" s="130"/>
      <c r="G51" s="130"/>
      <c r="H51" s="130"/>
      <c r="I51" s="130"/>
      <c r="J51" s="130"/>
    </row>
    <row r="52" spans="2:10" ht="15">
      <c r="B52" s="33"/>
      <c r="C52" s="140" t="s">
        <v>13</v>
      </c>
      <c r="D52" s="130">
        <v>56.71</v>
      </c>
      <c r="E52" s="130">
        <f t="shared" ref="E52:J53" si="18">E32+E42</f>
        <v>0</v>
      </c>
      <c r="F52" s="130">
        <f t="shared" si="18"/>
        <v>0</v>
      </c>
      <c r="G52" s="130">
        <f t="shared" si="18"/>
        <v>0</v>
      </c>
      <c r="H52" s="130">
        <f t="shared" si="18"/>
        <v>0</v>
      </c>
      <c r="I52" s="130">
        <f t="shared" si="18"/>
        <v>0</v>
      </c>
      <c r="J52" s="130">
        <f t="shared" si="18"/>
        <v>0</v>
      </c>
    </row>
    <row r="53" spans="2:10" ht="15">
      <c r="B53" s="33"/>
      <c r="C53" s="140" t="s">
        <v>170</v>
      </c>
      <c r="D53" s="130">
        <v>0</v>
      </c>
      <c r="E53" s="130">
        <f t="shared" si="18"/>
        <v>0</v>
      </c>
      <c r="F53" s="130">
        <f t="shared" si="18"/>
        <v>0</v>
      </c>
      <c r="G53" s="130">
        <f t="shared" si="18"/>
        <v>0</v>
      </c>
      <c r="H53" s="130">
        <f t="shared" si="18"/>
        <v>0</v>
      </c>
      <c r="I53" s="130">
        <f t="shared" si="18"/>
        <v>0</v>
      </c>
      <c r="J53" s="130">
        <f t="shared" si="18"/>
        <v>0</v>
      </c>
    </row>
    <row r="54" spans="2:10" ht="15">
      <c r="B54" s="33"/>
      <c r="C54" s="140" t="s">
        <v>14</v>
      </c>
      <c r="D54" s="130">
        <v>56.71</v>
      </c>
      <c r="E54" s="130">
        <f t="shared" ref="E54:J54" si="19">E51+E52-E53</f>
        <v>0</v>
      </c>
      <c r="F54" s="130">
        <f t="shared" si="19"/>
        <v>0</v>
      </c>
      <c r="G54" s="130">
        <f t="shared" si="19"/>
        <v>0</v>
      </c>
      <c r="H54" s="130">
        <f t="shared" si="19"/>
        <v>0</v>
      </c>
      <c r="I54" s="130">
        <f t="shared" si="19"/>
        <v>0</v>
      </c>
      <c r="J54" s="130">
        <f t="shared" si="19"/>
        <v>0</v>
      </c>
    </row>
    <row r="55" spans="2:10" ht="15">
      <c r="B55" s="33"/>
      <c r="C55" s="140" t="s">
        <v>15</v>
      </c>
      <c r="D55" s="130">
        <v>0</v>
      </c>
      <c r="E55" s="130">
        <f t="shared" ref="E55:J55" si="20">AVERAGE(E51,E54)</f>
        <v>0</v>
      </c>
      <c r="F55" s="130">
        <f t="shared" si="20"/>
        <v>0</v>
      </c>
      <c r="G55" s="130">
        <f t="shared" si="20"/>
        <v>0</v>
      </c>
      <c r="H55" s="130">
        <f t="shared" si="20"/>
        <v>0</v>
      </c>
      <c r="I55" s="130">
        <f t="shared" si="20"/>
        <v>0</v>
      </c>
      <c r="J55" s="130">
        <f t="shared" si="20"/>
        <v>0</v>
      </c>
    </row>
    <row r="56" spans="2:10" ht="15">
      <c r="B56" s="33"/>
      <c r="C56" s="140" t="s">
        <v>223</v>
      </c>
      <c r="D56" s="130">
        <v>9.86</v>
      </c>
      <c r="E56" s="289">
        <f t="shared" ref="E56:J56" si="21">IFERROR(E57/E55,0)</f>
        <v>0</v>
      </c>
      <c r="F56" s="289">
        <f t="shared" si="21"/>
        <v>0</v>
      </c>
      <c r="G56" s="289">
        <f t="shared" si="21"/>
        <v>0</v>
      </c>
      <c r="H56" s="289">
        <f t="shared" si="21"/>
        <v>0</v>
      </c>
      <c r="I56" s="289">
        <f t="shared" si="21"/>
        <v>0</v>
      </c>
      <c r="J56" s="289">
        <f t="shared" si="21"/>
        <v>0</v>
      </c>
    </row>
    <row r="57" spans="2:10" ht="15">
      <c r="B57" s="33"/>
      <c r="C57" s="140" t="s">
        <v>16</v>
      </c>
      <c r="D57" s="130">
        <v>10.33</v>
      </c>
      <c r="E57" s="130">
        <f t="shared" ref="E57:J58" si="22">E37+E47</f>
        <v>0</v>
      </c>
      <c r="F57" s="130">
        <f t="shared" si="22"/>
        <v>0</v>
      </c>
      <c r="G57" s="130">
        <f t="shared" si="22"/>
        <v>0</v>
      </c>
      <c r="H57" s="130">
        <f t="shared" si="22"/>
        <v>0</v>
      </c>
      <c r="I57" s="130">
        <f t="shared" si="22"/>
        <v>0</v>
      </c>
      <c r="J57" s="130">
        <f t="shared" si="22"/>
        <v>0</v>
      </c>
    </row>
    <row r="58" spans="2:10" ht="15">
      <c r="B58" s="33"/>
      <c r="C58" s="140" t="s">
        <v>296</v>
      </c>
      <c r="D58" s="130">
        <v>1.02</v>
      </c>
      <c r="E58" s="130">
        <f t="shared" si="22"/>
        <v>0</v>
      </c>
      <c r="F58" s="130">
        <f t="shared" si="22"/>
        <v>0</v>
      </c>
      <c r="G58" s="130">
        <f t="shared" si="22"/>
        <v>0</v>
      </c>
      <c r="H58" s="130">
        <f t="shared" si="22"/>
        <v>0</v>
      </c>
      <c r="I58" s="130">
        <f t="shared" si="22"/>
        <v>0</v>
      </c>
      <c r="J58" s="130">
        <f t="shared" si="22"/>
        <v>0</v>
      </c>
    </row>
    <row r="59" spans="2:10" ht="15">
      <c r="B59" s="33"/>
      <c r="C59" s="140" t="s">
        <v>298</v>
      </c>
      <c r="D59" s="130">
        <v>0</v>
      </c>
      <c r="E59" s="130">
        <f t="shared" ref="E59:J59" si="23">E57+E58</f>
        <v>0</v>
      </c>
      <c r="F59" s="130">
        <f t="shared" si="23"/>
        <v>0</v>
      </c>
      <c r="G59" s="130">
        <f t="shared" si="23"/>
        <v>0</v>
      </c>
      <c r="H59" s="130">
        <f t="shared" si="23"/>
        <v>0</v>
      </c>
      <c r="I59" s="130">
        <f t="shared" si="23"/>
        <v>0</v>
      </c>
      <c r="J59" s="130">
        <f t="shared" si="23"/>
        <v>0</v>
      </c>
    </row>
    <row r="60" spans="2:10">
      <c r="C60" s="140" t="s">
        <v>299</v>
      </c>
      <c r="D60" s="125">
        <v>1.02</v>
      </c>
    </row>
  </sheetData>
  <mergeCells count="12">
    <mergeCell ref="B2:M2"/>
    <mergeCell ref="B3:M3"/>
    <mergeCell ref="B4:M4"/>
    <mergeCell ref="E27:G27"/>
    <mergeCell ref="H27:J27"/>
    <mergeCell ref="B7:B9"/>
    <mergeCell ref="C7:C9"/>
    <mergeCell ref="D7:F7"/>
    <mergeCell ref="G7:H7"/>
    <mergeCell ref="I7:M7"/>
    <mergeCell ref="B27:B29"/>
    <mergeCell ref="C27:C29"/>
  </mergeCells>
  <pageMargins left="0" right="0" top="0" bottom="0" header="0.23622047244094491" footer="0.23622047244094491"/>
  <pageSetup paperSize="9" scale="60" fitToHeight="0" orientation="landscape" r:id="rId1"/>
  <headerFooter alignWithMargins="0">
    <oddHeader>&amp;F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3"/>
  <sheetViews>
    <sheetView showGridLines="0" zoomScale="99" zoomScaleNormal="99" zoomScaleSheetLayoutView="90" workbookViewId="0">
      <selection activeCell="B4" sqref="B4:M4"/>
    </sheetView>
  </sheetViews>
  <sheetFormatPr defaultColWidth="9.28515625" defaultRowHeight="14.25"/>
  <cols>
    <col min="1" max="1" width="4.28515625" style="5" customWidth="1"/>
    <col min="2" max="2" width="6.28515625" style="5" customWidth="1"/>
    <col min="3" max="3" width="35.5703125" style="5" customWidth="1"/>
    <col min="4" max="4" width="13.7109375" style="5" bestFit="1" customWidth="1"/>
    <col min="5" max="5" width="13.28515625" style="5" bestFit="1" customWidth="1"/>
    <col min="6" max="6" width="13.5703125" style="5" bestFit="1" customWidth="1"/>
    <col min="7" max="7" width="13.7109375" style="5" bestFit="1" customWidth="1"/>
    <col min="8" max="8" width="12.5703125" style="5" customWidth="1"/>
    <col min="9" max="9" width="11.7109375" style="5" bestFit="1" customWidth="1"/>
    <col min="10" max="10" width="13.7109375" style="5" bestFit="1" customWidth="1"/>
    <col min="11" max="13" width="12.7109375" style="5" bestFit="1" customWidth="1"/>
    <col min="14" max="16" width="11.7109375" style="5" bestFit="1" customWidth="1"/>
    <col min="17" max="16384" width="9.28515625" style="5"/>
  </cols>
  <sheetData>
    <row r="1" spans="2:13" ht="15">
      <c r="B1" s="30"/>
    </row>
    <row r="2" spans="2:13" ht="15.75">
      <c r="B2" s="292" t="s">
        <v>517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</row>
    <row r="3" spans="2:13" ht="15.75">
      <c r="B3" s="292" t="s">
        <v>518</v>
      </c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</row>
    <row r="4" spans="2:13" ht="15.75">
      <c r="B4" s="330" t="s">
        <v>526</v>
      </c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</row>
    <row r="5" spans="2:13" ht="15">
      <c r="B5" s="39"/>
      <c r="C5" s="30"/>
      <c r="D5" s="31"/>
      <c r="E5" s="31"/>
      <c r="F5" s="31"/>
      <c r="G5" s="31"/>
      <c r="H5" s="31"/>
      <c r="I5" s="31"/>
      <c r="J5" s="31"/>
    </row>
    <row r="6" spans="2:13" ht="15">
      <c r="M6" s="32" t="s">
        <v>4</v>
      </c>
    </row>
    <row r="7" spans="2:13" s="19" customFormat="1" ht="15" customHeight="1">
      <c r="B7" s="296" t="s">
        <v>200</v>
      </c>
      <c r="C7" s="299" t="s">
        <v>18</v>
      </c>
      <c r="D7" s="303" t="s">
        <v>467</v>
      </c>
      <c r="E7" s="304"/>
      <c r="F7" s="305"/>
      <c r="G7" s="303" t="s">
        <v>468</v>
      </c>
      <c r="H7" s="304"/>
      <c r="I7" s="309" t="s">
        <v>238</v>
      </c>
      <c r="J7" s="309"/>
      <c r="K7" s="309"/>
      <c r="L7" s="309"/>
      <c r="M7" s="309"/>
    </row>
    <row r="8" spans="2:13" s="19" customFormat="1" ht="30">
      <c r="B8" s="297"/>
      <c r="C8" s="299"/>
      <c r="D8" s="21" t="s">
        <v>377</v>
      </c>
      <c r="E8" s="21" t="s">
        <v>256</v>
      </c>
      <c r="F8" s="21" t="s">
        <v>216</v>
      </c>
      <c r="G8" s="21" t="s">
        <v>377</v>
      </c>
      <c r="H8" s="21" t="s">
        <v>255</v>
      </c>
      <c r="I8" s="21" t="s">
        <v>469</v>
      </c>
      <c r="J8" s="21" t="s">
        <v>470</v>
      </c>
      <c r="K8" s="21" t="s">
        <v>471</v>
      </c>
      <c r="L8" s="21" t="s">
        <v>472</v>
      </c>
      <c r="M8" s="21" t="s">
        <v>473</v>
      </c>
    </row>
    <row r="9" spans="2:13" s="19" customFormat="1" ht="15">
      <c r="B9" s="298"/>
      <c r="C9" s="300"/>
      <c r="D9" s="21" t="s">
        <v>10</v>
      </c>
      <c r="E9" s="21" t="s">
        <v>12</v>
      </c>
      <c r="F9" s="21" t="s">
        <v>245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8">
        <v>1</v>
      </c>
      <c r="C10" s="33" t="s">
        <v>300</v>
      </c>
      <c r="D10" s="184">
        <f>E10</f>
        <v>91.715018034740908</v>
      </c>
      <c r="E10" s="140">
        <f>'F12'!F18*'F10'!F23*30/365/10</f>
        <v>91.715018034740908</v>
      </c>
      <c r="F10" s="140">
        <f>E10</f>
        <v>91.715018034740908</v>
      </c>
      <c r="G10" s="140">
        <f>'F12'!H18*'F10'!H23*30/365/10</f>
        <v>100.02129317351607</v>
      </c>
      <c r="H10" s="140">
        <f>'F12'!I18*'F10'!I23*30/365/10</f>
        <v>91.2179171592297</v>
      </c>
      <c r="I10" s="154">
        <f>500*24*0.85*(1-0.0525)*'F12'!J18*20/10000</f>
        <v>71.734674732482858</v>
      </c>
      <c r="J10" s="154">
        <f>500*24*0.85*(1-0.0525)*'F12'!K18*20/10000</f>
        <v>73.169368227132495</v>
      </c>
      <c r="K10" s="154">
        <f>500*24*0.85*(1-0.0525)*'F12'!L18*20/10000</f>
        <v>74.632755591675163</v>
      </c>
      <c r="L10" s="154">
        <f>500*24*0.85*(1-0.0525)*'F12'!M18*20/10000</f>
        <v>76.125410703508649</v>
      </c>
      <c r="M10" s="154">
        <f>500*24*0.85*(1-0.0525)*'F12'!N18*20/10000</f>
        <v>77.647918917578821</v>
      </c>
    </row>
    <row r="11" spans="2:13">
      <c r="B11" s="26">
        <f>B10+1</f>
        <v>2</v>
      </c>
      <c r="C11" s="33" t="s">
        <v>301</v>
      </c>
      <c r="D11" s="184">
        <f t="shared" ref="D11" si="0">E11</f>
        <v>91.715018034740908</v>
      </c>
      <c r="E11" s="140">
        <f>'F12'!F18*'F10'!F23*30/365/10</f>
        <v>91.715018034740908</v>
      </c>
      <c r="F11" s="140">
        <f t="shared" ref="F11:F17" si="1">E11</f>
        <v>91.715018034740908</v>
      </c>
      <c r="G11" s="140">
        <f>'F12'!H18*'F10'!H23*30/365/10</f>
        <v>100.02129317351607</v>
      </c>
      <c r="H11" s="140">
        <f>'F12'!I18*'F10'!I23*30/365/10</f>
        <v>91.2179171592297</v>
      </c>
      <c r="I11" s="154">
        <f>500*24*0.85*(1-0.0525)*'F12'!J18*30/10000</f>
        <v>107.60201209872427</v>
      </c>
      <c r="J11" s="154">
        <f>500*24*0.85*(1-0.0525)*'F12'!K18*30/10000</f>
        <v>109.75405234069873</v>
      </c>
      <c r="K11" s="154">
        <f>500*24*0.85*(1-0.0525)*'F12'!L18*30/10000</f>
        <v>111.94913338751273</v>
      </c>
      <c r="L11" s="154">
        <f>500*24*0.85*(1-0.0525)*'F12'!M18*30/10000</f>
        <v>114.18811605526297</v>
      </c>
      <c r="M11" s="154">
        <f>500*24*0.85*(1-0.0525)*'F12'!N18*30/10000</f>
        <v>116.47187837636822</v>
      </c>
    </row>
    <row r="12" spans="2:13">
      <c r="B12" s="26">
        <f t="shared" ref="B12:B20" si="2">B11+1</f>
        <v>3</v>
      </c>
      <c r="C12" s="35" t="s">
        <v>302</v>
      </c>
      <c r="D12" s="184">
        <f>'F12'!E19*'F10'!F23*2/12/10</f>
        <v>8.1953013739763581</v>
      </c>
      <c r="E12" s="140">
        <f>'F12'!F19*'F10'!F23*2/12/10</f>
        <v>1.3159645941621236</v>
      </c>
      <c r="F12" s="140">
        <f t="shared" si="1"/>
        <v>1.3159645941621236</v>
      </c>
      <c r="G12" s="140">
        <f>'F12'!H19*'F10'!H23*2/12/10</f>
        <v>7.1564293924769515</v>
      </c>
      <c r="H12" s="140">
        <f>'F12'!I19*'F10'!I23*2/12/10</f>
        <v>1.3776525800524646</v>
      </c>
      <c r="I12" s="154">
        <f>500*24*0.85*(1-0.0525)*'F12'!J19*365*1/12/10000</f>
        <v>0.96859861768499889</v>
      </c>
      <c r="J12" s="154">
        <f>500*24*0.85*(1-0.0525)*'F12'!K19*365*1/12/10000</f>
        <v>0.98797059003869891</v>
      </c>
      <c r="K12" s="154">
        <f>500*24*0.85*(1-0.0525)*'F12'!L19*365*1/12/10000</f>
        <v>1.0077300018394726</v>
      </c>
      <c r="L12" s="154">
        <f>500*24*0.85*(1-0.0525)*'F12'!M19*365*1/12/10000</f>
        <v>1.0278846018762624</v>
      </c>
      <c r="M12" s="154">
        <f>500*24*0.85*(1-0.0525)*'F12'!N19*365*1/12/10000</f>
        <v>1.0484422939137878</v>
      </c>
    </row>
    <row r="13" spans="2:13">
      <c r="B13" s="26">
        <f t="shared" si="2"/>
        <v>4</v>
      </c>
      <c r="C13" s="72" t="s">
        <v>303</v>
      </c>
      <c r="D13" s="139">
        <f>'F1'!F11/12</f>
        <v>15.768224999999999</v>
      </c>
      <c r="E13" s="139">
        <f>'F1'!G11/12</f>
        <v>20.469676829657555</v>
      </c>
      <c r="F13" s="140">
        <f t="shared" si="1"/>
        <v>20.469676829657555</v>
      </c>
      <c r="G13" s="139">
        <f>'F1'!I11/12</f>
        <v>16.236825</v>
      </c>
      <c r="H13" s="139">
        <f>'F1'!J11/12</f>
        <v>22.690695803135167</v>
      </c>
      <c r="I13" s="170">
        <f>'F1'!K11/12</f>
        <v>22.425629477842861</v>
      </c>
      <c r="J13" s="170">
        <f>'F1'!L11/12</f>
        <v>23.562436266615382</v>
      </c>
      <c r="K13" s="170">
        <f>'F1'!M11/12</f>
        <v>24.761918759760803</v>
      </c>
      <c r="L13" s="170">
        <f>'F1'!N11/12</f>
        <v>26.030344013805855</v>
      </c>
      <c r="M13" s="170">
        <f>'F1'!O11/12</f>
        <v>27.371679974921275</v>
      </c>
    </row>
    <row r="14" spans="2:13" s="38" customFormat="1" ht="15">
      <c r="B14" s="26">
        <f t="shared" si="2"/>
        <v>5</v>
      </c>
      <c r="C14" s="43" t="s">
        <v>304</v>
      </c>
      <c r="D14" s="139">
        <f>'F1'!F11*20%</f>
        <v>37.843739999999997</v>
      </c>
      <c r="E14" s="148">
        <f>'F1'!G11*20%</f>
        <v>49.127224391178132</v>
      </c>
      <c r="F14" s="140">
        <f t="shared" si="1"/>
        <v>49.127224391178132</v>
      </c>
      <c r="G14" s="148">
        <f>'F1'!I11*20%</f>
        <v>38.968380000000003</v>
      </c>
      <c r="H14" s="148">
        <f>'F1'!J11*20%</f>
        <v>54.4576699275244</v>
      </c>
      <c r="I14" s="148">
        <f>'F4'!F40*1%</f>
        <v>24.732300000000002</v>
      </c>
      <c r="J14" s="148">
        <f>'F4'!F74*1%</f>
        <v>24.755691448086584</v>
      </c>
      <c r="K14" s="148">
        <f>'F4'!F91*1%</f>
        <v>24.755691448086584</v>
      </c>
      <c r="L14" s="148">
        <f>'F4'!F108*1%</f>
        <v>24.755691448086584</v>
      </c>
      <c r="M14" s="148">
        <f>'F4'!F125*1%</f>
        <v>24.755691448086584</v>
      </c>
    </row>
    <row r="15" spans="2:13">
      <c r="B15" s="26">
        <f t="shared" si="2"/>
        <v>6</v>
      </c>
      <c r="C15" s="72" t="s">
        <v>414</v>
      </c>
      <c r="D15" s="139">
        <f>('F1'!F22+'F1'!F16)*2/12</f>
        <v>293.81314555797684</v>
      </c>
      <c r="E15" s="139">
        <f ca="1">('F1'!G22+'F1'!G16)*2/12</f>
        <v>282.07055403093625</v>
      </c>
      <c r="F15" s="140">
        <f t="shared" ca="1" si="1"/>
        <v>282.07055403093625</v>
      </c>
      <c r="G15" s="139">
        <f>('F1'!I22+'F1'!I16)*2/12</f>
        <v>292.95586960719953</v>
      </c>
      <c r="H15" s="139">
        <f ca="1">('F1'!J22+'F1'!J16)*2/12</f>
        <v>286.00786480081905</v>
      </c>
      <c r="I15" s="139">
        <f ca="1">('F1'!K22+'F1'!K16)*45/365</f>
        <v>221.98560529633102</v>
      </c>
      <c r="J15" s="139">
        <f ca="1">('F1'!L22+'F1'!L16)*45/365</f>
        <v>227.18803523200143</v>
      </c>
      <c r="K15" s="170">
        <f ca="1">('F1'!M22+'F1'!M16)*45/365</f>
        <v>232.2473811498601</v>
      </c>
      <c r="L15" s="170">
        <f ca="1">('F1'!N22+'F1'!N16)*45/365</f>
        <v>238.24595532547127</v>
      </c>
      <c r="M15" s="170">
        <f ca="1">('F1'!O22+'F1'!O16)*45/365</f>
        <v>243.20458926401693</v>
      </c>
    </row>
    <row r="16" spans="2:13">
      <c r="B16" s="26"/>
      <c r="C16" s="72" t="s">
        <v>305</v>
      </c>
      <c r="D16" s="73"/>
      <c r="E16" s="35"/>
      <c r="F16" s="140">
        <f t="shared" si="1"/>
        <v>0</v>
      </c>
      <c r="G16" s="35"/>
      <c r="H16" s="35"/>
      <c r="I16" s="148"/>
      <c r="J16" s="148"/>
      <c r="K16" s="148"/>
      <c r="L16" s="148"/>
      <c r="M16" s="148"/>
    </row>
    <row r="17" spans="2:13">
      <c r="B17" s="26">
        <f>B15+1</f>
        <v>7</v>
      </c>
      <c r="C17" s="33" t="s">
        <v>415</v>
      </c>
      <c r="D17" s="139">
        <f>'F12'!E20*'F10'!E23*30/365/10</f>
        <v>104.53421632528848</v>
      </c>
      <c r="E17" s="139">
        <f>'F12'!F20*'F10'!F23*30/365/10</f>
        <v>92.363986875697577</v>
      </c>
      <c r="F17" s="140">
        <f t="shared" si="1"/>
        <v>92.363986875697577</v>
      </c>
      <c r="G17" s="139">
        <f>'F10'!H23*'F12'!H20*30/365/10</f>
        <v>103.55049123008007</v>
      </c>
      <c r="H17" s="139">
        <f>'F10'!I23*'F12'!I20*30/365/10</f>
        <v>91.897307472680225</v>
      </c>
      <c r="I17" s="170">
        <f>500*24*0.85*(1-0.0525)*30*'F12'!J20/10000</f>
        <v>108.55734224219438</v>
      </c>
      <c r="J17" s="170">
        <f>500*24*0.85*(1-0.0525)*30*'F12'!K20/10000</f>
        <v>110.72848908703828</v>
      </c>
      <c r="K17" s="170">
        <f>500*24*0.85*(1-0.0525)*30*'F12'!L20/10000</f>
        <v>112.94305886877906</v>
      </c>
      <c r="L17" s="170">
        <f>500*24*0.85*(1-0.0525)*30*'F12'!M20/10000</f>
        <v>115.20192004615464</v>
      </c>
      <c r="M17" s="170">
        <f>500*24*0.85*(1-0.0525)*30*'F12'!N20/10000</f>
        <v>117.50595844707773</v>
      </c>
    </row>
    <row r="18" spans="2:13" ht="15">
      <c r="B18" s="26">
        <f t="shared" si="2"/>
        <v>8</v>
      </c>
      <c r="C18" s="33" t="s">
        <v>55</v>
      </c>
      <c r="D18" s="135">
        <f t="shared" ref="D18:H18" si="3">SUM(D10:D15)-D17</f>
        <v>434.51623167614656</v>
      </c>
      <c r="E18" s="135">
        <f t="shared" ca="1" si="3"/>
        <v>444.04946903971825</v>
      </c>
      <c r="F18" s="135">
        <f t="shared" ca="1" si="3"/>
        <v>444.04946903971825</v>
      </c>
      <c r="G18" s="135">
        <f t="shared" si="3"/>
        <v>451.80959911662853</v>
      </c>
      <c r="H18" s="135">
        <f t="shared" ca="1" si="3"/>
        <v>455.07240995731019</v>
      </c>
      <c r="I18" s="135">
        <f t="shared" ref="I18:M18" ca="1" si="4">SUM(I10:I15)-I17</f>
        <v>340.89147798087163</v>
      </c>
      <c r="J18" s="135">
        <f t="shared" ca="1" si="4"/>
        <v>348.68906501753503</v>
      </c>
      <c r="K18" s="135">
        <f t="shared" ca="1" si="4"/>
        <v>356.41155146995578</v>
      </c>
      <c r="L18" s="135">
        <f t="shared" ca="1" si="4"/>
        <v>365.1714821018569</v>
      </c>
      <c r="M18" s="135">
        <f t="shared" ca="1" si="4"/>
        <v>372.99424182780791</v>
      </c>
    </row>
    <row r="19" spans="2:13">
      <c r="B19" s="26">
        <f t="shared" si="2"/>
        <v>9</v>
      </c>
      <c r="C19" s="33" t="s">
        <v>306</v>
      </c>
      <c r="D19" s="137">
        <v>8.5500000000000007E-2</v>
      </c>
      <c r="E19" s="137">
        <v>9.4382191780821911E-2</v>
      </c>
      <c r="F19" s="137">
        <f>E19</f>
        <v>9.4382191780821911E-2</v>
      </c>
      <c r="G19" s="137">
        <v>8.5500000000000007E-2</v>
      </c>
      <c r="H19" s="137">
        <v>0.1008</v>
      </c>
      <c r="I19" s="137">
        <v>0.10150000000000001</v>
      </c>
      <c r="J19" s="137">
        <v>0.10150000000000001</v>
      </c>
      <c r="K19" s="137">
        <v>0.10150000000000001</v>
      </c>
      <c r="L19" s="137">
        <v>0.10150000000000001</v>
      </c>
      <c r="M19" s="137">
        <v>0.10150000000000001</v>
      </c>
    </row>
    <row r="20" spans="2:13" ht="15">
      <c r="B20" s="26">
        <f t="shared" si="2"/>
        <v>10</v>
      </c>
      <c r="C20" s="72" t="s">
        <v>307</v>
      </c>
      <c r="D20" s="135">
        <v>32.01</v>
      </c>
      <c r="E20" s="135">
        <f t="shared" ref="E20:M20" ca="1" si="5">E18*E19</f>
        <v>41.910362147078828</v>
      </c>
      <c r="F20" s="135">
        <f t="shared" ca="1" si="5"/>
        <v>41.910362147078828</v>
      </c>
      <c r="G20" s="135">
        <v>33.090000000000003</v>
      </c>
      <c r="H20" s="135">
        <f t="shared" ca="1" si="5"/>
        <v>45.87129892369687</v>
      </c>
      <c r="I20" s="135">
        <f t="shared" ca="1" si="5"/>
        <v>34.600485015058474</v>
      </c>
      <c r="J20" s="135">
        <f t="shared" ca="1" si="5"/>
        <v>35.391940099279807</v>
      </c>
      <c r="K20" s="135">
        <f t="shared" ca="1" si="5"/>
        <v>36.175772474200514</v>
      </c>
      <c r="L20" s="135">
        <f t="shared" ca="1" si="5"/>
        <v>37.064905433338474</v>
      </c>
      <c r="M20" s="135">
        <f t="shared" ca="1" si="5"/>
        <v>37.858915545522507</v>
      </c>
    </row>
    <row r="22" spans="2:13">
      <c r="C22" s="5" t="s">
        <v>258</v>
      </c>
    </row>
    <row r="23" spans="2:13">
      <c r="C23" s="5" t="s">
        <v>416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0" right="0" top="0" bottom="0" header="0.25" footer="0.25"/>
  <pageSetup paperSize="9" scale="83" orientation="landscape" r:id="rId1"/>
  <headerFooter alignWithMargins="0">
    <oddHeader>&amp;F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4"/>
  <sheetViews>
    <sheetView showGridLines="0" zoomScale="91" zoomScaleNormal="91" zoomScaleSheetLayoutView="90" workbookViewId="0">
      <selection activeCell="J26" sqref="J26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8" width="12.140625" style="5" customWidth="1"/>
    <col min="9" max="13" width="11.28515625" style="5" customWidth="1"/>
    <col min="14" max="16" width="11.7109375" style="5" bestFit="1" customWidth="1"/>
    <col min="17" max="16384" width="9.28515625" style="5"/>
  </cols>
  <sheetData>
    <row r="1" spans="2:13" ht="15">
      <c r="B1" s="30"/>
    </row>
    <row r="2" spans="2:13" ht="15.75">
      <c r="B2" s="292" t="s">
        <v>517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</row>
    <row r="3" spans="2:13" ht="15.75">
      <c r="B3" s="292" t="s">
        <v>518</v>
      </c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</row>
    <row r="4" spans="2:13" ht="15.75">
      <c r="B4" s="330" t="s">
        <v>528</v>
      </c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</row>
    <row r="5" spans="2:13" ht="15">
      <c r="B5" s="39"/>
      <c r="C5" s="30"/>
      <c r="D5" s="31"/>
      <c r="E5" s="31"/>
      <c r="F5" s="31"/>
      <c r="G5" s="31"/>
      <c r="H5" s="31"/>
      <c r="I5" s="31"/>
      <c r="J5" s="31"/>
    </row>
    <row r="6" spans="2:13" ht="15">
      <c r="M6" s="32" t="s">
        <v>4</v>
      </c>
    </row>
    <row r="7" spans="2:13" s="19" customFormat="1" ht="15" customHeight="1">
      <c r="B7" s="296" t="s">
        <v>200</v>
      </c>
      <c r="C7" s="299" t="s">
        <v>18</v>
      </c>
      <c r="D7" s="303" t="s">
        <v>467</v>
      </c>
      <c r="E7" s="304"/>
      <c r="F7" s="305"/>
      <c r="G7" s="303" t="s">
        <v>468</v>
      </c>
      <c r="H7" s="304"/>
      <c r="I7" s="309" t="s">
        <v>238</v>
      </c>
      <c r="J7" s="309"/>
      <c r="K7" s="309"/>
      <c r="L7" s="309"/>
      <c r="M7" s="309"/>
    </row>
    <row r="8" spans="2:13" s="19" customFormat="1" ht="45">
      <c r="B8" s="297"/>
      <c r="C8" s="299"/>
      <c r="D8" s="21" t="s">
        <v>377</v>
      </c>
      <c r="E8" s="21" t="s">
        <v>256</v>
      </c>
      <c r="F8" s="21" t="s">
        <v>216</v>
      </c>
      <c r="G8" s="21" t="s">
        <v>377</v>
      </c>
      <c r="H8" s="21" t="s">
        <v>255</v>
      </c>
      <c r="I8" s="21" t="s">
        <v>469</v>
      </c>
      <c r="J8" s="21" t="s">
        <v>470</v>
      </c>
      <c r="K8" s="21" t="s">
        <v>471</v>
      </c>
      <c r="L8" s="21" t="s">
        <v>472</v>
      </c>
      <c r="M8" s="21" t="s">
        <v>473</v>
      </c>
    </row>
    <row r="9" spans="2:13" s="19" customFormat="1" ht="15">
      <c r="B9" s="298"/>
      <c r="C9" s="300"/>
      <c r="D9" s="21" t="s">
        <v>10</v>
      </c>
      <c r="E9" s="21" t="s">
        <v>12</v>
      </c>
      <c r="F9" s="21" t="s">
        <v>245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8">
        <v>1</v>
      </c>
      <c r="C10" s="33" t="s">
        <v>232</v>
      </c>
      <c r="D10" s="184">
        <f>'F4'!F22*30%</f>
        <v>742.00800000000004</v>
      </c>
      <c r="E10" s="148">
        <f>D10</f>
        <v>742.00800000000004</v>
      </c>
      <c r="F10" s="148">
        <f>E10</f>
        <v>742.00800000000004</v>
      </c>
      <c r="G10" s="153"/>
      <c r="H10" s="154">
        <f>'F4'!F40*30%</f>
        <v>741.96899999999994</v>
      </c>
      <c r="I10" s="154">
        <f>H10+H12</f>
        <v>741.96899999999994</v>
      </c>
      <c r="J10" s="154">
        <f>I10+I12</f>
        <v>742.67074344259731</v>
      </c>
      <c r="K10" s="154">
        <f>J10+J12</f>
        <v>742.67074344259731</v>
      </c>
      <c r="L10" s="154">
        <f>K10+K12</f>
        <v>742.67074344259731</v>
      </c>
      <c r="M10" s="154">
        <f>L10+L12</f>
        <v>742.67074344259731</v>
      </c>
    </row>
    <row r="11" spans="2:13">
      <c r="B11" s="26">
        <f>B10+1</f>
        <v>2</v>
      </c>
      <c r="C11" s="33" t="s">
        <v>233</v>
      </c>
      <c r="D11" s="151"/>
      <c r="E11" s="148">
        <f>F3.1!H11</f>
        <v>-0.13</v>
      </c>
      <c r="F11" s="148">
        <f>E11</f>
        <v>-0.13</v>
      </c>
      <c r="G11" s="153"/>
      <c r="H11" s="154">
        <f>F3.1!H15</f>
        <v>0</v>
      </c>
      <c r="I11" s="154">
        <f>F3.1!H21</f>
        <v>2.3391448086579545</v>
      </c>
      <c r="J11" s="154">
        <f>F3.1!H27</f>
        <v>0</v>
      </c>
      <c r="K11" s="154">
        <f>F3.1!H33</f>
        <v>0</v>
      </c>
      <c r="L11" s="154">
        <f>F3.1!H39</f>
        <v>0</v>
      </c>
      <c r="M11" s="154">
        <f>F3.1!H45</f>
        <v>11.574529999999999</v>
      </c>
    </row>
    <row r="12" spans="2:13">
      <c r="B12" s="26">
        <f t="shared" ref="B12:B22" si="0">B11+1</f>
        <v>3</v>
      </c>
      <c r="C12" s="35" t="s">
        <v>19</v>
      </c>
      <c r="D12" s="184">
        <f>D11*30%</f>
        <v>0</v>
      </c>
      <c r="E12" s="184">
        <f>E11*30%</f>
        <v>-3.9E-2</v>
      </c>
      <c r="F12" s="184">
        <f>F11*30%</f>
        <v>-3.9E-2</v>
      </c>
      <c r="G12" s="184">
        <f t="shared" ref="G12" si="1">G11*25%</f>
        <v>0</v>
      </c>
      <c r="H12" s="184">
        <f>H11*30%</f>
        <v>0</v>
      </c>
      <c r="I12" s="184">
        <f>I11*30%</f>
        <v>0.7017434425973863</v>
      </c>
      <c r="J12" s="184">
        <f t="shared" ref="J12:M12" si="2">J11*30%</f>
        <v>0</v>
      </c>
      <c r="K12" s="184">
        <f t="shared" si="2"/>
        <v>0</v>
      </c>
      <c r="L12" s="184">
        <f t="shared" si="2"/>
        <v>0</v>
      </c>
      <c r="M12" s="184">
        <f t="shared" si="2"/>
        <v>3.4723589999999995</v>
      </c>
    </row>
    <row r="13" spans="2:13" ht="28.5">
      <c r="B13" s="26">
        <f t="shared" si="0"/>
        <v>4</v>
      </c>
      <c r="C13" s="72" t="s">
        <v>20</v>
      </c>
      <c r="D13" s="155"/>
      <c r="E13" s="46"/>
      <c r="F13" s="151"/>
      <c r="G13" s="46"/>
      <c r="H13" s="46"/>
      <c r="I13" s="148"/>
      <c r="J13" s="148"/>
      <c r="K13" s="46"/>
      <c r="L13" s="46"/>
      <c r="M13" s="46"/>
    </row>
    <row r="14" spans="2:13" s="38" customFormat="1" ht="15">
      <c r="B14" s="26">
        <f t="shared" si="0"/>
        <v>5</v>
      </c>
      <c r="C14" s="43" t="s">
        <v>21</v>
      </c>
      <c r="D14" s="156">
        <f>D10+D12-D13</f>
        <v>742.00800000000004</v>
      </c>
      <c r="E14" s="156">
        <f t="shared" ref="E14:M14" si="3">E10+E12-E13</f>
        <v>741.96900000000005</v>
      </c>
      <c r="F14" s="156">
        <f>F10+F12-F13</f>
        <v>741.96900000000005</v>
      </c>
      <c r="G14" s="156">
        <f t="shared" si="3"/>
        <v>0</v>
      </c>
      <c r="H14" s="156">
        <f t="shared" si="3"/>
        <v>741.96899999999994</v>
      </c>
      <c r="I14" s="156">
        <f t="shared" si="3"/>
        <v>742.67074344259731</v>
      </c>
      <c r="J14" s="156">
        <f t="shared" si="3"/>
        <v>742.67074344259731</v>
      </c>
      <c r="K14" s="156">
        <f t="shared" si="3"/>
        <v>742.67074344259731</v>
      </c>
      <c r="L14" s="156">
        <f t="shared" si="3"/>
        <v>742.67074344259731</v>
      </c>
      <c r="M14" s="156">
        <f t="shared" si="3"/>
        <v>746.1431024425973</v>
      </c>
    </row>
    <row r="15" spans="2:13" s="38" customFormat="1" ht="15">
      <c r="B15" s="26"/>
      <c r="C15" s="74" t="s">
        <v>308</v>
      </c>
      <c r="D15" s="73"/>
      <c r="E15" s="35"/>
      <c r="F15" s="3"/>
      <c r="G15" s="35"/>
      <c r="H15" s="35"/>
      <c r="I15" s="35"/>
      <c r="J15" s="35"/>
      <c r="K15" s="35"/>
      <c r="L15" s="35"/>
      <c r="M15" s="35"/>
    </row>
    <row r="16" spans="2:13" s="38" customFormat="1" ht="15">
      <c r="B16" s="26">
        <f>B14+1</f>
        <v>6</v>
      </c>
      <c r="C16" s="43" t="s">
        <v>309</v>
      </c>
      <c r="D16" s="136">
        <v>0.155</v>
      </c>
      <c r="E16" s="136">
        <v>0.155</v>
      </c>
      <c r="F16" s="136">
        <v>0.155</v>
      </c>
      <c r="G16" s="136">
        <v>0.155</v>
      </c>
      <c r="H16" s="136">
        <v>0.155</v>
      </c>
      <c r="I16" s="136">
        <v>0.155</v>
      </c>
      <c r="J16" s="136">
        <v>0.155</v>
      </c>
      <c r="K16" s="136">
        <v>0.155</v>
      </c>
      <c r="L16" s="136">
        <v>0.155</v>
      </c>
      <c r="M16" s="136">
        <v>0.155</v>
      </c>
    </row>
    <row r="17" spans="2:13" s="38" customFormat="1" ht="15">
      <c r="B17" s="26">
        <f>B16+1</f>
        <v>7</v>
      </c>
      <c r="C17" s="43" t="s">
        <v>310</v>
      </c>
      <c r="D17" s="137">
        <v>0.17471999999999999</v>
      </c>
      <c r="E17" s="171">
        <v>0.25168000000000001</v>
      </c>
      <c r="F17" s="171">
        <v>0.25168000000000001</v>
      </c>
      <c r="G17" s="171">
        <v>0.17471999999999999</v>
      </c>
      <c r="H17" s="171">
        <v>0.25168000000000001</v>
      </c>
      <c r="I17" s="171">
        <v>0.25168000000000001</v>
      </c>
      <c r="J17" s="171">
        <v>0.25168000000000001</v>
      </c>
      <c r="K17" s="171">
        <v>0.25168000000000001</v>
      </c>
      <c r="L17" s="171">
        <v>0.25168000000000001</v>
      </c>
      <c r="M17" s="171">
        <v>0.25168000000000001</v>
      </c>
    </row>
    <row r="18" spans="2:13" s="38" customFormat="1" ht="15">
      <c r="B18" s="26">
        <f>B17+1</f>
        <v>8</v>
      </c>
      <c r="C18" s="36" t="s">
        <v>308</v>
      </c>
      <c r="D18" s="138">
        <f>D16/(1-D17)</f>
        <v>0.18781504459092671</v>
      </c>
      <c r="E18" s="138">
        <f t="shared" ref="E18:M18" si="4">E16/(1-E17)</f>
        <v>0.20713063929869574</v>
      </c>
      <c r="F18" s="138">
        <f t="shared" si="4"/>
        <v>0.20713063929869574</v>
      </c>
      <c r="G18" s="138">
        <f t="shared" si="4"/>
        <v>0.18781504459092671</v>
      </c>
      <c r="H18" s="138">
        <f t="shared" si="4"/>
        <v>0.20713063929869574</v>
      </c>
      <c r="I18" s="138">
        <f t="shared" si="4"/>
        <v>0.20713063929869574</v>
      </c>
      <c r="J18" s="138">
        <f t="shared" si="4"/>
        <v>0.20713063929869574</v>
      </c>
      <c r="K18" s="138">
        <f t="shared" si="4"/>
        <v>0.20713063929869574</v>
      </c>
      <c r="L18" s="138">
        <f t="shared" si="4"/>
        <v>0.20713063929869574</v>
      </c>
      <c r="M18" s="138">
        <f t="shared" si="4"/>
        <v>0.20713063929869574</v>
      </c>
    </row>
    <row r="19" spans="2:13" ht="15">
      <c r="B19" s="26"/>
      <c r="C19" s="74" t="s">
        <v>184</v>
      </c>
      <c r="D19" s="134"/>
      <c r="E19" s="35"/>
      <c r="F19" s="3"/>
      <c r="G19" s="35"/>
      <c r="H19" s="35"/>
      <c r="I19" s="35"/>
      <c r="J19" s="35"/>
      <c r="K19" s="35"/>
      <c r="L19" s="35"/>
      <c r="M19" s="35"/>
    </row>
    <row r="20" spans="2:13" ht="17.25" customHeight="1">
      <c r="B20" s="26">
        <f>B18+1</f>
        <v>9</v>
      </c>
      <c r="C20" s="72" t="s">
        <v>234</v>
      </c>
      <c r="D20" s="135">
        <f>D10*D18</f>
        <v>139.36026560682436</v>
      </c>
      <c r="E20" s="135">
        <f t="shared" ref="E20:M20" si="5">E10*E18</f>
        <v>153.69259140474665</v>
      </c>
      <c r="F20" s="135">
        <f t="shared" si="5"/>
        <v>153.69259140474665</v>
      </c>
      <c r="G20" s="135">
        <f t="shared" si="5"/>
        <v>0</v>
      </c>
      <c r="H20" s="135">
        <f t="shared" si="5"/>
        <v>153.68451330981398</v>
      </c>
      <c r="I20" s="135">
        <f t="shared" si="5"/>
        <v>153.68451330981398</v>
      </c>
      <c r="J20" s="135">
        <f t="shared" si="5"/>
        <v>153.82986587770282</v>
      </c>
      <c r="K20" s="135">
        <f t="shared" si="5"/>
        <v>153.82986587770282</v>
      </c>
      <c r="L20" s="135">
        <f t="shared" si="5"/>
        <v>153.82986587770282</v>
      </c>
      <c r="M20" s="135">
        <f t="shared" si="5"/>
        <v>153.82986587770282</v>
      </c>
    </row>
    <row r="21" spans="2:13" ht="18.75" customHeight="1">
      <c r="B21" s="26">
        <f t="shared" si="0"/>
        <v>10</v>
      </c>
      <c r="C21" s="72" t="s">
        <v>235</v>
      </c>
      <c r="D21" s="135">
        <f>AVERAGE(D10,D14)*D18-D20</f>
        <v>0</v>
      </c>
      <c r="E21" s="135">
        <f t="shared" ref="E21:M21" si="6">AVERAGE(E10,E14)*E18-E20</f>
        <v>-4.0390474663354325E-3</v>
      </c>
      <c r="F21" s="135">
        <f t="shared" si="6"/>
        <v>-4.0390474663354325E-3</v>
      </c>
      <c r="G21" s="135">
        <f t="shared" si="6"/>
        <v>0</v>
      </c>
      <c r="H21" s="135">
        <f t="shared" si="6"/>
        <v>0</v>
      </c>
      <c r="I21" s="135">
        <f t="shared" si="6"/>
        <v>7.2676283944417719E-2</v>
      </c>
      <c r="J21" s="135">
        <f t="shared" si="6"/>
        <v>0</v>
      </c>
      <c r="K21" s="135">
        <f t="shared" si="6"/>
        <v>0</v>
      </c>
      <c r="L21" s="135">
        <f t="shared" si="6"/>
        <v>0</v>
      </c>
      <c r="M21" s="135">
        <f t="shared" si="6"/>
        <v>0.35961596977227828</v>
      </c>
    </row>
    <row r="22" spans="2:13" ht="15">
      <c r="B22" s="26">
        <f t="shared" si="0"/>
        <v>11</v>
      </c>
      <c r="C22" s="45" t="s">
        <v>185</v>
      </c>
      <c r="D22" s="135">
        <v>139.36000000000001</v>
      </c>
      <c r="E22" s="135">
        <f t="shared" ref="E22:M22" si="7">E20+E21</f>
        <v>153.68855235728032</v>
      </c>
      <c r="F22" s="135">
        <f t="shared" si="7"/>
        <v>153.68855235728032</v>
      </c>
      <c r="G22" s="135">
        <v>139.36000000000001</v>
      </c>
      <c r="H22" s="135">
        <f t="shared" si="7"/>
        <v>153.68451330981398</v>
      </c>
      <c r="I22" s="135">
        <f t="shared" si="7"/>
        <v>153.7571895937584</v>
      </c>
      <c r="J22" s="135">
        <f t="shared" si="7"/>
        <v>153.82986587770282</v>
      </c>
      <c r="K22" s="135">
        <f t="shared" si="7"/>
        <v>153.82986587770282</v>
      </c>
      <c r="L22" s="135">
        <f t="shared" si="7"/>
        <v>153.82986587770282</v>
      </c>
      <c r="M22" s="135">
        <f t="shared" si="7"/>
        <v>154.18948184747509</v>
      </c>
    </row>
    <row r="23" spans="2:13">
      <c r="C23" s="5" t="s">
        <v>258</v>
      </c>
    </row>
    <row r="24" spans="2:13">
      <c r="C24" s="5" t="s">
        <v>418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0" right="0" top="1" bottom="1" header="0.25" footer="0.25"/>
  <pageSetup paperSize="9" scale="78" orientation="landscape" r:id="rId1"/>
  <headerFooter alignWithMargins="0">
    <oddHeader>&amp;F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2"/>
  <sheetViews>
    <sheetView showGridLines="0" zoomScale="90" zoomScaleNormal="90" zoomScaleSheetLayoutView="90" workbookViewId="0">
      <selection activeCell="P18" sqref="P18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13" width="11.28515625" style="5" customWidth="1"/>
    <col min="14" max="16" width="11.7109375" style="5" bestFit="1" customWidth="1"/>
    <col min="17" max="16384" width="9.28515625" style="5"/>
  </cols>
  <sheetData>
    <row r="1" spans="2:13" ht="15">
      <c r="B1" s="30"/>
    </row>
    <row r="2" spans="2:13" ht="15.75">
      <c r="B2" s="292" t="s">
        <v>517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</row>
    <row r="3" spans="2:13" ht="15.75">
      <c r="B3" s="292" t="s">
        <v>518</v>
      </c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</row>
    <row r="4" spans="2:13" ht="15.75">
      <c r="B4" s="330" t="s">
        <v>527</v>
      </c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</row>
    <row r="5" spans="2:13" ht="15">
      <c r="B5" s="39"/>
      <c r="C5" s="30"/>
      <c r="D5" s="31"/>
      <c r="E5" s="31"/>
      <c r="F5" s="31"/>
      <c r="G5" s="31"/>
      <c r="H5" s="31"/>
      <c r="I5" s="31"/>
      <c r="J5" s="31"/>
    </row>
    <row r="6" spans="2:13" ht="15">
      <c r="M6" s="32" t="s">
        <v>4</v>
      </c>
    </row>
    <row r="7" spans="2:13" s="19" customFormat="1" ht="39.75" customHeight="1">
      <c r="B7" s="296" t="s">
        <v>200</v>
      </c>
      <c r="C7" s="299" t="s">
        <v>18</v>
      </c>
      <c r="D7" s="303" t="s">
        <v>503</v>
      </c>
      <c r="E7" s="304"/>
      <c r="F7" s="305"/>
      <c r="G7" s="303" t="s">
        <v>514</v>
      </c>
      <c r="H7" s="304"/>
      <c r="I7" s="309" t="s">
        <v>238</v>
      </c>
      <c r="J7" s="309"/>
      <c r="K7" s="309"/>
      <c r="L7" s="309"/>
      <c r="M7" s="309"/>
    </row>
    <row r="8" spans="2:13" s="19" customFormat="1" ht="30">
      <c r="B8" s="297"/>
      <c r="C8" s="299"/>
      <c r="D8" s="21" t="s">
        <v>377</v>
      </c>
      <c r="E8" s="21" t="s">
        <v>256</v>
      </c>
      <c r="F8" s="21" t="s">
        <v>216</v>
      </c>
      <c r="G8" s="21" t="s">
        <v>377</v>
      </c>
      <c r="H8" s="21" t="s">
        <v>255</v>
      </c>
      <c r="I8" s="21" t="s">
        <v>469</v>
      </c>
      <c r="J8" s="21" t="s">
        <v>470</v>
      </c>
      <c r="K8" s="21" t="s">
        <v>471</v>
      </c>
      <c r="L8" s="21" t="s">
        <v>472</v>
      </c>
      <c r="M8" s="21" t="s">
        <v>473</v>
      </c>
    </row>
    <row r="9" spans="2:13" s="19" customFormat="1" ht="15">
      <c r="B9" s="298"/>
      <c r="C9" s="300"/>
      <c r="D9" s="21" t="s">
        <v>10</v>
      </c>
      <c r="E9" s="21" t="s">
        <v>12</v>
      </c>
      <c r="F9" s="21" t="s">
        <v>245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8">
        <v>1</v>
      </c>
      <c r="C10" s="33" t="s">
        <v>311</v>
      </c>
      <c r="D10" s="2"/>
      <c r="E10" s="172">
        <v>4.953055371378347E-3</v>
      </c>
      <c r="F10" s="172">
        <v>4.953055371378347E-3</v>
      </c>
      <c r="G10" s="173"/>
      <c r="H10" s="173">
        <v>5.7767210460580075E-3</v>
      </c>
      <c r="I10" s="173">
        <v>4.953055371378347E-3</v>
      </c>
      <c r="J10" s="173">
        <v>5.1511775862334809E-3</v>
      </c>
      <c r="K10" s="173">
        <v>5.3572246896828202E-3</v>
      </c>
      <c r="L10" s="173">
        <v>5.5715136772701334E-3</v>
      </c>
      <c r="M10" s="173">
        <v>5.7943742243609384E-3</v>
      </c>
    </row>
    <row r="11" spans="2:13">
      <c r="B11" s="68">
        <f>B10+1</f>
        <v>2</v>
      </c>
      <c r="C11" s="33" t="s">
        <v>312</v>
      </c>
      <c r="D11" s="2"/>
      <c r="E11" s="172">
        <v>0</v>
      </c>
      <c r="F11" s="172">
        <v>0</v>
      </c>
      <c r="G11" s="173"/>
      <c r="H11" s="173">
        <v>0</v>
      </c>
      <c r="I11" s="173">
        <v>0</v>
      </c>
      <c r="J11" s="173">
        <v>0</v>
      </c>
      <c r="K11" s="173">
        <v>0</v>
      </c>
      <c r="L11" s="173">
        <v>0</v>
      </c>
      <c r="M11" s="173">
        <v>0</v>
      </c>
    </row>
    <row r="12" spans="2:13">
      <c r="B12" s="68">
        <f>B11+1</f>
        <v>3</v>
      </c>
      <c r="C12" s="33" t="s">
        <v>313</v>
      </c>
      <c r="D12" s="2"/>
      <c r="E12" s="172">
        <v>4.3118668373089905E-3</v>
      </c>
      <c r="F12" s="172">
        <v>4.3118668373089905E-3</v>
      </c>
      <c r="G12" s="173"/>
      <c r="H12" s="173">
        <v>0</v>
      </c>
      <c r="I12" s="173">
        <v>4.3118668373089905E-3</v>
      </c>
      <c r="J12" s="173">
        <v>4.4843415108013502E-3</v>
      </c>
      <c r="K12" s="173">
        <v>4.6637151712334039E-3</v>
      </c>
      <c r="L12" s="173">
        <v>4.8502637780827402E-3</v>
      </c>
      <c r="M12" s="173">
        <v>5.0442743292060501E-3</v>
      </c>
    </row>
    <row r="13" spans="2:13">
      <c r="B13" s="26">
        <f t="shared" ref="B13:B21" si="0">B12+1</f>
        <v>4</v>
      </c>
      <c r="C13" s="35" t="s">
        <v>314</v>
      </c>
      <c r="D13" s="2"/>
      <c r="E13" s="172">
        <v>0</v>
      </c>
      <c r="F13" s="172">
        <v>0</v>
      </c>
      <c r="G13" s="173"/>
      <c r="H13" s="173">
        <v>0</v>
      </c>
      <c r="I13" s="173">
        <v>0</v>
      </c>
      <c r="J13" s="173">
        <v>0</v>
      </c>
      <c r="K13" s="173">
        <v>0</v>
      </c>
      <c r="L13" s="173">
        <v>0</v>
      </c>
      <c r="M13" s="173">
        <v>0</v>
      </c>
    </row>
    <row r="14" spans="2:13" ht="15.75" customHeight="1">
      <c r="B14" s="26">
        <f t="shared" si="0"/>
        <v>5</v>
      </c>
      <c r="C14" s="72" t="s">
        <v>315</v>
      </c>
      <c r="D14" s="73"/>
      <c r="E14" s="174">
        <v>0</v>
      </c>
      <c r="F14" s="172">
        <v>0</v>
      </c>
      <c r="G14" s="174"/>
      <c r="H14" s="173">
        <v>0</v>
      </c>
      <c r="I14" s="174">
        <v>0</v>
      </c>
      <c r="J14" s="174">
        <v>0</v>
      </c>
      <c r="K14" s="174">
        <v>0</v>
      </c>
      <c r="L14" s="174">
        <v>0</v>
      </c>
      <c r="M14" s="174">
        <v>0</v>
      </c>
    </row>
    <row r="15" spans="2:13" s="38" customFormat="1" ht="15">
      <c r="B15" s="26">
        <f t="shared" si="0"/>
        <v>6</v>
      </c>
      <c r="C15" s="43" t="s">
        <v>316</v>
      </c>
      <c r="D15" s="73"/>
      <c r="E15" s="174">
        <v>6.0171080104235736E-3</v>
      </c>
      <c r="F15" s="172">
        <v>6.0171080104235736E-3</v>
      </c>
      <c r="G15" s="174"/>
      <c r="H15" s="173">
        <v>1.949686213436541E-3</v>
      </c>
      <c r="I15" s="174">
        <v>6.0171080104235736E-3</v>
      </c>
      <c r="J15" s="174">
        <v>6.2577923308405172E-3</v>
      </c>
      <c r="K15" s="174">
        <v>6.5081040240741383E-3</v>
      </c>
      <c r="L15" s="174">
        <v>6.7684281850371045E-3</v>
      </c>
      <c r="M15" s="174">
        <v>7.0391653124385889E-3</v>
      </c>
    </row>
    <row r="16" spans="2:13" s="38" customFormat="1" ht="15">
      <c r="B16" s="26">
        <f t="shared" si="0"/>
        <v>7</v>
      </c>
      <c r="C16" s="72" t="s">
        <v>317</v>
      </c>
      <c r="D16" s="73"/>
      <c r="E16" s="174">
        <v>0</v>
      </c>
      <c r="F16" s="172">
        <v>0</v>
      </c>
      <c r="G16" s="174"/>
      <c r="H16" s="173">
        <v>0</v>
      </c>
      <c r="I16" s="174">
        <v>0</v>
      </c>
      <c r="J16" s="174">
        <v>0</v>
      </c>
      <c r="K16" s="174">
        <v>0</v>
      </c>
      <c r="L16" s="174">
        <v>0</v>
      </c>
      <c r="M16" s="174">
        <v>0</v>
      </c>
    </row>
    <row r="17" spans="2:13" s="38" customFormat="1" ht="12.75" customHeight="1">
      <c r="B17" s="26">
        <f t="shared" si="0"/>
        <v>8</v>
      </c>
      <c r="C17" s="43" t="s">
        <v>318</v>
      </c>
      <c r="D17" s="73"/>
      <c r="E17" s="174">
        <v>1.2397267666877398E-3</v>
      </c>
      <c r="F17" s="172">
        <v>1.2397267666877398E-3</v>
      </c>
      <c r="G17" s="174"/>
      <c r="H17" s="173">
        <v>4.6625027277072762E-3</v>
      </c>
      <c r="I17" s="174">
        <v>1.2397267666877398E-3</v>
      </c>
      <c r="J17" s="174">
        <v>1.2893158373552495E-3</v>
      </c>
      <c r="K17" s="174">
        <v>1.3408884708494594E-3</v>
      </c>
      <c r="L17" s="174">
        <v>1.3945240096834377E-3</v>
      </c>
      <c r="M17" s="174">
        <v>1.4503049700707751E-3</v>
      </c>
    </row>
    <row r="18" spans="2:13" s="38" customFormat="1" ht="15">
      <c r="B18" s="26">
        <f t="shared" si="0"/>
        <v>9</v>
      </c>
      <c r="C18" s="43" t="s">
        <v>155</v>
      </c>
      <c r="D18" s="73"/>
      <c r="E18" s="174">
        <v>18.239999999999998</v>
      </c>
      <c r="F18" s="172">
        <v>18.239999999999998</v>
      </c>
      <c r="G18" s="174"/>
      <c r="H18" s="173">
        <v>7.85</v>
      </c>
      <c r="I18" s="174">
        <v>8.1639999999999997</v>
      </c>
      <c r="J18" s="174">
        <v>8.4905600000000003</v>
      </c>
      <c r="K18" s="174">
        <v>8.8301824</v>
      </c>
      <c r="L18" s="174">
        <v>9.1833896960000008</v>
      </c>
      <c r="M18" s="174">
        <v>9.5507252838400003</v>
      </c>
    </row>
    <row r="19" spans="2:13" s="38" customFormat="1" ht="15">
      <c r="B19" s="26">
        <f t="shared" si="0"/>
        <v>10</v>
      </c>
      <c r="C19" s="43" t="s">
        <v>319</v>
      </c>
      <c r="D19" s="73"/>
      <c r="E19" s="174">
        <v>0</v>
      </c>
      <c r="F19" s="172">
        <v>0</v>
      </c>
      <c r="G19" s="174"/>
      <c r="H19" s="173">
        <v>0</v>
      </c>
      <c r="I19" s="174">
        <v>0</v>
      </c>
      <c r="J19" s="174">
        <v>0</v>
      </c>
      <c r="K19" s="174">
        <v>0</v>
      </c>
      <c r="L19" s="174">
        <v>0</v>
      </c>
      <c r="M19" s="174">
        <v>0</v>
      </c>
    </row>
    <row r="20" spans="2:13">
      <c r="B20" s="26">
        <f t="shared" si="0"/>
        <v>11</v>
      </c>
      <c r="C20" s="72" t="s">
        <v>166</v>
      </c>
      <c r="D20" s="73"/>
      <c r="E20" s="174">
        <v>1.0897337054569564E-2</v>
      </c>
      <c r="F20" s="172">
        <v>1.0897337054569564E-2</v>
      </c>
      <c r="G20" s="174"/>
      <c r="H20" s="173">
        <v>4.9342358873143881E-4</v>
      </c>
      <c r="I20" s="174">
        <v>1.0897337054569564E-2</v>
      </c>
      <c r="J20" s="174">
        <v>1.1333230536752347E-2</v>
      </c>
      <c r="K20" s="174">
        <v>1.1786559758222442E-2</v>
      </c>
      <c r="L20" s="174">
        <v>1.225802214855134E-2</v>
      </c>
      <c r="M20" s="174">
        <v>1.2748343034493395E-2</v>
      </c>
    </row>
    <row r="21" spans="2:13">
      <c r="B21" s="26">
        <f t="shared" si="0"/>
        <v>12</v>
      </c>
      <c r="C21" s="72" t="s">
        <v>9</v>
      </c>
      <c r="D21" s="73"/>
      <c r="E21" s="174">
        <v>1.1203399222767796</v>
      </c>
      <c r="F21" s="172">
        <v>1.1203399222767796</v>
      </c>
      <c r="G21" s="174"/>
      <c r="H21" s="173">
        <v>0.22947419089957288</v>
      </c>
      <c r="I21" s="174">
        <v>0.33783332474081385</v>
      </c>
      <c r="J21" s="174">
        <v>0.35134665773044638</v>
      </c>
      <c r="K21" s="174">
        <v>0.36540052403966422</v>
      </c>
      <c r="L21" s="174">
        <v>0.38001654500125076</v>
      </c>
      <c r="M21" s="174">
        <v>0.39521720680130079</v>
      </c>
    </row>
    <row r="22" spans="2:13" ht="15">
      <c r="B22" s="26"/>
      <c r="C22" s="37" t="s">
        <v>139</v>
      </c>
      <c r="D22" s="135">
        <v>3.01</v>
      </c>
      <c r="E22" s="135">
        <f t="shared" ref="E22:M22" si="1">SUM(E10:E21)</f>
        <v>19.387759016317148</v>
      </c>
      <c r="F22" s="135">
        <f t="shared" si="1"/>
        <v>19.387759016317148</v>
      </c>
      <c r="G22" s="135">
        <v>3.01</v>
      </c>
      <c r="H22" s="135">
        <f t="shared" si="1"/>
        <v>8.0923565244755054</v>
      </c>
      <c r="I22" s="135">
        <f t="shared" si="1"/>
        <v>8.5292524187811818</v>
      </c>
      <c r="J22" s="135">
        <f t="shared" si="1"/>
        <v>8.8704225155324288</v>
      </c>
      <c r="K22" s="135">
        <f t="shared" si="1"/>
        <v>9.2252394161537268</v>
      </c>
      <c r="L22" s="135">
        <f t="shared" si="1"/>
        <v>9.5942489927998764</v>
      </c>
      <c r="M22" s="135">
        <f t="shared" si="1"/>
        <v>9.9780189525118708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0" right="0" top="1" bottom="1" header="0.25" footer="0.25"/>
  <pageSetup paperSize="9" scale="84" orientation="landscape" r:id="rId1"/>
  <headerFooter alignWithMargins="0">
    <oddHeader>&amp;F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31"/>
  <sheetViews>
    <sheetView showGridLines="0" zoomScale="80" zoomScaleNormal="80" zoomScaleSheetLayoutView="70" workbookViewId="0">
      <selection activeCell="E6" sqref="E6:G6"/>
    </sheetView>
  </sheetViews>
  <sheetFormatPr defaultColWidth="9.28515625" defaultRowHeight="14.25"/>
  <cols>
    <col min="1" max="1" width="3.28515625" style="5" customWidth="1"/>
    <col min="2" max="2" width="8.28515625" style="5" customWidth="1"/>
    <col min="3" max="3" width="26.7109375" style="5" customWidth="1"/>
    <col min="4" max="4" width="15.7109375" style="5" customWidth="1"/>
    <col min="5" max="5" width="14.28515625" style="5" customWidth="1"/>
    <col min="6" max="6" width="15.7109375" style="5" customWidth="1"/>
    <col min="7" max="7" width="18" style="5" bestFit="1" customWidth="1"/>
    <col min="8" max="12" width="15.7109375" style="5" customWidth="1"/>
    <col min="13" max="16384" width="9.28515625" style="5"/>
  </cols>
  <sheetData>
    <row r="2" spans="2:12" ht="15">
      <c r="G2" s="39" t="s">
        <v>511</v>
      </c>
    </row>
    <row r="3" spans="2:12" ht="15">
      <c r="G3" s="39" t="s">
        <v>500</v>
      </c>
    </row>
    <row r="4" spans="2:12" ht="15">
      <c r="G4" s="41" t="s">
        <v>321</v>
      </c>
    </row>
    <row r="5" spans="2:12" ht="15">
      <c r="B5" s="30"/>
      <c r="C5" s="76"/>
      <c r="D5" s="77"/>
      <c r="E5" s="77"/>
      <c r="F5" s="77"/>
    </row>
    <row r="6" spans="2:12" ht="15" customHeight="1">
      <c r="B6" s="308" t="s">
        <v>2</v>
      </c>
      <c r="C6" s="309" t="s">
        <v>18</v>
      </c>
      <c r="D6" s="183" t="s">
        <v>503</v>
      </c>
      <c r="E6" s="304" t="s">
        <v>504</v>
      </c>
      <c r="F6" s="304"/>
      <c r="G6" s="304"/>
      <c r="H6" s="309" t="s">
        <v>238</v>
      </c>
      <c r="I6" s="309"/>
      <c r="J6" s="309"/>
      <c r="K6" s="309"/>
      <c r="L6" s="309"/>
    </row>
    <row r="7" spans="2:12" ht="15">
      <c r="B7" s="308"/>
      <c r="C7" s="309"/>
      <c r="D7" s="21" t="s">
        <v>320</v>
      </c>
      <c r="E7" s="21" t="s">
        <v>246</v>
      </c>
      <c r="F7" s="21" t="s">
        <v>247</v>
      </c>
      <c r="G7" s="21" t="s">
        <v>255</v>
      </c>
      <c r="H7" s="21" t="s">
        <v>469</v>
      </c>
      <c r="I7" s="21" t="s">
        <v>470</v>
      </c>
      <c r="J7" s="21" t="s">
        <v>471</v>
      </c>
      <c r="K7" s="21" t="s">
        <v>472</v>
      </c>
      <c r="L7" s="21" t="s">
        <v>473</v>
      </c>
    </row>
    <row r="8" spans="2:12" ht="24.75" customHeight="1">
      <c r="B8" s="331"/>
      <c r="C8" s="332"/>
      <c r="D8" s="21" t="s">
        <v>3</v>
      </c>
      <c r="E8" s="21" t="s">
        <v>3</v>
      </c>
      <c r="F8" s="21" t="s">
        <v>5</v>
      </c>
      <c r="G8" s="21" t="s">
        <v>5</v>
      </c>
      <c r="H8" s="21" t="s">
        <v>8</v>
      </c>
      <c r="I8" s="21" t="s">
        <v>8</v>
      </c>
      <c r="J8" s="21" t="s">
        <v>8</v>
      </c>
      <c r="K8" s="21" t="s">
        <v>8</v>
      </c>
      <c r="L8" s="21" t="s">
        <v>8</v>
      </c>
    </row>
    <row r="9" spans="2:12" ht="15">
      <c r="B9" s="78">
        <v>1</v>
      </c>
      <c r="C9" s="79" t="s">
        <v>167</v>
      </c>
      <c r="D9" s="75"/>
      <c r="E9" s="75"/>
      <c r="F9" s="75"/>
      <c r="G9" s="75"/>
      <c r="H9" s="33"/>
      <c r="I9" s="33"/>
      <c r="J9" s="33"/>
      <c r="K9" s="33"/>
      <c r="L9" s="33"/>
    </row>
    <row r="10" spans="2:12" s="38" customFormat="1" ht="15">
      <c r="B10" s="80" t="s">
        <v>57</v>
      </c>
      <c r="C10" s="45" t="s">
        <v>58</v>
      </c>
      <c r="D10" s="81"/>
      <c r="E10" s="82"/>
      <c r="F10" s="82"/>
      <c r="G10" s="45"/>
      <c r="H10" s="45"/>
      <c r="I10" s="45"/>
      <c r="J10" s="45"/>
      <c r="K10" s="45"/>
      <c r="L10" s="45"/>
    </row>
    <row r="11" spans="2:12" s="38" customFormat="1" ht="15">
      <c r="B11" s="83"/>
      <c r="C11" s="35" t="s">
        <v>59</v>
      </c>
      <c r="D11" s="81"/>
      <c r="E11" s="82"/>
      <c r="F11" s="82"/>
      <c r="G11" s="45"/>
      <c r="H11" s="45"/>
      <c r="I11" s="45"/>
      <c r="J11" s="45"/>
      <c r="K11" s="45"/>
      <c r="L11" s="45"/>
    </row>
    <row r="12" spans="2:12" s="38" customFormat="1" ht="15">
      <c r="B12" s="83"/>
      <c r="C12" s="35" t="s">
        <v>60</v>
      </c>
      <c r="D12" s="81"/>
      <c r="E12" s="82"/>
      <c r="F12" s="82"/>
      <c r="G12" s="45"/>
      <c r="H12" s="45"/>
      <c r="I12" s="45"/>
      <c r="J12" s="45"/>
      <c r="K12" s="45"/>
      <c r="L12" s="45"/>
    </row>
    <row r="13" spans="2:12" s="38" customFormat="1" ht="15">
      <c r="B13" s="83"/>
      <c r="C13" s="35" t="s">
        <v>61</v>
      </c>
      <c r="D13" s="81"/>
      <c r="E13" s="82"/>
      <c r="F13" s="82"/>
      <c r="G13" s="45"/>
      <c r="H13" s="45"/>
      <c r="I13" s="45"/>
      <c r="J13" s="45"/>
      <c r="K13" s="45"/>
      <c r="L13" s="45"/>
    </row>
    <row r="14" spans="2:12" s="38" customFormat="1" ht="15">
      <c r="B14" s="83"/>
      <c r="C14" s="84"/>
      <c r="D14" s="81"/>
      <c r="E14" s="82"/>
      <c r="F14" s="82"/>
      <c r="G14" s="45"/>
      <c r="H14" s="45"/>
      <c r="I14" s="45"/>
      <c r="J14" s="45"/>
      <c r="K14" s="45"/>
      <c r="L14" s="45"/>
    </row>
    <row r="15" spans="2:12" s="38" customFormat="1" ht="15">
      <c r="B15" s="80" t="s">
        <v>62</v>
      </c>
      <c r="C15" s="85" t="s">
        <v>63</v>
      </c>
      <c r="D15" s="81"/>
      <c r="E15" s="82"/>
      <c r="F15" s="82"/>
      <c r="G15" s="45"/>
      <c r="H15" s="45"/>
      <c r="I15" s="45"/>
      <c r="J15" s="45"/>
      <c r="K15" s="45"/>
      <c r="L15" s="45"/>
    </row>
    <row r="16" spans="2:12" s="38" customFormat="1" ht="15">
      <c r="B16" s="83"/>
      <c r="C16" s="35" t="s">
        <v>59</v>
      </c>
      <c r="D16" s="81"/>
      <c r="E16" s="82"/>
      <c r="F16" s="82"/>
      <c r="G16" s="45"/>
      <c r="H16" s="45"/>
      <c r="I16" s="45"/>
      <c r="J16" s="45"/>
      <c r="K16" s="45"/>
      <c r="L16" s="45"/>
    </row>
    <row r="17" spans="2:12">
      <c r="B17" s="83"/>
      <c r="C17" s="35" t="s">
        <v>60</v>
      </c>
      <c r="D17" s="81"/>
      <c r="E17" s="82"/>
      <c r="F17" s="82"/>
      <c r="G17" s="33"/>
      <c r="H17" s="33"/>
      <c r="I17" s="33"/>
      <c r="J17" s="33"/>
      <c r="K17" s="33"/>
      <c r="L17" s="33"/>
    </row>
    <row r="18" spans="2:12">
      <c r="B18" s="86"/>
      <c r="C18" s="35" t="s">
        <v>64</v>
      </c>
      <c r="D18" s="81"/>
      <c r="E18" s="82"/>
      <c r="F18" s="82"/>
      <c r="G18" s="33"/>
      <c r="H18" s="33"/>
      <c r="I18" s="33"/>
      <c r="J18" s="33"/>
      <c r="K18" s="33"/>
      <c r="L18" s="33"/>
    </row>
    <row r="19" spans="2:12" ht="15">
      <c r="B19" s="86"/>
      <c r="C19" s="85"/>
      <c r="D19" s="81"/>
      <c r="E19" s="82"/>
      <c r="F19" s="82"/>
      <c r="G19" s="33"/>
      <c r="H19" s="33"/>
      <c r="I19" s="33"/>
      <c r="J19" s="33"/>
      <c r="K19" s="33"/>
      <c r="L19" s="33"/>
    </row>
    <row r="20" spans="2:12" ht="17.25" customHeight="1">
      <c r="B20" s="80">
        <v>2</v>
      </c>
      <c r="C20" s="79" t="s">
        <v>168</v>
      </c>
      <c r="D20" s="81"/>
      <c r="E20" s="82"/>
      <c r="F20" s="82"/>
      <c r="G20" s="33"/>
      <c r="H20" s="33"/>
      <c r="I20" s="33"/>
      <c r="J20" s="33"/>
      <c r="K20" s="33"/>
      <c r="L20" s="33"/>
    </row>
    <row r="21" spans="2:12" ht="17.25" customHeight="1">
      <c r="B21" s="80"/>
      <c r="C21" s="79" t="s">
        <v>65</v>
      </c>
      <c r="D21" s="81"/>
      <c r="E21" s="81"/>
      <c r="F21" s="81"/>
      <c r="G21" s="33"/>
      <c r="H21" s="33"/>
      <c r="I21" s="33"/>
      <c r="J21" s="33"/>
      <c r="K21" s="33"/>
      <c r="L21" s="33"/>
    </row>
    <row r="22" spans="2:12" ht="17.25" customHeight="1">
      <c r="B22" s="80"/>
      <c r="C22" s="79" t="s">
        <v>65</v>
      </c>
      <c r="D22" s="81"/>
      <c r="E22" s="81"/>
      <c r="F22" s="81"/>
      <c r="G22" s="33"/>
      <c r="H22" s="33"/>
      <c r="I22" s="33"/>
      <c r="J22" s="33"/>
      <c r="K22" s="33"/>
      <c r="L22" s="33"/>
    </row>
    <row r="23" spans="2:12" ht="15">
      <c r="B23" s="83"/>
      <c r="C23" s="85" t="s">
        <v>66</v>
      </c>
      <c r="D23" s="81"/>
      <c r="E23" s="81"/>
      <c r="F23" s="81"/>
      <c r="G23" s="33"/>
      <c r="H23" s="33"/>
      <c r="I23" s="33"/>
      <c r="J23" s="33"/>
      <c r="K23" s="33"/>
      <c r="L23" s="33"/>
    </row>
    <row r="25" spans="2:12" ht="15">
      <c r="B25" s="87" t="s">
        <v>54</v>
      </c>
      <c r="C25" s="88"/>
      <c r="D25" s="88"/>
      <c r="E25" s="88"/>
      <c r="F25" s="88"/>
      <c r="G25" s="88"/>
    </row>
    <row r="26" spans="2:12">
      <c r="B26" s="5" t="s">
        <v>218</v>
      </c>
      <c r="D26" s="89"/>
      <c r="G26" s="88"/>
    </row>
    <row r="27" spans="2:12" ht="18" customHeight="1">
      <c r="B27" s="88"/>
      <c r="G27" s="88"/>
    </row>
    <row r="28" spans="2:12">
      <c r="B28" s="88"/>
      <c r="C28" s="88"/>
      <c r="D28" s="88"/>
      <c r="E28" s="88"/>
      <c r="F28" s="88"/>
      <c r="G28" s="88"/>
    </row>
    <row r="29" spans="2:12">
      <c r="B29" s="88"/>
      <c r="C29" s="88"/>
      <c r="D29" s="88"/>
      <c r="E29" s="88"/>
      <c r="F29" s="88"/>
      <c r="G29" s="88"/>
    </row>
    <row r="30" spans="2:12">
      <c r="B30" s="88"/>
      <c r="C30" s="88"/>
      <c r="D30" s="88"/>
      <c r="E30" s="88"/>
      <c r="F30" s="90"/>
      <c r="G30" s="88"/>
    </row>
    <row r="31" spans="2:12">
      <c r="B31" s="88"/>
      <c r="C31" s="88"/>
      <c r="D31" s="88"/>
      <c r="E31" s="88"/>
      <c r="F31" s="88"/>
      <c r="G31" s="88"/>
    </row>
  </sheetData>
  <mergeCells count="4">
    <mergeCell ref="B6:B8"/>
    <mergeCell ref="C6:C8"/>
    <mergeCell ref="H6:L6"/>
    <mergeCell ref="E6:G6"/>
  </mergeCells>
  <pageMargins left="0" right="0" top="1" bottom="1" header="0.5" footer="0.5"/>
  <pageSetup paperSize="9" scale="81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48"/>
  <sheetViews>
    <sheetView showGridLines="0" zoomScale="94" zoomScaleNormal="94" zoomScaleSheetLayoutView="70" workbookViewId="0">
      <selection activeCell="H6" sqref="H6:I6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55.28515625" style="5" customWidth="1"/>
    <col min="4" max="4" width="11" style="40" customWidth="1"/>
    <col min="5" max="5" width="14" style="40" customWidth="1"/>
    <col min="6" max="6" width="12.140625" style="5" customWidth="1"/>
    <col min="7" max="7" width="15" style="5" customWidth="1"/>
    <col min="8" max="8" width="13.7109375" style="5" customWidth="1"/>
    <col min="9" max="9" width="13.28515625" style="5" customWidth="1"/>
    <col min="10" max="14" width="12.7109375" style="5" customWidth="1"/>
    <col min="15" max="15" width="15.7109375" style="5" customWidth="1"/>
    <col min="16" max="16384" width="9.28515625" style="5"/>
  </cols>
  <sheetData>
    <row r="2" spans="2:15" ht="15.75">
      <c r="B2" s="292" t="s">
        <v>511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 spans="2:15" ht="15.75">
      <c r="B3" s="292" t="s">
        <v>500</v>
      </c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  <c r="O3" s="292"/>
    </row>
    <row r="4" spans="2:15" s="19" customFormat="1" ht="15.75">
      <c r="B4" s="292" t="s">
        <v>529</v>
      </c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</row>
    <row r="5" spans="2:15" s="19" customFormat="1" ht="15">
      <c r="C5" s="76"/>
      <c r="D5" s="40"/>
      <c r="E5" s="40"/>
      <c r="F5" s="91"/>
      <c r="G5" s="91"/>
      <c r="H5" s="91"/>
    </row>
    <row r="6" spans="2:15" ht="31.5" customHeight="1">
      <c r="B6" s="301" t="s">
        <v>200</v>
      </c>
      <c r="C6" s="333" t="s">
        <v>18</v>
      </c>
      <c r="D6" s="333" t="s">
        <v>39</v>
      </c>
      <c r="E6" s="303" t="s">
        <v>503</v>
      </c>
      <c r="F6" s="304"/>
      <c r="G6" s="305"/>
      <c r="H6" s="303" t="s">
        <v>504</v>
      </c>
      <c r="I6" s="304"/>
      <c r="J6" s="309" t="s">
        <v>238</v>
      </c>
      <c r="K6" s="309"/>
      <c r="L6" s="309"/>
      <c r="M6" s="309"/>
      <c r="N6" s="309"/>
      <c r="O6" s="301" t="s">
        <v>11</v>
      </c>
    </row>
    <row r="7" spans="2:15" ht="30">
      <c r="B7" s="333"/>
      <c r="C7" s="333"/>
      <c r="D7" s="333"/>
      <c r="E7" s="21" t="s">
        <v>377</v>
      </c>
      <c r="F7" s="21" t="s">
        <v>256</v>
      </c>
      <c r="G7" s="21" t="s">
        <v>216</v>
      </c>
      <c r="H7" s="21" t="s">
        <v>377</v>
      </c>
      <c r="I7" s="21" t="s">
        <v>255</v>
      </c>
      <c r="J7" s="21" t="s">
        <v>469</v>
      </c>
      <c r="K7" s="21" t="s">
        <v>470</v>
      </c>
      <c r="L7" s="21" t="s">
        <v>471</v>
      </c>
      <c r="M7" s="21" t="s">
        <v>472</v>
      </c>
      <c r="N7" s="21" t="s">
        <v>473</v>
      </c>
      <c r="O7" s="301"/>
    </row>
    <row r="8" spans="2:15" ht="15">
      <c r="B8" s="333"/>
      <c r="C8" s="333"/>
      <c r="D8" s="333"/>
      <c r="E8" s="21" t="s">
        <v>10</v>
      </c>
      <c r="F8" s="21" t="s">
        <v>12</v>
      </c>
      <c r="G8" s="21" t="s">
        <v>245</v>
      </c>
      <c r="H8" s="21" t="s">
        <v>10</v>
      </c>
      <c r="I8" s="21" t="s">
        <v>5</v>
      </c>
      <c r="J8" s="21" t="s">
        <v>8</v>
      </c>
      <c r="K8" s="21" t="s">
        <v>8</v>
      </c>
      <c r="L8" s="21" t="s">
        <v>8</v>
      </c>
      <c r="M8" s="21" t="s">
        <v>8</v>
      </c>
      <c r="N8" s="21" t="s">
        <v>8</v>
      </c>
      <c r="O8" s="302"/>
    </row>
    <row r="9" spans="2:15" ht="15">
      <c r="B9" s="21"/>
      <c r="C9" s="92"/>
      <c r="D9" s="93"/>
      <c r="E9" s="93"/>
      <c r="F9" s="33"/>
      <c r="G9" s="33"/>
      <c r="H9" s="33"/>
      <c r="I9" s="33"/>
      <c r="J9" s="33"/>
      <c r="K9" s="33"/>
      <c r="L9" s="33"/>
      <c r="M9" s="33"/>
      <c r="N9" s="33"/>
      <c r="O9" s="33"/>
    </row>
    <row r="10" spans="2:15" ht="15">
      <c r="B10" s="94">
        <v>1</v>
      </c>
      <c r="C10" s="95" t="s">
        <v>220</v>
      </c>
      <c r="D10" s="94" t="s">
        <v>40</v>
      </c>
      <c r="E10" s="21">
        <v>500</v>
      </c>
      <c r="F10" s="96"/>
      <c r="G10" s="96"/>
      <c r="H10" s="96"/>
      <c r="I10" s="96"/>
      <c r="J10" s="33"/>
      <c r="K10" s="33"/>
      <c r="L10" s="33"/>
      <c r="M10" s="33"/>
      <c r="N10" s="33"/>
      <c r="O10" s="33"/>
    </row>
    <row r="11" spans="2:15" ht="15">
      <c r="B11" s="94"/>
      <c r="C11" s="95" t="s">
        <v>352</v>
      </c>
      <c r="D11" s="94"/>
      <c r="E11" s="21" t="s">
        <v>499</v>
      </c>
      <c r="F11" s="96"/>
      <c r="G11" s="96"/>
      <c r="H11" s="96"/>
      <c r="I11" s="96"/>
      <c r="J11" s="33"/>
      <c r="K11" s="33"/>
      <c r="L11" s="33"/>
      <c r="M11" s="33"/>
      <c r="N11" s="33"/>
      <c r="O11" s="33"/>
    </row>
    <row r="12" spans="2:15" ht="13.5" customHeight="1">
      <c r="B12" s="94"/>
      <c r="C12" s="95" t="s">
        <v>229</v>
      </c>
      <c r="D12" s="94"/>
      <c r="E12" s="21" t="s">
        <v>491</v>
      </c>
      <c r="F12" s="96"/>
      <c r="G12" s="96"/>
      <c r="H12" s="96"/>
      <c r="I12" s="96"/>
      <c r="J12" s="33"/>
      <c r="K12" s="33"/>
      <c r="L12" s="33"/>
      <c r="M12" s="33"/>
      <c r="N12" s="33"/>
      <c r="O12" s="33"/>
    </row>
    <row r="13" spans="2:15" ht="15">
      <c r="B13" s="94"/>
      <c r="C13" s="95"/>
      <c r="D13" s="94"/>
      <c r="E13" s="94"/>
      <c r="F13" s="96"/>
      <c r="G13" s="96"/>
      <c r="H13" s="96"/>
      <c r="I13" s="96"/>
      <c r="J13" s="33"/>
      <c r="K13" s="33"/>
      <c r="L13" s="33"/>
      <c r="M13" s="33"/>
      <c r="N13" s="33"/>
      <c r="O13" s="33"/>
    </row>
    <row r="14" spans="2:15" ht="15">
      <c r="B14" s="21">
        <v>2</v>
      </c>
      <c r="C14" s="92" t="s">
        <v>175</v>
      </c>
      <c r="D14" s="94"/>
      <c r="E14" s="94"/>
      <c r="F14" s="96"/>
      <c r="G14" s="96"/>
      <c r="H14" s="96"/>
      <c r="I14" s="96"/>
      <c r="J14" s="33"/>
      <c r="K14" s="33"/>
      <c r="L14" s="33"/>
      <c r="M14" s="33"/>
      <c r="N14" s="33"/>
      <c r="O14" s="33"/>
    </row>
    <row r="15" spans="2:15">
      <c r="B15" s="94">
        <f>B14+0.1</f>
        <v>2.1</v>
      </c>
      <c r="C15" s="95" t="s">
        <v>41</v>
      </c>
      <c r="D15" s="94" t="s">
        <v>42</v>
      </c>
      <c r="E15" s="94">
        <v>80</v>
      </c>
      <c r="F15" s="94">
        <v>80</v>
      </c>
      <c r="G15" s="94">
        <v>80</v>
      </c>
      <c r="H15" s="94">
        <v>80</v>
      </c>
      <c r="I15" s="94">
        <v>80</v>
      </c>
      <c r="J15" s="94">
        <v>85</v>
      </c>
      <c r="K15" s="94">
        <v>85</v>
      </c>
      <c r="L15" s="94">
        <v>85</v>
      </c>
      <c r="M15" s="94">
        <v>85</v>
      </c>
      <c r="N15" s="94">
        <v>85</v>
      </c>
      <c r="O15" s="33"/>
    </row>
    <row r="16" spans="2:15">
      <c r="B16" s="94">
        <f>B15+0.1</f>
        <v>2.2000000000000002</v>
      </c>
      <c r="C16" s="95" t="s">
        <v>158</v>
      </c>
      <c r="D16" s="94" t="s">
        <v>42</v>
      </c>
      <c r="E16" s="94"/>
      <c r="F16" s="94">
        <v>90.3</v>
      </c>
      <c r="G16" s="94">
        <v>90.3</v>
      </c>
      <c r="H16" s="94">
        <v>80</v>
      </c>
      <c r="I16" s="94">
        <v>85.43</v>
      </c>
      <c r="J16" s="94">
        <v>85</v>
      </c>
      <c r="K16" s="94">
        <v>85</v>
      </c>
      <c r="L16" s="94">
        <v>85</v>
      </c>
      <c r="M16" s="94">
        <v>85</v>
      </c>
      <c r="N16" s="94">
        <v>85</v>
      </c>
      <c r="O16" s="33"/>
    </row>
    <row r="17" spans="2:15" ht="15">
      <c r="B17" s="94"/>
      <c r="C17" s="95"/>
      <c r="D17" s="94"/>
      <c r="E17" s="94"/>
      <c r="F17" s="96"/>
      <c r="G17" s="96"/>
      <c r="H17" s="96"/>
      <c r="I17" s="96"/>
      <c r="J17" s="33"/>
      <c r="K17" s="33"/>
      <c r="L17" s="33"/>
      <c r="M17" s="33"/>
      <c r="N17" s="33"/>
      <c r="O17" s="33"/>
    </row>
    <row r="18" spans="2:15" ht="15">
      <c r="B18" s="21">
        <v>3</v>
      </c>
      <c r="C18" s="92" t="s">
        <v>176</v>
      </c>
      <c r="D18" s="94"/>
      <c r="E18" s="94"/>
      <c r="F18" s="96"/>
      <c r="G18" s="96"/>
      <c r="H18" s="96"/>
      <c r="I18" s="96"/>
      <c r="J18" s="33"/>
      <c r="K18" s="33"/>
      <c r="L18" s="33"/>
      <c r="M18" s="33"/>
      <c r="N18" s="33"/>
      <c r="O18" s="33"/>
    </row>
    <row r="19" spans="2:15">
      <c r="B19" s="94">
        <f>B18+0.1</f>
        <v>3.1</v>
      </c>
      <c r="C19" s="95" t="s">
        <v>43</v>
      </c>
      <c r="D19" s="94" t="s">
        <v>42</v>
      </c>
      <c r="E19" s="94">
        <v>80</v>
      </c>
      <c r="F19" s="94">
        <v>80</v>
      </c>
      <c r="G19" s="94">
        <v>80</v>
      </c>
      <c r="H19" s="94">
        <v>80</v>
      </c>
      <c r="I19" s="94">
        <v>80</v>
      </c>
      <c r="J19" s="94">
        <v>85</v>
      </c>
      <c r="K19" s="94">
        <v>85</v>
      </c>
      <c r="L19" s="94">
        <v>85</v>
      </c>
      <c r="M19" s="94">
        <v>85</v>
      </c>
      <c r="N19" s="94">
        <v>85</v>
      </c>
      <c r="O19" s="33"/>
    </row>
    <row r="20" spans="2:15">
      <c r="B20" s="94">
        <f>B19+0.1</f>
        <v>3.2</v>
      </c>
      <c r="C20" s="95" t="s">
        <v>159</v>
      </c>
      <c r="D20" s="94" t="s">
        <v>42</v>
      </c>
      <c r="E20" s="94"/>
      <c r="F20" s="94">
        <v>83.1</v>
      </c>
      <c r="G20" s="94">
        <v>83.1</v>
      </c>
      <c r="H20" s="94">
        <v>80</v>
      </c>
      <c r="I20" s="94">
        <v>76.05</v>
      </c>
      <c r="J20" s="94">
        <v>85</v>
      </c>
      <c r="K20" s="94">
        <v>85</v>
      </c>
      <c r="L20" s="94">
        <v>85</v>
      </c>
      <c r="M20" s="94">
        <v>85</v>
      </c>
      <c r="N20" s="94">
        <v>85</v>
      </c>
      <c r="O20" s="33"/>
    </row>
    <row r="21" spans="2:15" ht="15">
      <c r="B21" s="94"/>
      <c r="C21" s="95"/>
      <c r="D21" s="94"/>
      <c r="E21" s="94"/>
      <c r="F21" s="21"/>
      <c r="G21" s="21"/>
      <c r="H21" s="21"/>
      <c r="I21" s="21"/>
      <c r="J21" s="33"/>
      <c r="K21" s="33"/>
      <c r="L21" s="33"/>
      <c r="M21" s="33"/>
      <c r="N21" s="33"/>
      <c r="O21" s="33"/>
    </row>
    <row r="22" spans="2:15" ht="15">
      <c r="B22" s="21">
        <v>4</v>
      </c>
      <c r="C22" s="92" t="s">
        <v>56</v>
      </c>
      <c r="D22" s="94"/>
      <c r="E22" s="94"/>
      <c r="F22" s="21"/>
      <c r="G22" s="21"/>
      <c r="H22" s="21"/>
      <c r="I22" s="21"/>
      <c r="J22" s="33"/>
      <c r="K22" s="33"/>
      <c r="L22" s="33"/>
      <c r="M22" s="33"/>
      <c r="N22" s="33"/>
      <c r="O22" s="33"/>
    </row>
    <row r="23" spans="2:15">
      <c r="B23" s="94">
        <f>B22+0.1</f>
        <v>4.0999999999999996</v>
      </c>
      <c r="C23" s="95" t="s">
        <v>44</v>
      </c>
      <c r="D23" s="94" t="s">
        <v>45</v>
      </c>
      <c r="E23" s="175">
        <f>F23</f>
        <v>3462.08</v>
      </c>
      <c r="F23" s="175">
        <v>3462.08</v>
      </c>
      <c r="G23" s="175">
        <v>3462.08</v>
      </c>
      <c r="H23" s="175">
        <f>I23</f>
        <v>3174.0284999999999</v>
      </c>
      <c r="I23" s="175">
        <v>3174.0284999999999</v>
      </c>
      <c r="J23" s="175">
        <f>J30</f>
        <v>3527.54</v>
      </c>
      <c r="K23" s="175">
        <v>3530.38</v>
      </c>
      <c r="L23" s="175">
        <v>3527.54</v>
      </c>
      <c r="M23" s="175">
        <v>3540.28</v>
      </c>
      <c r="N23" s="175">
        <v>3527.54</v>
      </c>
      <c r="O23" s="33"/>
    </row>
    <row r="24" spans="2:15">
      <c r="B24" s="94">
        <f>B23+0.1</f>
        <v>4.1999999999999993</v>
      </c>
      <c r="C24" s="97" t="s">
        <v>160</v>
      </c>
      <c r="D24" s="94" t="s">
        <v>45</v>
      </c>
      <c r="E24" s="175"/>
      <c r="F24" s="175">
        <v>3639.7120000000009</v>
      </c>
      <c r="G24" s="175">
        <v>3639.712</v>
      </c>
      <c r="H24" s="175"/>
      <c r="I24" s="175">
        <v>3340.2960000000003</v>
      </c>
      <c r="J24" s="175">
        <v>3723</v>
      </c>
      <c r="K24" s="175">
        <v>3726</v>
      </c>
      <c r="L24" s="175">
        <v>3723</v>
      </c>
      <c r="M24" s="175">
        <v>3736.44</v>
      </c>
      <c r="N24" s="175">
        <v>3723</v>
      </c>
      <c r="O24" s="33"/>
    </row>
    <row r="25" spans="2:15" ht="15">
      <c r="B25" s="94"/>
      <c r="C25" s="97"/>
      <c r="D25" s="94"/>
      <c r="E25" s="94"/>
      <c r="F25" s="21"/>
      <c r="G25" s="21"/>
      <c r="H25" s="21"/>
      <c r="I25" s="21"/>
      <c r="J25" s="33"/>
      <c r="K25" s="33"/>
      <c r="L25" s="33"/>
      <c r="M25" s="33"/>
      <c r="N25" s="33"/>
      <c r="O25" s="33"/>
    </row>
    <row r="26" spans="2:15" ht="15">
      <c r="B26" s="21">
        <v>5</v>
      </c>
      <c r="C26" s="98" t="s">
        <v>173</v>
      </c>
      <c r="D26" s="94"/>
      <c r="E26" s="94"/>
      <c r="F26" s="21"/>
      <c r="G26" s="21"/>
      <c r="H26" s="21"/>
      <c r="I26" s="21"/>
      <c r="J26" s="33"/>
      <c r="K26" s="33"/>
      <c r="L26" s="33"/>
      <c r="M26" s="33"/>
      <c r="N26" s="33"/>
      <c r="O26" s="33"/>
    </row>
    <row r="27" spans="2:15">
      <c r="B27" s="94">
        <f>B26+0.1</f>
        <v>5.0999999999999996</v>
      </c>
      <c r="C27" s="97" t="s">
        <v>46</v>
      </c>
      <c r="D27" s="94" t="s">
        <v>42</v>
      </c>
      <c r="E27" s="175">
        <v>7.5</v>
      </c>
      <c r="F27" s="175">
        <v>7.5</v>
      </c>
      <c r="G27" s="175">
        <v>7.5</v>
      </c>
      <c r="H27" s="175">
        <v>7.5</v>
      </c>
      <c r="I27" s="175">
        <v>7.5</v>
      </c>
      <c r="J27" s="175">
        <v>5.25</v>
      </c>
      <c r="K27" s="175">
        <v>5.25</v>
      </c>
      <c r="L27" s="175">
        <v>5.25</v>
      </c>
      <c r="M27" s="175">
        <v>5.25</v>
      </c>
      <c r="N27" s="175">
        <v>5.25</v>
      </c>
      <c r="O27" s="33"/>
    </row>
    <row r="28" spans="2:15" ht="16.5" customHeight="1">
      <c r="B28" s="94">
        <f>B27+0.1</f>
        <v>5.1999999999999993</v>
      </c>
      <c r="C28" s="97" t="s">
        <v>161</v>
      </c>
      <c r="D28" s="94" t="s">
        <v>42</v>
      </c>
      <c r="E28" s="175"/>
      <c r="F28" s="175">
        <v>4.88</v>
      </c>
      <c r="G28" s="175">
        <v>4.88</v>
      </c>
      <c r="H28" s="175"/>
      <c r="I28" s="175">
        <v>4.9779999999999998</v>
      </c>
      <c r="J28" s="175">
        <v>5.25</v>
      </c>
      <c r="K28" s="175">
        <v>5.25</v>
      </c>
      <c r="L28" s="175">
        <v>5.25</v>
      </c>
      <c r="M28" s="175">
        <v>5.25</v>
      </c>
      <c r="N28" s="175">
        <v>5.25</v>
      </c>
      <c r="O28" s="33"/>
    </row>
    <row r="29" spans="2:15" ht="16.5" customHeight="1">
      <c r="B29" s="94">
        <f>B28+0.1</f>
        <v>5.2999999999999989</v>
      </c>
      <c r="C29" s="97" t="s">
        <v>161</v>
      </c>
      <c r="D29" s="94" t="s">
        <v>45</v>
      </c>
      <c r="E29" s="175"/>
      <c r="F29" s="175">
        <v>177.63960000000088</v>
      </c>
      <c r="G29" s="175">
        <f>F29</f>
        <v>177.63960000000088</v>
      </c>
      <c r="H29" s="175"/>
      <c r="I29" s="175">
        <v>166.27</v>
      </c>
      <c r="J29" s="175">
        <v>195.46</v>
      </c>
      <c r="K29" s="175">
        <v>195.62</v>
      </c>
      <c r="L29" s="175">
        <v>195.46</v>
      </c>
      <c r="M29" s="175">
        <v>196.16</v>
      </c>
      <c r="N29" s="175">
        <v>195.46</v>
      </c>
      <c r="O29" s="33"/>
    </row>
    <row r="30" spans="2:15">
      <c r="B30" s="94">
        <f>B29+0.1</f>
        <v>5.3999999999999986</v>
      </c>
      <c r="C30" s="97" t="s">
        <v>47</v>
      </c>
      <c r="D30" s="94" t="s">
        <v>45</v>
      </c>
      <c r="E30" s="175"/>
      <c r="F30" s="176">
        <f>F24-F29</f>
        <v>3462.0724</v>
      </c>
      <c r="G30" s="175">
        <f>G24-G29</f>
        <v>3462.0723999999991</v>
      </c>
      <c r="H30" s="175"/>
      <c r="I30" s="175">
        <v>3174.0260000000003</v>
      </c>
      <c r="J30" s="175">
        <f>J24-J29</f>
        <v>3527.54</v>
      </c>
      <c r="K30" s="175">
        <f t="shared" ref="K30:N30" si="0">K24-K29</f>
        <v>3530.38</v>
      </c>
      <c r="L30" s="175">
        <f t="shared" si="0"/>
        <v>3527.54</v>
      </c>
      <c r="M30" s="175">
        <f t="shared" si="0"/>
        <v>3540.28</v>
      </c>
      <c r="N30" s="175">
        <f t="shared" si="0"/>
        <v>3527.54</v>
      </c>
      <c r="O30" s="33"/>
    </row>
    <row r="31" spans="2:15" ht="15">
      <c r="B31" s="94"/>
      <c r="C31" s="97"/>
      <c r="D31" s="94"/>
      <c r="E31" s="94"/>
      <c r="F31" s="186"/>
      <c r="G31" s="21"/>
      <c r="H31" s="21"/>
      <c r="I31" s="186"/>
      <c r="J31" s="140"/>
      <c r="K31" s="140"/>
      <c r="L31" s="140"/>
      <c r="M31" s="140"/>
      <c r="N31" s="140"/>
      <c r="O31" s="33"/>
    </row>
    <row r="32" spans="2:15" ht="15">
      <c r="B32" s="21">
        <v>6</v>
      </c>
      <c r="C32" s="98" t="s">
        <v>215</v>
      </c>
      <c r="D32" s="94"/>
      <c r="E32" s="94"/>
      <c r="F32" s="21"/>
      <c r="G32" s="21"/>
      <c r="H32" s="21"/>
      <c r="I32" s="21"/>
      <c r="J32" s="33"/>
      <c r="K32" s="33"/>
      <c r="L32" s="33"/>
      <c r="M32" s="33"/>
      <c r="N32" s="33"/>
      <c r="O32" s="33"/>
    </row>
    <row r="33" spans="2:15">
      <c r="B33" s="94">
        <f>B32+0.1</f>
        <v>6.1</v>
      </c>
      <c r="C33" s="97" t="s">
        <v>48</v>
      </c>
      <c r="D33" s="94" t="s">
        <v>49</v>
      </c>
      <c r="E33" s="94">
        <v>2450</v>
      </c>
      <c r="F33" s="94">
        <v>2450</v>
      </c>
      <c r="G33" s="94">
        <v>2450</v>
      </c>
      <c r="H33" s="94">
        <v>2450</v>
      </c>
      <c r="I33" s="94">
        <v>2450</v>
      </c>
      <c r="J33" s="94">
        <v>2450</v>
      </c>
      <c r="K33" s="94">
        <v>2450</v>
      </c>
      <c r="L33" s="94">
        <v>2450</v>
      </c>
      <c r="M33" s="94">
        <v>2450</v>
      </c>
      <c r="N33" s="94">
        <v>2450</v>
      </c>
      <c r="O33" s="33"/>
    </row>
    <row r="34" spans="2:15">
      <c r="B34" s="94">
        <f>B33+0.1</f>
        <v>6.1999999999999993</v>
      </c>
      <c r="C34" s="95" t="s">
        <v>162</v>
      </c>
      <c r="D34" s="94" t="s">
        <v>49</v>
      </c>
      <c r="E34" s="94"/>
      <c r="F34" s="94">
        <v>2284.13</v>
      </c>
      <c r="G34" s="94">
        <v>2284.13</v>
      </c>
      <c r="H34" s="94"/>
      <c r="I34" s="94">
        <v>2281</v>
      </c>
      <c r="J34" s="94">
        <v>2450</v>
      </c>
      <c r="K34" s="94">
        <v>2450</v>
      </c>
      <c r="L34" s="94">
        <v>2450</v>
      </c>
      <c r="M34" s="94">
        <v>2450</v>
      </c>
      <c r="N34" s="94">
        <v>2450</v>
      </c>
      <c r="O34" s="33"/>
    </row>
    <row r="35" spans="2:15" ht="15">
      <c r="B35" s="94"/>
      <c r="C35" s="95"/>
      <c r="D35" s="94"/>
      <c r="E35" s="94"/>
      <c r="F35" s="21"/>
      <c r="G35" s="21"/>
      <c r="H35" s="21"/>
      <c r="I35" s="21"/>
      <c r="J35" s="33"/>
      <c r="K35" s="33"/>
      <c r="L35" s="33"/>
      <c r="M35" s="33"/>
      <c r="N35" s="33"/>
      <c r="O35" s="33"/>
    </row>
    <row r="36" spans="2:15" ht="15">
      <c r="B36" s="21">
        <v>7</v>
      </c>
      <c r="C36" s="92" t="s">
        <v>177</v>
      </c>
      <c r="D36" s="94"/>
      <c r="E36" s="94"/>
      <c r="F36" s="21"/>
      <c r="G36" s="21"/>
      <c r="H36" s="21"/>
      <c r="I36" s="21"/>
      <c r="J36" s="33"/>
      <c r="K36" s="33"/>
      <c r="L36" s="33"/>
      <c r="M36" s="33"/>
      <c r="N36" s="33"/>
      <c r="O36" s="33"/>
    </row>
    <row r="37" spans="2:15">
      <c r="B37" s="94">
        <f>B36+0.1</f>
        <v>7.1</v>
      </c>
      <c r="C37" s="95" t="s">
        <v>50</v>
      </c>
      <c r="D37" s="94" t="s">
        <v>51</v>
      </c>
      <c r="E37" s="94">
        <v>2</v>
      </c>
      <c r="F37" s="94">
        <v>2</v>
      </c>
      <c r="G37" s="94">
        <v>2</v>
      </c>
      <c r="H37" s="94">
        <v>2</v>
      </c>
      <c r="I37" s="94">
        <v>2</v>
      </c>
      <c r="J37" s="94">
        <v>0.5</v>
      </c>
      <c r="K37" s="94">
        <v>0.5</v>
      </c>
      <c r="L37" s="94">
        <v>0.5</v>
      </c>
      <c r="M37" s="94">
        <v>0.5</v>
      </c>
      <c r="N37" s="94">
        <v>0.5</v>
      </c>
      <c r="O37" s="33"/>
    </row>
    <row r="38" spans="2:15">
      <c r="B38" s="94">
        <f>B37+0.1</f>
        <v>7.1999999999999993</v>
      </c>
      <c r="C38" s="95" t="s">
        <v>163</v>
      </c>
      <c r="D38" s="94" t="s">
        <v>51</v>
      </c>
      <c r="E38" s="94"/>
      <c r="F38" s="94">
        <v>0.33</v>
      </c>
      <c r="G38" s="94">
        <v>0.33</v>
      </c>
      <c r="H38" s="94">
        <v>2</v>
      </c>
      <c r="I38" s="227">
        <v>0.39550938538454622</v>
      </c>
      <c r="J38" s="94">
        <v>0.5</v>
      </c>
      <c r="K38" s="94">
        <v>0.5</v>
      </c>
      <c r="L38" s="94">
        <v>0.5</v>
      </c>
      <c r="M38" s="94">
        <v>0.5</v>
      </c>
      <c r="N38" s="94">
        <v>0.5</v>
      </c>
      <c r="O38" s="33"/>
    </row>
    <row r="39" spans="2:15" ht="15">
      <c r="B39" s="94"/>
      <c r="C39" s="95"/>
      <c r="D39" s="94"/>
      <c r="E39" s="94"/>
      <c r="F39" s="21"/>
      <c r="G39" s="21"/>
      <c r="H39" s="21"/>
      <c r="I39" s="21"/>
      <c r="J39" s="33"/>
      <c r="K39" s="33"/>
      <c r="L39" s="33"/>
      <c r="M39" s="33"/>
      <c r="N39" s="33"/>
      <c r="O39" s="33"/>
    </row>
    <row r="40" spans="2:15" ht="15">
      <c r="B40" s="21">
        <v>8</v>
      </c>
      <c r="C40" s="92" t="s">
        <v>53</v>
      </c>
      <c r="D40" s="94"/>
      <c r="E40" s="94"/>
      <c r="F40" s="21"/>
      <c r="G40" s="21"/>
      <c r="H40" s="21"/>
      <c r="I40" s="21"/>
      <c r="J40" s="33"/>
      <c r="K40" s="33"/>
      <c r="L40" s="33"/>
      <c r="M40" s="33"/>
      <c r="N40" s="33"/>
      <c r="O40" s="33"/>
    </row>
    <row r="41" spans="2:15">
      <c r="B41" s="94">
        <f>B40+0.1</f>
        <v>8.1</v>
      </c>
      <c r="C41" s="95" t="s">
        <v>52</v>
      </c>
      <c r="D41" s="94" t="s">
        <v>42</v>
      </c>
      <c r="E41" s="94">
        <v>0.8</v>
      </c>
      <c r="F41" s="94">
        <v>0.8</v>
      </c>
      <c r="G41" s="94">
        <v>0.8</v>
      </c>
      <c r="H41" s="94">
        <v>0.8</v>
      </c>
      <c r="I41" s="94">
        <v>0.8</v>
      </c>
      <c r="J41" s="94">
        <v>0.8</v>
      </c>
      <c r="K41" s="94">
        <v>0.8</v>
      </c>
      <c r="L41" s="94">
        <v>0.8</v>
      </c>
      <c r="M41" s="94">
        <v>0.8</v>
      </c>
      <c r="N41" s="94">
        <v>0.8</v>
      </c>
      <c r="O41" s="33"/>
    </row>
    <row r="42" spans="2:15">
      <c r="B42" s="94">
        <f>B41+0.1</f>
        <v>8.1999999999999993</v>
      </c>
      <c r="C42" s="95" t="s">
        <v>164</v>
      </c>
      <c r="D42" s="94" t="s">
        <v>42</v>
      </c>
      <c r="E42" s="94"/>
      <c r="F42" s="94">
        <v>0.8</v>
      </c>
      <c r="G42" s="94">
        <v>0.8</v>
      </c>
      <c r="H42" s="94">
        <v>0.8</v>
      </c>
      <c r="I42" s="94">
        <v>0.8</v>
      </c>
      <c r="J42" s="94">
        <v>0.8</v>
      </c>
      <c r="K42" s="94">
        <v>0.8</v>
      </c>
      <c r="L42" s="94">
        <v>0.8</v>
      </c>
      <c r="M42" s="94">
        <v>0.8</v>
      </c>
      <c r="N42" s="94">
        <v>0.8</v>
      </c>
      <c r="O42" s="33"/>
    </row>
    <row r="43" spans="2:15" ht="15">
      <c r="B43" s="21"/>
      <c r="C43" s="92"/>
      <c r="D43" s="93"/>
      <c r="E43" s="94"/>
      <c r="F43" s="21"/>
      <c r="G43" s="21"/>
      <c r="H43" s="21"/>
      <c r="I43" s="21"/>
      <c r="J43" s="33"/>
      <c r="K43" s="33"/>
      <c r="L43" s="33"/>
      <c r="M43" s="33"/>
      <c r="N43" s="33"/>
      <c r="O43" s="33"/>
    </row>
    <row r="44" spans="2:15" ht="15">
      <c r="B44" s="44"/>
      <c r="C44" s="99"/>
      <c r="D44" s="100"/>
      <c r="E44" s="100"/>
      <c r="F44" s="44"/>
      <c r="G44" s="44"/>
      <c r="H44" s="44"/>
      <c r="I44" s="44"/>
    </row>
    <row r="45" spans="2:15" ht="16.5">
      <c r="D45" s="101"/>
      <c r="E45" s="101"/>
      <c r="F45" s="102"/>
      <c r="G45" s="102"/>
      <c r="H45" s="102"/>
      <c r="I45" s="102"/>
    </row>
    <row r="46" spans="2:15" ht="16.5">
      <c r="B46" s="19"/>
      <c r="F46" s="102"/>
      <c r="G46" s="102"/>
      <c r="H46" s="102"/>
      <c r="I46" s="102"/>
    </row>
    <row r="47" spans="2:15" ht="16.5">
      <c r="C47" s="54"/>
      <c r="F47" s="102"/>
      <c r="G47" s="102"/>
      <c r="H47" s="102"/>
      <c r="I47" s="102"/>
    </row>
    <row r="48" spans="2:15">
      <c r="F48" s="103"/>
      <c r="G48" s="103"/>
      <c r="H48" s="103"/>
      <c r="I48" s="103"/>
    </row>
  </sheetData>
  <mergeCells count="10">
    <mergeCell ref="B2:O2"/>
    <mergeCell ref="B3:O3"/>
    <mergeCell ref="B4:O4"/>
    <mergeCell ref="B6:B8"/>
    <mergeCell ref="C6:C8"/>
    <mergeCell ref="D6:D8"/>
    <mergeCell ref="J6:N6"/>
    <mergeCell ref="O6:O8"/>
    <mergeCell ref="E6:G6"/>
    <mergeCell ref="H6:I6"/>
  </mergeCells>
  <pageMargins left="0" right="0" top="0" bottom="0" header="0.5" footer="0.5"/>
  <pageSetup paperSize="9" scale="6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V53"/>
  <sheetViews>
    <sheetView workbookViewId="0">
      <selection activeCell="E47" sqref="E47:V47"/>
    </sheetView>
  </sheetViews>
  <sheetFormatPr defaultColWidth="9.28515625" defaultRowHeight="14.25"/>
  <cols>
    <col min="1" max="1" width="2.28515625" style="104" customWidth="1"/>
    <col min="2" max="2" width="9.28515625" style="104"/>
    <col min="3" max="3" width="39.28515625" style="104" customWidth="1"/>
    <col min="4" max="4" width="10.42578125" style="105" customWidth="1"/>
    <col min="5" max="16384" width="9.28515625" style="104"/>
  </cols>
  <sheetData>
    <row r="2" spans="2:22" ht="15">
      <c r="M2" s="39" t="s">
        <v>511</v>
      </c>
    </row>
    <row r="3" spans="2:22" ht="15">
      <c r="M3" s="39" t="s">
        <v>500</v>
      </c>
    </row>
    <row r="4" spans="2:22" ht="15">
      <c r="M4" s="41" t="s">
        <v>353</v>
      </c>
    </row>
    <row r="6" spans="2:22" ht="15">
      <c r="B6" s="334" t="s">
        <v>200</v>
      </c>
      <c r="C6" s="334" t="s">
        <v>18</v>
      </c>
      <c r="D6" s="334" t="s">
        <v>39</v>
      </c>
      <c r="E6" s="334" t="s">
        <v>503</v>
      </c>
      <c r="F6" s="334"/>
      <c r="G6" s="334"/>
      <c r="H6" s="334"/>
      <c r="I6" s="334"/>
      <c r="J6" s="334"/>
      <c r="K6" s="334"/>
      <c r="L6" s="334"/>
      <c r="M6" s="334"/>
      <c r="N6" s="334"/>
      <c r="O6" s="334"/>
      <c r="P6" s="334"/>
      <c r="Q6" s="334" t="s">
        <v>504</v>
      </c>
      <c r="R6" s="334"/>
      <c r="S6" s="334"/>
      <c r="T6" s="334"/>
      <c r="U6" s="334"/>
      <c r="V6" s="334"/>
    </row>
    <row r="7" spans="2:22" ht="15">
      <c r="B7" s="334"/>
      <c r="C7" s="334"/>
      <c r="D7" s="334"/>
      <c r="E7" s="107" t="s">
        <v>141</v>
      </c>
      <c r="F7" s="107" t="s">
        <v>142</v>
      </c>
      <c r="G7" s="107" t="s">
        <v>143</v>
      </c>
      <c r="H7" s="107" t="s">
        <v>144</v>
      </c>
      <c r="I7" s="107" t="s">
        <v>145</v>
      </c>
      <c r="J7" s="107" t="s">
        <v>146</v>
      </c>
      <c r="K7" s="107" t="s">
        <v>147</v>
      </c>
      <c r="L7" s="107" t="s">
        <v>148</v>
      </c>
      <c r="M7" s="107" t="s">
        <v>149</v>
      </c>
      <c r="N7" s="107" t="s">
        <v>150</v>
      </c>
      <c r="O7" s="107" t="s">
        <v>151</v>
      </c>
      <c r="P7" s="107" t="s">
        <v>152</v>
      </c>
      <c r="Q7" s="107" t="s">
        <v>141</v>
      </c>
      <c r="R7" s="107" t="s">
        <v>142</v>
      </c>
      <c r="S7" s="107" t="s">
        <v>143</v>
      </c>
      <c r="T7" s="107" t="s">
        <v>144</v>
      </c>
      <c r="U7" s="107" t="s">
        <v>145</v>
      </c>
      <c r="V7" s="107" t="s">
        <v>146</v>
      </c>
    </row>
    <row r="8" spans="2:22" ht="15">
      <c r="B8" s="107" t="s">
        <v>67</v>
      </c>
      <c r="C8" s="109" t="s">
        <v>326</v>
      </c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</row>
    <row r="9" spans="2:22">
      <c r="B9" s="108">
        <v>1</v>
      </c>
      <c r="C9" s="34" t="s">
        <v>441</v>
      </c>
      <c r="D9" s="108" t="s">
        <v>328</v>
      </c>
      <c r="E9" s="34">
        <v>81819.999999999942</v>
      </c>
      <c r="F9" s="34">
        <v>35781.999999999884</v>
      </c>
      <c r="G9" s="34">
        <v>69815.995999999926</v>
      </c>
      <c r="H9" s="34">
        <v>124599.99599999998</v>
      </c>
      <c r="I9" s="34">
        <v>151309.99599999998</v>
      </c>
      <c r="J9" s="34">
        <v>171233.99599999998</v>
      </c>
      <c r="K9" s="34">
        <v>180714.99599999998</v>
      </c>
      <c r="L9" s="34">
        <v>138750.99599999998</v>
      </c>
      <c r="M9" s="34">
        <v>152561.99599999998</v>
      </c>
      <c r="N9" s="34">
        <v>137899.99599999998</v>
      </c>
      <c r="O9" s="34">
        <v>123961.65599999996</v>
      </c>
      <c r="P9" s="34">
        <v>121515.7159999999</v>
      </c>
      <c r="Q9" s="166">
        <v>91864.995999999926</v>
      </c>
      <c r="R9" s="166">
        <v>82291.805999999924</v>
      </c>
      <c r="S9" s="166">
        <v>120988.04599999991</v>
      </c>
      <c r="T9" s="166">
        <v>128879.99599999993</v>
      </c>
      <c r="U9" s="166">
        <v>81161.69599999988</v>
      </c>
      <c r="V9" s="166">
        <v>61610.77599999978</v>
      </c>
    </row>
    <row r="10" spans="2:22">
      <c r="B10" s="108">
        <f>B9+1</f>
        <v>2</v>
      </c>
      <c r="C10" s="34" t="s">
        <v>327</v>
      </c>
      <c r="D10" s="169" t="s">
        <v>474</v>
      </c>
      <c r="E10" s="167">
        <v>43.970054200320796</v>
      </c>
      <c r="F10" s="167">
        <v>18.520826434573276</v>
      </c>
      <c r="G10" s="167">
        <v>36.795114115034217</v>
      </c>
      <c r="H10" s="167">
        <v>64.478346017160106</v>
      </c>
      <c r="I10" s="167">
        <v>79.483794248347294</v>
      </c>
      <c r="J10" s="167">
        <v>88.736057917957766</v>
      </c>
      <c r="K10" s="167">
        <v>95.55522047992136</v>
      </c>
      <c r="L10" s="167">
        <v>75.784411388473686</v>
      </c>
      <c r="M10" s="167">
        <v>83.797266985361404</v>
      </c>
      <c r="N10" s="167">
        <v>74.164939996714267</v>
      </c>
      <c r="O10" s="167">
        <v>62.784339626659289</v>
      </c>
      <c r="P10" s="167">
        <v>73.149089867555105</v>
      </c>
      <c r="Q10" s="167">
        <v>57.217768085286259</v>
      </c>
      <c r="R10" s="167">
        <v>50.593531940800347</v>
      </c>
      <c r="S10" s="167">
        <v>81.008635802930968</v>
      </c>
      <c r="T10" s="167">
        <v>90.256701542499854</v>
      </c>
      <c r="U10" s="167">
        <v>54.182878619418666</v>
      </c>
      <c r="V10" s="167">
        <v>35.644945208954866</v>
      </c>
    </row>
    <row r="11" spans="2:22" ht="15">
      <c r="B11" s="107" t="s">
        <v>71</v>
      </c>
      <c r="C11" s="109" t="s">
        <v>329</v>
      </c>
      <c r="D11" s="108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</row>
    <row r="12" spans="2:22">
      <c r="B12" s="108">
        <f>B10+1</f>
        <v>3</v>
      </c>
      <c r="C12" s="34" t="s">
        <v>442</v>
      </c>
      <c r="D12" s="108" t="s">
        <v>328</v>
      </c>
      <c r="E12" s="166">
        <v>185993.03</v>
      </c>
      <c r="F12" s="166">
        <v>303748.8</v>
      </c>
      <c r="G12" s="166">
        <v>326675.21999999997</v>
      </c>
      <c r="H12" s="166">
        <v>35739.879999999997</v>
      </c>
      <c r="I12" s="166">
        <v>20326.259999999998</v>
      </c>
      <c r="J12" s="166">
        <v>31589.16</v>
      </c>
      <c r="K12" s="166">
        <v>166842.98000000001</v>
      </c>
      <c r="L12" s="166">
        <v>206060.62</v>
      </c>
      <c r="M12" s="166">
        <v>254506</v>
      </c>
      <c r="N12" s="166">
        <v>256526.07999999999</v>
      </c>
      <c r="O12" s="166">
        <v>247156.06</v>
      </c>
      <c r="P12" s="166">
        <v>222925.53</v>
      </c>
      <c r="Q12" s="166">
        <v>282178.81</v>
      </c>
      <c r="R12" s="166">
        <v>289769.24</v>
      </c>
      <c r="S12" s="166">
        <v>255109.36000000004</v>
      </c>
      <c r="T12" s="166">
        <v>235538.3</v>
      </c>
      <c r="U12" s="166">
        <v>246059.07999999996</v>
      </c>
      <c r="V12" s="166">
        <v>249554.1</v>
      </c>
    </row>
    <row r="13" spans="2:22">
      <c r="B13" s="108">
        <f>B12+1</f>
        <v>4</v>
      </c>
      <c r="C13" s="34" t="s">
        <v>443</v>
      </c>
      <c r="D13" s="108" t="s">
        <v>328</v>
      </c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</row>
    <row r="14" spans="2:22">
      <c r="B14" s="108">
        <f>B13+1</f>
        <v>5</v>
      </c>
      <c r="C14" s="34" t="s">
        <v>444</v>
      </c>
      <c r="D14" s="108" t="s">
        <v>328</v>
      </c>
      <c r="E14" s="166">
        <v>185993.03</v>
      </c>
      <c r="F14" s="166">
        <v>303748.8</v>
      </c>
      <c r="G14" s="166">
        <v>326675.21999999997</v>
      </c>
      <c r="H14" s="166">
        <v>35739.879999999997</v>
      </c>
      <c r="I14" s="166">
        <v>20326.259999999998</v>
      </c>
      <c r="J14" s="166">
        <v>31589.16</v>
      </c>
      <c r="K14" s="166">
        <v>166842.98000000001</v>
      </c>
      <c r="L14" s="166">
        <v>206060.62</v>
      </c>
      <c r="M14" s="166">
        <v>254506</v>
      </c>
      <c r="N14" s="166">
        <v>256526.07999999999</v>
      </c>
      <c r="O14" s="166">
        <v>247156.06</v>
      </c>
      <c r="P14" s="166">
        <v>222925.53</v>
      </c>
      <c r="Q14" s="166">
        <v>282178.81</v>
      </c>
      <c r="R14" s="166">
        <v>289769.24</v>
      </c>
      <c r="S14" s="166">
        <v>255109.36000000004</v>
      </c>
      <c r="T14" s="166">
        <v>235538.3</v>
      </c>
      <c r="U14" s="166">
        <v>246059.07999999996</v>
      </c>
      <c r="V14" s="166">
        <v>249554.1</v>
      </c>
    </row>
    <row r="15" spans="2:22">
      <c r="B15" s="108">
        <f>B14+1</f>
        <v>6</v>
      </c>
      <c r="C15" s="34" t="s">
        <v>330</v>
      </c>
      <c r="D15" s="108" t="s">
        <v>328</v>
      </c>
      <c r="E15" s="166">
        <v>1487.94424</v>
      </c>
      <c r="F15" s="166">
        <v>2429.9904000000097</v>
      </c>
      <c r="G15" s="166">
        <v>2613.4017599999788</v>
      </c>
      <c r="H15" s="166">
        <v>285.91904000000068</v>
      </c>
      <c r="I15" s="166">
        <v>162.61007999999856</v>
      </c>
      <c r="J15" s="166">
        <v>252.71327999999994</v>
      </c>
      <c r="K15" s="166">
        <v>1334.7438400000101</v>
      </c>
      <c r="L15" s="166">
        <v>1648.4849600000016</v>
      </c>
      <c r="M15" s="166">
        <v>2036.0480000000098</v>
      </c>
      <c r="N15" s="166">
        <v>2052.2086399999971</v>
      </c>
      <c r="O15" s="166">
        <v>1977.2484800000093</v>
      </c>
      <c r="P15" s="166">
        <v>1783.4042400000035</v>
      </c>
      <c r="Q15" s="166">
        <v>2257.4304799999809</v>
      </c>
      <c r="R15" s="166">
        <v>2318.1539200000116</v>
      </c>
      <c r="S15" s="166">
        <v>2040.8748799999885</v>
      </c>
      <c r="T15" s="166">
        <v>1884.3064000000013</v>
      </c>
      <c r="U15" s="166">
        <v>1968.4726399999927</v>
      </c>
      <c r="V15" s="166">
        <v>1996.4328000000096</v>
      </c>
    </row>
    <row r="16" spans="2:22" ht="15">
      <c r="B16" s="108">
        <f>B15+1</f>
        <v>7</v>
      </c>
      <c r="C16" s="34" t="s">
        <v>445</v>
      </c>
      <c r="D16" s="108" t="s">
        <v>328</v>
      </c>
      <c r="E16" s="126">
        <f>E14-E15</f>
        <v>184505.08575999999</v>
      </c>
      <c r="F16" s="126">
        <f t="shared" ref="F16:V16" si="0">F14-F15</f>
        <v>301318.80959999998</v>
      </c>
      <c r="G16" s="126">
        <f t="shared" si="0"/>
        <v>324061.81823999999</v>
      </c>
      <c r="H16" s="126">
        <f t="shared" si="0"/>
        <v>35453.960959999997</v>
      </c>
      <c r="I16" s="126">
        <f t="shared" si="0"/>
        <v>20163.64992</v>
      </c>
      <c r="J16" s="126">
        <f t="shared" si="0"/>
        <v>31336.44672</v>
      </c>
      <c r="K16" s="126">
        <f t="shared" si="0"/>
        <v>165508.23616</v>
      </c>
      <c r="L16" s="126">
        <f t="shared" si="0"/>
        <v>204412.13503999999</v>
      </c>
      <c r="M16" s="126">
        <f t="shared" si="0"/>
        <v>252469.95199999999</v>
      </c>
      <c r="N16" s="126">
        <f t="shared" si="0"/>
        <v>254473.87135999999</v>
      </c>
      <c r="O16" s="126">
        <f t="shared" si="0"/>
        <v>245178.81151999999</v>
      </c>
      <c r="P16" s="126">
        <f t="shared" si="0"/>
        <v>221142.12576</v>
      </c>
      <c r="Q16" s="126">
        <f t="shared" si="0"/>
        <v>279921.37952000002</v>
      </c>
      <c r="R16" s="126">
        <f t="shared" si="0"/>
        <v>287451.08607999998</v>
      </c>
      <c r="S16" s="126">
        <f t="shared" si="0"/>
        <v>253068.48512000006</v>
      </c>
      <c r="T16" s="126">
        <f t="shared" si="0"/>
        <v>233653.99359999999</v>
      </c>
      <c r="U16" s="126">
        <f t="shared" si="0"/>
        <v>244090.60735999997</v>
      </c>
      <c r="V16" s="126">
        <f t="shared" si="0"/>
        <v>247557.6672</v>
      </c>
    </row>
    <row r="17" spans="2:22" ht="15">
      <c r="B17" s="107" t="s">
        <v>72</v>
      </c>
      <c r="C17" s="109" t="s">
        <v>331</v>
      </c>
      <c r="D17" s="108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2:22">
      <c r="B18" s="108">
        <f>B16+1</f>
        <v>8</v>
      </c>
      <c r="C18" s="34" t="s">
        <v>446</v>
      </c>
      <c r="D18" s="169" t="s">
        <v>474</v>
      </c>
      <c r="E18" s="167">
        <v>115.07820996299996</v>
      </c>
      <c r="F18" s="167">
        <v>175.728540393</v>
      </c>
      <c r="G18" s="167">
        <v>206.43970389599997</v>
      </c>
      <c r="H18" s="167">
        <v>21.781151266999998</v>
      </c>
      <c r="I18" s="167">
        <v>11.388821748</v>
      </c>
      <c r="J18" s="167">
        <v>18.708109042</v>
      </c>
      <c r="K18" s="167">
        <v>96.630861013000001</v>
      </c>
      <c r="L18" s="167">
        <v>111.95877475800002</v>
      </c>
      <c r="M18" s="167">
        <v>134.31301602900001</v>
      </c>
      <c r="N18" s="167">
        <v>135.06620210199998</v>
      </c>
      <c r="O18" s="167">
        <v>142.354211838</v>
      </c>
      <c r="P18" s="167">
        <v>142.10339366732083</v>
      </c>
      <c r="Q18" s="167">
        <v>170.79295279267916</v>
      </c>
      <c r="R18" s="167">
        <v>205.31670529099998</v>
      </c>
      <c r="S18" s="167">
        <v>177.486691054</v>
      </c>
      <c r="T18" s="167">
        <v>146.25360037900001</v>
      </c>
      <c r="U18" s="167">
        <v>145.44864001500002</v>
      </c>
      <c r="V18" s="167">
        <v>138.604935084</v>
      </c>
    </row>
    <row r="19" spans="2:22">
      <c r="B19" s="108">
        <f>B18+1</f>
        <v>9</v>
      </c>
      <c r="C19" s="34" t="s">
        <v>447</v>
      </c>
      <c r="D19" s="169" t="s">
        <v>474</v>
      </c>
      <c r="E19" s="167">
        <v>-25.533023039616797</v>
      </c>
      <c r="F19" s="167">
        <v>-26.914355978373599</v>
      </c>
      <c r="G19" s="167">
        <v>-48.329903383339193</v>
      </c>
      <c r="H19" s="167">
        <v>-3.7752469125703998</v>
      </c>
      <c r="I19" s="167">
        <v>-3.3870269863583995</v>
      </c>
      <c r="J19" s="167">
        <v>-2.6675768587775996</v>
      </c>
      <c r="K19" s="167">
        <v>-12.722196575892799</v>
      </c>
      <c r="L19" s="167">
        <v>-10.914609509902</v>
      </c>
      <c r="M19" s="167">
        <v>-15.086891998029598</v>
      </c>
      <c r="N19" s="167">
        <v>-23.942137568052001</v>
      </c>
      <c r="O19" s="167">
        <v>-3.6027080564800092E-2</v>
      </c>
      <c r="P19" s="167">
        <v>-15.129923316748801</v>
      </c>
      <c r="Q19" s="167">
        <v>-18.494730812364601</v>
      </c>
      <c r="R19" s="167">
        <v>-18.519229049078398</v>
      </c>
      <c r="S19" s="167">
        <v>-2.7624360532944015</v>
      </c>
      <c r="T19" s="167">
        <v>-4.3592964599468011</v>
      </c>
      <c r="U19" s="167">
        <v>-21.0032348549056</v>
      </c>
      <c r="V19" s="167">
        <v>-11.661857878950398</v>
      </c>
    </row>
    <row r="20" spans="2:22">
      <c r="B20" s="108">
        <f>B19+1</f>
        <v>10</v>
      </c>
      <c r="C20" s="34" t="s">
        <v>332</v>
      </c>
      <c r="D20" s="169" t="s">
        <v>474</v>
      </c>
      <c r="E20" s="167">
        <v>0.1167709</v>
      </c>
      <c r="F20" s="167">
        <v>0.120525805</v>
      </c>
      <c r="G20" s="167">
        <v>0.11759070000000001</v>
      </c>
      <c r="H20" s="167">
        <v>0.1458168</v>
      </c>
      <c r="I20" s="167">
        <v>0.526597855</v>
      </c>
      <c r="J20" s="167">
        <v>0.28679149999999998</v>
      </c>
      <c r="K20" s="167">
        <v>0.55327984500000005</v>
      </c>
      <c r="L20" s="167">
        <v>0.46478220800000003</v>
      </c>
      <c r="M20" s="167">
        <v>0.59521787300000006</v>
      </c>
      <c r="N20" s="167">
        <v>0.30145044000000004</v>
      </c>
      <c r="O20" s="167">
        <v>0.45404983899999996</v>
      </c>
      <c r="P20" s="167">
        <v>0.78103992200000005</v>
      </c>
      <c r="Q20" s="167">
        <v>0.28743848220000001</v>
      </c>
      <c r="R20" s="167">
        <v>0.19941903562000013</v>
      </c>
      <c r="S20" s="167">
        <v>0.25486151699999998</v>
      </c>
      <c r="T20" s="167">
        <v>0.27968552882399994</v>
      </c>
      <c r="U20" s="167">
        <v>0.50753141499999999</v>
      </c>
      <c r="V20" s="167">
        <v>0.50783255999999999</v>
      </c>
    </row>
    <row r="21" spans="2:22" ht="15">
      <c r="B21" s="108">
        <f>B20+1</f>
        <v>11</v>
      </c>
      <c r="C21" s="34" t="s">
        <v>333</v>
      </c>
      <c r="D21" s="169" t="s">
        <v>474</v>
      </c>
      <c r="E21" s="126">
        <f>E18+E19+E20</f>
        <v>89.661957823383176</v>
      </c>
      <c r="F21" s="126">
        <f t="shared" ref="F21:V21" si="1">F18+F19+F20</f>
        <v>148.9347102196264</v>
      </c>
      <c r="G21" s="126">
        <f t="shared" si="1"/>
        <v>158.22739121266076</v>
      </c>
      <c r="H21" s="126">
        <f t="shared" si="1"/>
        <v>18.151721154429598</v>
      </c>
      <c r="I21" s="126">
        <f t="shared" si="1"/>
        <v>8.5283926166416002</v>
      </c>
      <c r="J21" s="126">
        <f t="shared" si="1"/>
        <v>16.327323683222399</v>
      </c>
      <c r="K21" s="126">
        <f t="shared" si="1"/>
        <v>84.461944282107211</v>
      </c>
      <c r="L21" s="126">
        <f t="shared" si="1"/>
        <v>101.50894745609801</v>
      </c>
      <c r="M21" s="126">
        <f t="shared" si="1"/>
        <v>119.82134190397041</v>
      </c>
      <c r="N21" s="126">
        <f t="shared" si="1"/>
        <v>111.42551497394797</v>
      </c>
      <c r="O21" s="126">
        <f t="shared" si="1"/>
        <v>142.7722345964352</v>
      </c>
      <c r="P21" s="126">
        <f t="shared" si="1"/>
        <v>127.75451027257203</v>
      </c>
      <c r="Q21" s="126">
        <f t="shared" si="1"/>
        <v>152.58566046251457</v>
      </c>
      <c r="R21" s="126">
        <f t="shared" si="1"/>
        <v>186.99689527754157</v>
      </c>
      <c r="S21" s="126">
        <f t="shared" si="1"/>
        <v>174.97911651770559</v>
      </c>
      <c r="T21" s="126">
        <f t="shared" si="1"/>
        <v>142.1739894478772</v>
      </c>
      <c r="U21" s="126">
        <f t="shared" si="1"/>
        <v>124.95293657509443</v>
      </c>
      <c r="V21" s="126">
        <f t="shared" si="1"/>
        <v>127.4509097650496</v>
      </c>
    </row>
    <row r="22" spans="2:22" ht="15">
      <c r="B22" s="107" t="s">
        <v>334</v>
      </c>
      <c r="C22" s="109" t="s">
        <v>335</v>
      </c>
      <c r="D22" s="108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</row>
    <row r="23" spans="2:22">
      <c r="B23" s="108">
        <f>B21+1</f>
        <v>12</v>
      </c>
      <c r="C23" s="34" t="s">
        <v>336</v>
      </c>
      <c r="D23" s="108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</row>
    <row r="24" spans="2:22">
      <c r="B24" s="108"/>
      <c r="C24" s="34" t="s">
        <v>337</v>
      </c>
      <c r="D24" s="169" t="s">
        <v>474</v>
      </c>
      <c r="E24" s="167">
        <v>4.2183230200000015</v>
      </c>
      <c r="F24" s="167">
        <v>10.206653504950001</v>
      </c>
      <c r="G24" s="167">
        <v>8.8024610475000031</v>
      </c>
      <c r="H24" s="167">
        <v>1.44696752465</v>
      </c>
      <c r="I24" s="167">
        <v>0.84806128200000008</v>
      </c>
      <c r="J24" s="167">
        <v>2.048168327</v>
      </c>
      <c r="K24" s="167">
        <v>9.0865145965000007</v>
      </c>
      <c r="L24" s="167">
        <v>11.194818193250004</v>
      </c>
      <c r="M24" s="167">
        <v>14.214393224550003</v>
      </c>
      <c r="N24" s="167">
        <v>13.139821341200001</v>
      </c>
      <c r="O24" s="167">
        <v>16.655746299600001</v>
      </c>
      <c r="P24" s="167">
        <v>12.519550963250003</v>
      </c>
      <c r="Q24" s="167">
        <v>18.77322785740105</v>
      </c>
      <c r="R24" s="167">
        <v>9.9742560333499988</v>
      </c>
      <c r="S24" s="167">
        <v>5.9699582407499996</v>
      </c>
      <c r="T24" s="167">
        <v>9.5940093548500016</v>
      </c>
      <c r="U24" s="167">
        <v>9.0390672701000003</v>
      </c>
      <c r="V24" s="167">
        <v>14.121008796849999</v>
      </c>
    </row>
    <row r="25" spans="2:22">
      <c r="B25" s="108"/>
      <c r="C25" s="34" t="s">
        <v>338</v>
      </c>
      <c r="D25" s="169" t="s">
        <v>474</v>
      </c>
      <c r="E25" s="167"/>
      <c r="F25" s="167"/>
      <c r="G25" s="167"/>
      <c r="H25" s="167"/>
      <c r="I25" s="167"/>
      <c r="J25" s="167"/>
      <c r="K25" s="167"/>
      <c r="L25" s="167"/>
      <c r="M25" s="167"/>
      <c r="N25" s="167"/>
      <c r="O25" s="167"/>
      <c r="P25" s="167"/>
      <c r="Q25" s="167"/>
      <c r="R25" s="167"/>
      <c r="S25" s="167"/>
      <c r="T25" s="167"/>
      <c r="U25" s="167"/>
      <c r="V25" s="167"/>
    </row>
    <row r="26" spans="2:22">
      <c r="B26" s="108"/>
      <c r="C26" s="34" t="s">
        <v>339</v>
      </c>
      <c r="D26" s="169" t="s">
        <v>474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</row>
    <row r="27" spans="2:22">
      <c r="B27" s="108"/>
      <c r="C27" s="34" t="s">
        <v>9</v>
      </c>
      <c r="D27" s="169" t="s">
        <v>474</v>
      </c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2:22">
      <c r="B28" s="108">
        <f>B23+1</f>
        <v>13</v>
      </c>
      <c r="C28" s="34" t="s">
        <v>448</v>
      </c>
      <c r="D28" s="169" t="s">
        <v>474</v>
      </c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</row>
    <row r="29" spans="2:22">
      <c r="B29" s="108">
        <f>B28+1</f>
        <v>14</v>
      </c>
      <c r="C29" s="34" t="s">
        <v>340</v>
      </c>
      <c r="D29" s="169" t="s">
        <v>474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</row>
    <row r="30" spans="2:22" ht="28.5">
      <c r="B30" s="108">
        <f>B29+1</f>
        <v>15</v>
      </c>
      <c r="C30" s="110" t="s">
        <v>449</v>
      </c>
      <c r="D30" s="169" t="s">
        <v>474</v>
      </c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</row>
    <row r="31" spans="2:22" ht="28.5">
      <c r="B31" s="108">
        <f>B30+1</f>
        <v>16</v>
      </c>
      <c r="C31" s="110" t="s">
        <v>341</v>
      </c>
      <c r="D31" s="169" t="s">
        <v>474</v>
      </c>
      <c r="E31" s="127">
        <f>SUM(E24:E30)</f>
        <v>4.2183230200000015</v>
      </c>
      <c r="F31" s="127">
        <f t="shared" ref="F31:V31" si="2">SUM(F24:F30)</f>
        <v>10.206653504950001</v>
      </c>
      <c r="G31" s="127">
        <f t="shared" si="2"/>
        <v>8.8024610475000031</v>
      </c>
      <c r="H31" s="127">
        <f t="shared" si="2"/>
        <v>1.44696752465</v>
      </c>
      <c r="I31" s="127">
        <f t="shared" si="2"/>
        <v>0.84806128200000008</v>
      </c>
      <c r="J31" s="127">
        <f t="shared" si="2"/>
        <v>2.048168327</v>
      </c>
      <c r="K31" s="127">
        <f t="shared" si="2"/>
        <v>9.0865145965000007</v>
      </c>
      <c r="L31" s="127">
        <f t="shared" si="2"/>
        <v>11.194818193250004</v>
      </c>
      <c r="M31" s="127">
        <f t="shared" si="2"/>
        <v>14.214393224550003</v>
      </c>
      <c r="N31" s="127">
        <f t="shared" si="2"/>
        <v>13.139821341200001</v>
      </c>
      <c r="O31" s="127">
        <f t="shared" si="2"/>
        <v>16.655746299600001</v>
      </c>
      <c r="P31" s="127">
        <f t="shared" si="2"/>
        <v>12.519550963250003</v>
      </c>
      <c r="Q31" s="127">
        <f t="shared" si="2"/>
        <v>18.77322785740105</v>
      </c>
      <c r="R31" s="127">
        <f t="shared" si="2"/>
        <v>9.9742560333499988</v>
      </c>
      <c r="S31" s="127">
        <f t="shared" si="2"/>
        <v>5.9699582407499996</v>
      </c>
      <c r="T31" s="127">
        <f t="shared" si="2"/>
        <v>9.5940093548500016</v>
      </c>
      <c r="U31" s="127">
        <f t="shared" si="2"/>
        <v>9.0390672701000003</v>
      </c>
      <c r="V31" s="127">
        <f t="shared" si="2"/>
        <v>14.121008796849999</v>
      </c>
    </row>
    <row r="32" spans="2:22" ht="28.5">
      <c r="B32" s="108">
        <f>B31+1</f>
        <v>17</v>
      </c>
      <c r="C32" s="110" t="s">
        <v>450</v>
      </c>
      <c r="D32" s="169" t="s">
        <v>474</v>
      </c>
      <c r="E32" s="127">
        <f>E21+E31</f>
        <v>93.880280843383176</v>
      </c>
      <c r="F32" s="127">
        <f t="shared" ref="F32:V32" si="3">F21+F31</f>
        <v>159.14136372457639</v>
      </c>
      <c r="G32" s="127">
        <f t="shared" si="3"/>
        <v>167.02985226016077</v>
      </c>
      <c r="H32" s="127">
        <f t="shared" si="3"/>
        <v>19.598688679079597</v>
      </c>
      <c r="I32" s="127">
        <f t="shared" si="3"/>
        <v>9.3764538986415999</v>
      </c>
      <c r="J32" s="127">
        <f t="shared" si="3"/>
        <v>18.375492010222398</v>
      </c>
      <c r="K32" s="127">
        <f t="shared" si="3"/>
        <v>93.548458878607207</v>
      </c>
      <c r="L32" s="127">
        <f t="shared" si="3"/>
        <v>112.70376564934801</v>
      </c>
      <c r="M32" s="127">
        <f t="shared" si="3"/>
        <v>134.0357351285204</v>
      </c>
      <c r="N32" s="127">
        <f t="shared" si="3"/>
        <v>124.56533631514797</v>
      </c>
      <c r="O32" s="127">
        <f t="shared" si="3"/>
        <v>159.42798089603519</v>
      </c>
      <c r="P32" s="127">
        <f t="shared" si="3"/>
        <v>140.27406123582205</v>
      </c>
      <c r="Q32" s="127">
        <f t="shared" si="3"/>
        <v>171.35888831991562</v>
      </c>
      <c r="R32" s="127">
        <f t="shared" si="3"/>
        <v>196.97115131089157</v>
      </c>
      <c r="S32" s="127">
        <f t="shared" si="3"/>
        <v>180.94907475845559</v>
      </c>
      <c r="T32" s="127">
        <f t="shared" si="3"/>
        <v>151.76799880272722</v>
      </c>
      <c r="U32" s="127">
        <f t="shared" si="3"/>
        <v>133.99200384519443</v>
      </c>
      <c r="V32" s="127">
        <f t="shared" si="3"/>
        <v>141.57191856189959</v>
      </c>
    </row>
    <row r="33" spans="2:22" ht="15">
      <c r="B33" s="107" t="s">
        <v>342</v>
      </c>
      <c r="C33" s="109" t="s">
        <v>191</v>
      </c>
      <c r="D33" s="108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</row>
    <row r="34" spans="2:22" ht="15">
      <c r="B34" s="108">
        <f>B32+1</f>
        <v>18</v>
      </c>
      <c r="C34" s="110" t="s">
        <v>451</v>
      </c>
      <c r="D34" s="108" t="s">
        <v>343</v>
      </c>
      <c r="E34" s="126">
        <f t="shared" ref="E34:V34" si="4">IFERROR((E10+E32)/(E9+E16),0)*10000000</f>
        <v>5176.01767217409</v>
      </c>
      <c r="F34" s="126">
        <f t="shared" si="4"/>
        <v>5270.2985308745383</v>
      </c>
      <c r="G34" s="126">
        <f t="shared" si="4"/>
        <v>5174.8272943090715</v>
      </c>
      <c r="H34" s="126">
        <f t="shared" si="4"/>
        <v>5253.0431795105133</v>
      </c>
      <c r="I34" s="126">
        <f t="shared" si="4"/>
        <v>5182.1519085472837</v>
      </c>
      <c r="J34" s="126">
        <f t="shared" si="4"/>
        <v>5287.6198763229004</v>
      </c>
      <c r="K34" s="126">
        <f t="shared" si="4"/>
        <v>5461.9003519422449</v>
      </c>
      <c r="L34" s="126">
        <f t="shared" si="4"/>
        <v>5492.6698117768074</v>
      </c>
      <c r="M34" s="126">
        <f t="shared" si="4"/>
        <v>5378.1683936172321</v>
      </c>
      <c r="N34" s="126">
        <f t="shared" si="4"/>
        <v>5064.8193685521055</v>
      </c>
      <c r="O34" s="126">
        <f t="shared" si="4"/>
        <v>6019.7225737829749</v>
      </c>
      <c r="P34" s="126">
        <f t="shared" si="4"/>
        <v>6228.4624804489476</v>
      </c>
      <c r="Q34" s="126">
        <f t="shared" si="4"/>
        <v>6148.064357805004</v>
      </c>
      <c r="R34" s="126">
        <f t="shared" si="4"/>
        <v>6695.5900587840715</v>
      </c>
      <c r="S34" s="126">
        <f t="shared" si="4"/>
        <v>7003.1583134515222</v>
      </c>
      <c r="T34" s="126">
        <f t="shared" si="4"/>
        <v>6675.9174943089847</v>
      </c>
      <c r="U34" s="126">
        <f t="shared" si="4"/>
        <v>5785.5049916844091</v>
      </c>
      <c r="V34" s="126">
        <f t="shared" si="4"/>
        <v>5732.0489095393741</v>
      </c>
    </row>
    <row r="35" spans="2:22">
      <c r="B35" s="108">
        <f>B34+1</f>
        <v>19</v>
      </c>
      <c r="C35" s="110" t="s">
        <v>344</v>
      </c>
      <c r="D35" s="108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</row>
    <row r="36" spans="2:22" ht="28.5">
      <c r="B36" s="108">
        <f>B35+1</f>
        <v>20</v>
      </c>
      <c r="C36" s="110" t="s">
        <v>452</v>
      </c>
      <c r="D36" s="108" t="s">
        <v>343</v>
      </c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</row>
    <row r="37" spans="2:22" ht="15">
      <c r="B37" s="107" t="s">
        <v>345</v>
      </c>
      <c r="C37" s="109" t="s">
        <v>346</v>
      </c>
      <c r="D37" s="108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spans="2:22" ht="28.5">
      <c r="B38" s="108">
        <f>B36+1</f>
        <v>21</v>
      </c>
      <c r="C38" s="110" t="s">
        <v>453</v>
      </c>
      <c r="D38" s="108" t="s">
        <v>347</v>
      </c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</row>
    <row r="39" spans="2:22" ht="28.5">
      <c r="B39" s="108">
        <f>B38+1</f>
        <v>22</v>
      </c>
      <c r="C39" s="110" t="s">
        <v>454</v>
      </c>
      <c r="D39" s="108" t="s">
        <v>347</v>
      </c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</row>
    <row r="40" spans="2:22" ht="28.5">
      <c r="B40" s="108">
        <f t="shared" ref="B40:B47" si="5">B39+1</f>
        <v>23</v>
      </c>
      <c r="C40" s="110" t="s">
        <v>455</v>
      </c>
      <c r="D40" s="108" t="s">
        <v>347</v>
      </c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</row>
    <row r="41" spans="2:22" ht="28.5">
      <c r="B41" s="108">
        <f t="shared" si="5"/>
        <v>24</v>
      </c>
      <c r="C41" s="110" t="s">
        <v>456</v>
      </c>
      <c r="D41" s="108" t="s">
        <v>347</v>
      </c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</row>
    <row r="42" spans="2:22">
      <c r="B42" s="108">
        <f t="shared" si="5"/>
        <v>25</v>
      </c>
      <c r="C42" s="110" t="s">
        <v>457</v>
      </c>
      <c r="D42" s="108" t="s">
        <v>347</v>
      </c>
      <c r="E42" s="166">
        <v>4513.4666880222403</v>
      </c>
      <c r="F42" s="166">
        <v>4455.8234555762701</v>
      </c>
      <c r="G42" s="166">
        <v>4414.51333819309</v>
      </c>
      <c r="H42" s="166">
        <v>4415.6792978310395</v>
      </c>
      <c r="I42" s="166">
        <v>3968.9122666131302</v>
      </c>
      <c r="J42" s="166">
        <v>4577.7313544993403</v>
      </c>
      <c r="K42" s="166">
        <v>4461.4106385689101</v>
      </c>
      <c r="L42" s="166">
        <v>4410.9143969800098</v>
      </c>
      <c r="M42" s="166">
        <v>4165.7242012544602</v>
      </c>
      <c r="N42" s="166">
        <v>4121.8416880735704</v>
      </c>
      <c r="O42" s="166">
        <v>4517.7315781777697</v>
      </c>
      <c r="P42" s="166">
        <v>4656.2265412131101</v>
      </c>
      <c r="Q42" s="166">
        <v>4702</v>
      </c>
      <c r="R42" s="166">
        <v>5196</v>
      </c>
      <c r="S42" s="166">
        <v>5058</v>
      </c>
      <c r="T42" s="166">
        <v>4300</v>
      </c>
      <c r="U42" s="166">
        <v>4305</v>
      </c>
      <c r="V42" s="166">
        <v>4317</v>
      </c>
    </row>
    <row r="43" spans="2:22" ht="28.5">
      <c r="B43" s="108">
        <f t="shared" si="5"/>
        <v>26</v>
      </c>
      <c r="C43" s="110" t="s">
        <v>458</v>
      </c>
      <c r="D43" s="108" t="s">
        <v>347</v>
      </c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</row>
    <row r="44" spans="2:22" ht="28.5">
      <c r="B44" s="108">
        <f t="shared" si="5"/>
        <v>27</v>
      </c>
      <c r="C44" s="110" t="s">
        <v>459</v>
      </c>
      <c r="D44" s="108" t="s">
        <v>347</v>
      </c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</row>
    <row r="45" spans="2:22" ht="28.5">
      <c r="B45" s="108">
        <f t="shared" si="5"/>
        <v>28</v>
      </c>
      <c r="C45" s="110" t="s">
        <v>460</v>
      </c>
      <c r="D45" s="108" t="s">
        <v>347</v>
      </c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</row>
    <row r="46" spans="2:22" ht="28.5">
      <c r="B46" s="108">
        <f t="shared" si="5"/>
        <v>29</v>
      </c>
      <c r="C46" s="110" t="s">
        <v>460</v>
      </c>
      <c r="D46" s="108" t="s">
        <v>347</v>
      </c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</row>
    <row r="47" spans="2:22" ht="28.5">
      <c r="B47" s="108">
        <f t="shared" si="5"/>
        <v>30</v>
      </c>
      <c r="C47" s="110" t="s">
        <v>461</v>
      </c>
      <c r="D47" s="108" t="s">
        <v>347</v>
      </c>
      <c r="E47" s="166">
        <v>4158</v>
      </c>
      <c r="F47" s="166">
        <v>4145</v>
      </c>
      <c r="G47" s="166">
        <v>4184</v>
      </c>
      <c r="H47" s="166">
        <v>4502</v>
      </c>
      <c r="I47" s="166">
        <v>0</v>
      </c>
      <c r="J47" s="166">
        <v>3950</v>
      </c>
      <c r="K47" s="166">
        <v>4021</v>
      </c>
      <c r="L47" s="166">
        <v>4090</v>
      </c>
      <c r="M47" s="166">
        <v>3789</v>
      </c>
      <c r="N47" s="166">
        <v>3876</v>
      </c>
      <c r="O47" s="166">
        <v>4057.1</v>
      </c>
      <c r="P47" s="166">
        <v>4160</v>
      </c>
      <c r="Q47" s="166">
        <v>4188</v>
      </c>
      <c r="R47" s="166">
        <v>4508</v>
      </c>
      <c r="S47" s="166">
        <v>4840</v>
      </c>
      <c r="T47" s="166">
        <v>4080</v>
      </c>
      <c r="U47" s="166">
        <v>4010</v>
      </c>
      <c r="V47" s="166">
        <v>3608</v>
      </c>
    </row>
    <row r="49" spans="2:3" ht="15">
      <c r="B49" s="106" t="s">
        <v>258</v>
      </c>
    </row>
    <row r="50" spans="2:3">
      <c r="B50" s="105">
        <v>1</v>
      </c>
      <c r="C50" s="104" t="s">
        <v>348</v>
      </c>
    </row>
    <row r="51" spans="2:3">
      <c r="B51" s="105">
        <f>B50+1</f>
        <v>2</v>
      </c>
      <c r="C51" s="104" t="s">
        <v>349</v>
      </c>
    </row>
    <row r="52" spans="2:3">
      <c r="B52" s="105">
        <f>B51+1</f>
        <v>3</v>
      </c>
      <c r="C52" s="104" t="s">
        <v>350</v>
      </c>
    </row>
    <row r="53" spans="2:3">
      <c r="B53" s="105">
        <f>B52+1</f>
        <v>4</v>
      </c>
      <c r="C53" s="104" t="s">
        <v>351</v>
      </c>
    </row>
  </sheetData>
  <mergeCells count="5">
    <mergeCell ref="B6:B7"/>
    <mergeCell ref="C6:C7"/>
    <mergeCell ref="D6:D7"/>
    <mergeCell ref="E6:P6"/>
    <mergeCell ref="Q6:V6"/>
  </mergeCells>
  <pageMargins left="0" right="0" top="0" bottom="0" header="0.3" footer="0.3"/>
  <pageSetup paperSize="9" scale="6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B1:V53"/>
  <sheetViews>
    <sheetView showGridLines="0" topLeftCell="A33" zoomScale="86" zoomScaleNormal="86" workbookViewId="0">
      <selection activeCell="A48" sqref="A48:XFD48"/>
    </sheetView>
  </sheetViews>
  <sheetFormatPr defaultColWidth="9.28515625" defaultRowHeight="14.25"/>
  <cols>
    <col min="1" max="1" width="2.28515625" style="104" customWidth="1"/>
    <col min="2" max="2" width="9.28515625" style="104"/>
    <col min="3" max="3" width="33.42578125" style="104" customWidth="1"/>
    <col min="4" max="4" width="10.5703125" style="105" customWidth="1"/>
    <col min="5" max="16384" width="9.28515625" style="104"/>
  </cols>
  <sheetData>
    <row r="1" spans="2:22" hidden="1"/>
    <row r="2" spans="2:22" ht="15">
      <c r="M2" s="39" t="s">
        <v>511</v>
      </c>
    </row>
    <row r="3" spans="2:22" ht="15">
      <c r="M3" s="39" t="s">
        <v>500</v>
      </c>
    </row>
    <row r="4" spans="2:22" ht="15">
      <c r="M4" s="41" t="s">
        <v>353</v>
      </c>
    </row>
    <row r="6" spans="2:22" ht="15">
      <c r="B6" s="334" t="s">
        <v>200</v>
      </c>
      <c r="C6" s="334" t="s">
        <v>18</v>
      </c>
      <c r="D6" s="334" t="s">
        <v>39</v>
      </c>
      <c r="E6" s="334" t="s">
        <v>503</v>
      </c>
      <c r="F6" s="334"/>
      <c r="G6" s="334"/>
      <c r="H6" s="334"/>
      <c r="I6" s="334"/>
      <c r="J6" s="334"/>
      <c r="K6" s="334"/>
      <c r="L6" s="334"/>
      <c r="M6" s="334"/>
      <c r="N6" s="334"/>
      <c r="O6" s="334"/>
      <c r="P6" s="334"/>
      <c r="Q6" s="334" t="s">
        <v>504</v>
      </c>
      <c r="R6" s="334"/>
      <c r="S6" s="334"/>
      <c r="T6" s="334"/>
      <c r="U6" s="334"/>
      <c r="V6" s="334"/>
    </row>
    <row r="7" spans="2:22" ht="15">
      <c r="B7" s="334"/>
      <c r="C7" s="334"/>
      <c r="D7" s="334"/>
      <c r="E7" s="107" t="s">
        <v>141</v>
      </c>
      <c r="F7" s="107" t="s">
        <v>142</v>
      </c>
      <c r="G7" s="107" t="s">
        <v>143</v>
      </c>
      <c r="H7" s="107" t="s">
        <v>144</v>
      </c>
      <c r="I7" s="107" t="s">
        <v>145</v>
      </c>
      <c r="J7" s="107" t="s">
        <v>146</v>
      </c>
      <c r="K7" s="107" t="s">
        <v>147</v>
      </c>
      <c r="L7" s="107" t="s">
        <v>148</v>
      </c>
      <c r="M7" s="107" t="s">
        <v>149</v>
      </c>
      <c r="N7" s="107" t="s">
        <v>150</v>
      </c>
      <c r="O7" s="107" t="s">
        <v>151</v>
      </c>
      <c r="P7" s="107" t="s">
        <v>152</v>
      </c>
      <c r="Q7" s="107" t="s">
        <v>141</v>
      </c>
      <c r="R7" s="107" t="s">
        <v>142</v>
      </c>
      <c r="S7" s="107" t="s">
        <v>143</v>
      </c>
      <c r="T7" s="107" t="s">
        <v>144</v>
      </c>
      <c r="U7" s="107" t="s">
        <v>145</v>
      </c>
      <c r="V7" s="107" t="s">
        <v>146</v>
      </c>
    </row>
    <row r="8" spans="2:22" ht="15">
      <c r="B8" s="107" t="s">
        <v>67</v>
      </c>
      <c r="C8" s="109" t="s">
        <v>326</v>
      </c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</row>
    <row r="9" spans="2:22">
      <c r="B9" s="108">
        <v>1</v>
      </c>
      <c r="C9" s="34" t="s">
        <v>419</v>
      </c>
      <c r="D9" s="108" t="s">
        <v>501</v>
      </c>
      <c r="E9" s="119">
        <v>1951.7419999999995</v>
      </c>
      <c r="F9" s="119">
        <v>2338.8949999999991</v>
      </c>
      <c r="G9" s="119">
        <v>2784.0199999999991</v>
      </c>
      <c r="H9" s="119">
        <v>2481.0809999999988</v>
      </c>
      <c r="I9" s="119">
        <v>2188.7879999999991</v>
      </c>
      <c r="J9" s="119">
        <v>2613.666999999999</v>
      </c>
      <c r="K9" s="119">
        <v>2478.6989999999987</v>
      </c>
      <c r="L9" s="119">
        <v>2044.5489999999986</v>
      </c>
      <c r="M9" s="119">
        <v>1864.6899999999985</v>
      </c>
      <c r="N9" s="119">
        <v>1790.6359999999984</v>
      </c>
      <c r="O9" s="119">
        <v>2722.2279999999982</v>
      </c>
      <c r="P9" s="119">
        <v>2620.3709999999983</v>
      </c>
      <c r="Q9" s="119">
        <v>2529.9859999999981</v>
      </c>
      <c r="R9" s="119">
        <v>2434.4409999999984</v>
      </c>
      <c r="S9" s="119">
        <v>2214.4279999999985</v>
      </c>
      <c r="T9" s="119">
        <v>2152.0599999999986</v>
      </c>
      <c r="U9" s="119">
        <v>1939.1229999999985</v>
      </c>
      <c r="V9" s="119">
        <v>1976.9019999999982</v>
      </c>
    </row>
    <row r="10" spans="2:22">
      <c r="B10" s="108">
        <f>B9+1</f>
        <v>2</v>
      </c>
      <c r="C10" s="34" t="s">
        <v>327</v>
      </c>
      <c r="D10" s="169" t="s">
        <v>474</v>
      </c>
      <c r="E10" s="119">
        <v>10.804111276523475</v>
      </c>
      <c r="F10" s="119">
        <v>14.285337087482533</v>
      </c>
      <c r="G10" s="119">
        <v>18.923906627893196</v>
      </c>
      <c r="H10" s="119">
        <v>16.875790965580602</v>
      </c>
      <c r="I10" s="119">
        <v>14.914306268571929</v>
      </c>
      <c r="J10" s="119">
        <v>17.263054119477989</v>
      </c>
      <c r="K10" s="119">
        <v>16.387668036364012</v>
      </c>
      <c r="L10" s="119">
        <v>13.519726966009268</v>
      </c>
      <c r="M10" s="119">
        <v>12.322553995271184</v>
      </c>
      <c r="N10" s="119">
        <v>11.830907063785526</v>
      </c>
      <c r="O10" s="119">
        <v>16.748045834049623</v>
      </c>
      <c r="P10" s="119">
        <v>16.110976168800622</v>
      </c>
      <c r="Q10" s="119">
        <v>15.563703355514457</v>
      </c>
      <c r="R10" s="119">
        <v>14.964498333040797</v>
      </c>
      <c r="S10" s="119">
        <v>13.567388932322649</v>
      </c>
      <c r="T10" s="119">
        <v>13.198229052380487</v>
      </c>
      <c r="U10" s="119">
        <v>11.886686816716994</v>
      </c>
      <c r="V10" s="119">
        <v>12.194706561857975</v>
      </c>
    </row>
    <row r="11" spans="2:22" ht="15">
      <c r="B11" s="107" t="s">
        <v>71</v>
      </c>
      <c r="C11" s="109" t="s">
        <v>329</v>
      </c>
      <c r="D11" s="108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</row>
    <row r="12" spans="2:22">
      <c r="B12" s="108">
        <f>B10+1</f>
        <v>3</v>
      </c>
      <c r="C12" s="34" t="s">
        <v>420</v>
      </c>
      <c r="D12" s="108" t="s">
        <v>501</v>
      </c>
      <c r="E12" s="119">
        <v>594.81100000000004</v>
      </c>
      <c r="F12" s="119">
        <v>921.96500000000003</v>
      </c>
      <c r="G12" s="119">
        <v>0</v>
      </c>
      <c r="H12" s="119">
        <v>0</v>
      </c>
      <c r="I12" s="119">
        <v>1033.973</v>
      </c>
      <c r="J12" s="119">
        <v>0</v>
      </c>
      <c r="K12" s="119">
        <v>0</v>
      </c>
      <c r="L12" s="119">
        <v>0</v>
      </c>
      <c r="M12" s="119">
        <v>0</v>
      </c>
      <c r="N12" s="119">
        <v>1089.248</v>
      </c>
      <c r="O12" s="119">
        <v>0</v>
      </c>
      <c r="P12" s="119">
        <v>0</v>
      </c>
      <c r="Q12" s="119">
        <v>0</v>
      </c>
      <c r="R12" s="119">
        <v>0</v>
      </c>
      <c r="S12" s="119">
        <v>98.709000000000003</v>
      </c>
      <c r="T12" s="119">
        <v>0</v>
      </c>
      <c r="U12" s="119">
        <v>504.31299999999999</v>
      </c>
      <c r="V12" s="119">
        <v>372.49099999999999</v>
      </c>
    </row>
    <row r="13" spans="2:22">
      <c r="B13" s="108">
        <f>B12+1</f>
        <v>4</v>
      </c>
      <c r="C13" s="34" t="s">
        <v>421</v>
      </c>
      <c r="D13" s="108" t="s">
        <v>501</v>
      </c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2:22" ht="15">
      <c r="B14" s="108">
        <f>B13+1</f>
        <v>5</v>
      </c>
      <c r="C14" s="34" t="s">
        <v>422</v>
      </c>
      <c r="D14" s="108" t="s">
        <v>501</v>
      </c>
      <c r="E14" s="126">
        <f>E12+E13</f>
        <v>594.81100000000004</v>
      </c>
      <c r="F14" s="126">
        <f t="shared" ref="F14:V14" si="0">F12+F13</f>
        <v>921.96500000000003</v>
      </c>
      <c r="G14" s="126">
        <f t="shared" si="0"/>
        <v>0</v>
      </c>
      <c r="H14" s="126">
        <f t="shared" si="0"/>
        <v>0</v>
      </c>
      <c r="I14" s="126">
        <f t="shared" si="0"/>
        <v>1033.973</v>
      </c>
      <c r="J14" s="126">
        <f t="shared" si="0"/>
        <v>0</v>
      </c>
      <c r="K14" s="126">
        <f t="shared" si="0"/>
        <v>0</v>
      </c>
      <c r="L14" s="126">
        <f t="shared" si="0"/>
        <v>0</v>
      </c>
      <c r="M14" s="126">
        <f t="shared" si="0"/>
        <v>0</v>
      </c>
      <c r="N14" s="126">
        <f t="shared" si="0"/>
        <v>1089.248</v>
      </c>
      <c r="O14" s="126">
        <f t="shared" si="0"/>
        <v>0</v>
      </c>
      <c r="P14" s="126">
        <f t="shared" si="0"/>
        <v>0</v>
      </c>
      <c r="Q14" s="126">
        <f t="shared" si="0"/>
        <v>0</v>
      </c>
      <c r="R14" s="126">
        <f t="shared" si="0"/>
        <v>0</v>
      </c>
      <c r="S14" s="126">
        <f t="shared" si="0"/>
        <v>98.709000000000003</v>
      </c>
      <c r="T14" s="126">
        <f t="shared" si="0"/>
        <v>0</v>
      </c>
      <c r="U14" s="126">
        <f t="shared" si="0"/>
        <v>504.31299999999999</v>
      </c>
      <c r="V14" s="126">
        <f t="shared" si="0"/>
        <v>372.49099999999999</v>
      </c>
    </row>
    <row r="15" spans="2:22">
      <c r="B15" s="108">
        <f>B14+1</f>
        <v>6</v>
      </c>
      <c r="C15" s="34" t="s">
        <v>330</v>
      </c>
      <c r="D15" s="108" t="s">
        <v>501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spans="2:22" ht="15">
      <c r="B16" s="108">
        <f>B15+1</f>
        <v>7</v>
      </c>
      <c r="C16" s="34" t="s">
        <v>423</v>
      </c>
      <c r="D16" s="108" t="s">
        <v>501</v>
      </c>
      <c r="E16" s="126">
        <f>E14-E15</f>
        <v>594.81100000000004</v>
      </c>
      <c r="F16" s="126">
        <f t="shared" ref="F16:V16" si="1">F14-F15</f>
        <v>921.96500000000003</v>
      </c>
      <c r="G16" s="126">
        <f t="shared" si="1"/>
        <v>0</v>
      </c>
      <c r="H16" s="126">
        <f t="shared" si="1"/>
        <v>0</v>
      </c>
      <c r="I16" s="126">
        <f t="shared" si="1"/>
        <v>1033.973</v>
      </c>
      <c r="J16" s="126">
        <f t="shared" si="1"/>
        <v>0</v>
      </c>
      <c r="K16" s="126">
        <f t="shared" si="1"/>
        <v>0</v>
      </c>
      <c r="L16" s="126">
        <f t="shared" si="1"/>
        <v>0</v>
      </c>
      <c r="M16" s="126">
        <f t="shared" si="1"/>
        <v>0</v>
      </c>
      <c r="N16" s="126">
        <f t="shared" si="1"/>
        <v>1089.248</v>
      </c>
      <c r="O16" s="126">
        <f t="shared" si="1"/>
        <v>0</v>
      </c>
      <c r="P16" s="126">
        <f t="shared" si="1"/>
        <v>0</v>
      </c>
      <c r="Q16" s="126">
        <f t="shared" si="1"/>
        <v>0</v>
      </c>
      <c r="R16" s="126">
        <f t="shared" si="1"/>
        <v>0</v>
      </c>
      <c r="S16" s="126">
        <f t="shared" si="1"/>
        <v>98.709000000000003</v>
      </c>
      <c r="T16" s="126">
        <f t="shared" si="1"/>
        <v>0</v>
      </c>
      <c r="U16" s="126">
        <f t="shared" si="1"/>
        <v>504.31299999999999</v>
      </c>
      <c r="V16" s="126">
        <f t="shared" si="1"/>
        <v>372.49099999999999</v>
      </c>
    </row>
    <row r="17" spans="2:22" ht="15">
      <c r="B17" s="107" t="s">
        <v>72</v>
      </c>
      <c r="C17" s="109" t="s">
        <v>331</v>
      </c>
      <c r="D17" s="108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2:22">
      <c r="B18" s="108">
        <f>B16+1</f>
        <v>8</v>
      </c>
      <c r="C18" s="34" t="s">
        <v>424</v>
      </c>
      <c r="D18" s="169" t="s">
        <v>474</v>
      </c>
      <c r="E18" s="119">
        <v>4.749490475</v>
      </c>
      <c r="F18" s="119">
        <v>7.8530597359999996</v>
      </c>
      <c r="G18" s="119">
        <v>0</v>
      </c>
      <c r="H18" s="119">
        <v>0</v>
      </c>
      <c r="I18" s="119">
        <v>6.3465070649999999</v>
      </c>
      <c r="J18" s="119">
        <v>0</v>
      </c>
      <c r="K18" s="119">
        <v>0</v>
      </c>
      <c r="L18" s="119">
        <v>0</v>
      </c>
      <c r="M18" s="119">
        <v>0</v>
      </c>
      <c r="N18" s="119">
        <v>5.9009686639999996</v>
      </c>
      <c r="O18" s="119">
        <v>0</v>
      </c>
      <c r="P18" s="119">
        <v>0</v>
      </c>
      <c r="Q18" s="119">
        <v>0</v>
      </c>
      <c r="R18" s="119">
        <v>0</v>
      </c>
      <c r="S18" s="119">
        <v>0.62555067900000005</v>
      </c>
      <c r="T18" s="119">
        <v>0</v>
      </c>
      <c r="U18" s="119">
        <v>3.181112256</v>
      </c>
      <c r="V18" s="119">
        <v>2.5130613999999998</v>
      </c>
    </row>
    <row r="19" spans="2:22">
      <c r="B19" s="108">
        <f>B18+1</f>
        <v>9</v>
      </c>
      <c r="C19" s="34" t="s">
        <v>425</v>
      </c>
      <c r="D19" s="169" t="s">
        <v>474</v>
      </c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spans="2:22">
      <c r="B20" s="108">
        <f>B19+1</f>
        <v>10</v>
      </c>
      <c r="C20" s="34" t="s">
        <v>332</v>
      </c>
      <c r="D20" s="169" t="s">
        <v>474</v>
      </c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2:22" ht="15">
      <c r="B21" s="108">
        <f>B20+1</f>
        <v>11</v>
      </c>
      <c r="C21" s="34" t="s">
        <v>333</v>
      </c>
      <c r="D21" s="169" t="s">
        <v>474</v>
      </c>
      <c r="E21" s="127">
        <f>E18+E19+E20</f>
        <v>4.749490475</v>
      </c>
      <c r="F21" s="127">
        <f t="shared" ref="F21:V21" si="2">F18+F19+F20</f>
        <v>7.8530597359999996</v>
      </c>
      <c r="G21" s="127">
        <f t="shared" si="2"/>
        <v>0</v>
      </c>
      <c r="H21" s="127">
        <f t="shared" si="2"/>
        <v>0</v>
      </c>
      <c r="I21" s="127">
        <f t="shared" si="2"/>
        <v>6.3465070649999999</v>
      </c>
      <c r="J21" s="127">
        <f t="shared" si="2"/>
        <v>0</v>
      </c>
      <c r="K21" s="127">
        <f t="shared" si="2"/>
        <v>0</v>
      </c>
      <c r="L21" s="127">
        <f t="shared" si="2"/>
        <v>0</v>
      </c>
      <c r="M21" s="127">
        <f t="shared" si="2"/>
        <v>0</v>
      </c>
      <c r="N21" s="127">
        <f t="shared" si="2"/>
        <v>5.9009686639999996</v>
      </c>
      <c r="O21" s="127">
        <f t="shared" si="2"/>
        <v>0</v>
      </c>
      <c r="P21" s="127">
        <f t="shared" si="2"/>
        <v>0</v>
      </c>
      <c r="Q21" s="127">
        <f t="shared" si="2"/>
        <v>0</v>
      </c>
      <c r="R21" s="127">
        <f t="shared" si="2"/>
        <v>0</v>
      </c>
      <c r="S21" s="127">
        <f t="shared" si="2"/>
        <v>0.62555067900000005</v>
      </c>
      <c r="T21" s="127">
        <f t="shared" si="2"/>
        <v>0</v>
      </c>
      <c r="U21" s="127">
        <f t="shared" si="2"/>
        <v>3.181112256</v>
      </c>
      <c r="V21" s="127">
        <f t="shared" si="2"/>
        <v>2.5130613999999998</v>
      </c>
    </row>
    <row r="22" spans="2:22" ht="15">
      <c r="B22" s="107" t="s">
        <v>334</v>
      </c>
      <c r="C22" s="109" t="s">
        <v>335</v>
      </c>
      <c r="D22" s="108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</row>
    <row r="23" spans="2:22">
      <c r="B23" s="108">
        <f>B21+1</f>
        <v>12</v>
      </c>
      <c r="C23" s="34" t="s">
        <v>336</v>
      </c>
      <c r="D23" s="108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</row>
    <row r="24" spans="2:22">
      <c r="B24" s="108"/>
      <c r="C24" s="34" t="s">
        <v>337</v>
      </c>
      <c r="D24" s="169" t="s">
        <v>474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  <row r="25" spans="2:22">
      <c r="B25" s="108"/>
      <c r="C25" s="34" t="s">
        <v>338</v>
      </c>
      <c r="D25" s="169" t="s">
        <v>474</v>
      </c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spans="2:22">
      <c r="B26" s="108"/>
      <c r="C26" s="34" t="s">
        <v>339</v>
      </c>
      <c r="D26" s="169" t="s">
        <v>474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</row>
    <row r="27" spans="2:22">
      <c r="B27" s="108"/>
      <c r="C27" s="34" t="s">
        <v>9</v>
      </c>
      <c r="D27" s="169" t="s">
        <v>474</v>
      </c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2:22">
      <c r="B28" s="108">
        <f>B23+1</f>
        <v>13</v>
      </c>
      <c r="C28" s="34" t="s">
        <v>426</v>
      </c>
      <c r="D28" s="169" t="s">
        <v>474</v>
      </c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</row>
    <row r="29" spans="2:22">
      <c r="B29" s="108">
        <f>B28+1</f>
        <v>14</v>
      </c>
      <c r="C29" s="34" t="s">
        <v>340</v>
      </c>
      <c r="D29" s="169" t="s">
        <v>474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</row>
    <row r="30" spans="2:22" ht="42.75">
      <c r="B30" s="108">
        <f>B29+1</f>
        <v>15</v>
      </c>
      <c r="C30" s="110" t="s">
        <v>427</v>
      </c>
      <c r="D30" s="169" t="s">
        <v>474</v>
      </c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</row>
    <row r="31" spans="2:22" ht="28.5">
      <c r="B31" s="108">
        <f>B30+1</f>
        <v>16</v>
      </c>
      <c r="C31" s="110" t="s">
        <v>341</v>
      </c>
      <c r="D31" s="169" t="s">
        <v>474</v>
      </c>
      <c r="E31" s="126">
        <f>SUM(E24:E30)</f>
        <v>0</v>
      </c>
      <c r="F31" s="126">
        <f t="shared" ref="F31:V31" si="3">SUM(F24:F30)</f>
        <v>0</v>
      </c>
      <c r="G31" s="126">
        <f t="shared" si="3"/>
        <v>0</v>
      </c>
      <c r="H31" s="126">
        <f t="shared" si="3"/>
        <v>0</v>
      </c>
      <c r="I31" s="126">
        <f t="shared" si="3"/>
        <v>0</v>
      </c>
      <c r="J31" s="126">
        <f t="shared" si="3"/>
        <v>0</v>
      </c>
      <c r="K31" s="126">
        <f t="shared" si="3"/>
        <v>0</v>
      </c>
      <c r="L31" s="126">
        <f>SUM(L24:L30)</f>
        <v>0</v>
      </c>
      <c r="M31" s="126">
        <f t="shared" si="3"/>
        <v>0</v>
      </c>
      <c r="N31" s="126">
        <f t="shared" si="3"/>
        <v>0</v>
      </c>
      <c r="O31" s="126">
        <f t="shared" si="3"/>
        <v>0</v>
      </c>
      <c r="P31" s="126">
        <f t="shared" si="3"/>
        <v>0</v>
      </c>
      <c r="Q31" s="126">
        <f t="shared" si="3"/>
        <v>0</v>
      </c>
      <c r="R31" s="126">
        <f t="shared" si="3"/>
        <v>0</v>
      </c>
      <c r="S31" s="126">
        <f t="shared" si="3"/>
        <v>0</v>
      </c>
      <c r="T31" s="126">
        <f t="shared" si="3"/>
        <v>0</v>
      </c>
      <c r="U31" s="126">
        <f t="shared" si="3"/>
        <v>0</v>
      </c>
      <c r="V31" s="126">
        <f t="shared" si="3"/>
        <v>0</v>
      </c>
    </row>
    <row r="32" spans="2:22" ht="42.75">
      <c r="B32" s="108">
        <f>B31+1</f>
        <v>17</v>
      </c>
      <c r="C32" s="110" t="s">
        <v>428</v>
      </c>
      <c r="D32" s="169" t="s">
        <v>474</v>
      </c>
      <c r="E32" s="127">
        <f>E21+E31</f>
        <v>4.749490475</v>
      </c>
      <c r="F32" s="127">
        <f t="shared" ref="F32:V32" si="4">F21+F31</f>
        <v>7.8530597359999996</v>
      </c>
      <c r="G32" s="127">
        <f t="shared" si="4"/>
        <v>0</v>
      </c>
      <c r="H32" s="127">
        <f t="shared" si="4"/>
        <v>0</v>
      </c>
      <c r="I32" s="127">
        <f t="shared" si="4"/>
        <v>6.3465070649999999</v>
      </c>
      <c r="J32" s="127">
        <f t="shared" si="4"/>
        <v>0</v>
      </c>
      <c r="K32" s="127">
        <f t="shared" si="4"/>
        <v>0</v>
      </c>
      <c r="L32" s="127">
        <f t="shared" si="4"/>
        <v>0</v>
      </c>
      <c r="M32" s="127">
        <f t="shared" si="4"/>
        <v>0</v>
      </c>
      <c r="N32" s="127">
        <f t="shared" si="4"/>
        <v>5.9009686639999996</v>
      </c>
      <c r="O32" s="127">
        <f t="shared" si="4"/>
        <v>0</v>
      </c>
      <c r="P32" s="127">
        <f t="shared" si="4"/>
        <v>0</v>
      </c>
      <c r="Q32" s="127">
        <f t="shared" si="4"/>
        <v>0</v>
      </c>
      <c r="R32" s="127">
        <f t="shared" si="4"/>
        <v>0</v>
      </c>
      <c r="S32" s="127">
        <f t="shared" si="4"/>
        <v>0.62555067900000005</v>
      </c>
      <c r="T32" s="127">
        <f t="shared" si="4"/>
        <v>0</v>
      </c>
      <c r="U32" s="127">
        <f t="shared" si="4"/>
        <v>3.181112256</v>
      </c>
      <c r="V32" s="127">
        <f t="shared" si="4"/>
        <v>2.5130613999999998</v>
      </c>
    </row>
    <row r="33" spans="2:22" ht="15">
      <c r="B33" s="107" t="s">
        <v>342</v>
      </c>
      <c r="C33" s="109" t="s">
        <v>191</v>
      </c>
      <c r="D33" s="108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</row>
    <row r="34" spans="2:22" ht="15">
      <c r="B34" s="108">
        <f>B32+1</f>
        <v>18</v>
      </c>
      <c r="C34" s="110" t="s">
        <v>429</v>
      </c>
      <c r="D34" s="108" t="s">
        <v>502</v>
      </c>
      <c r="E34" s="126">
        <f t="shared" ref="E34:V34" si="5">IFERROR((E10+E32)/(E9+E16),0)*10000000</f>
        <v>61077.078511711625</v>
      </c>
      <c r="F34" s="126">
        <f t="shared" si="5"/>
        <v>67891.282739775823</v>
      </c>
      <c r="G34" s="126">
        <f t="shared" si="5"/>
        <v>67973.314228680843</v>
      </c>
      <c r="H34" s="126">
        <f t="shared" si="5"/>
        <v>68017.896092794268</v>
      </c>
      <c r="I34" s="126">
        <f t="shared" si="5"/>
        <v>65970.803710147709</v>
      </c>
      <c r="J34" s="126">
        <f t="shared" si="5"/>
        <v>66049.171985099849</v>
      </c>
      <c r="K34" s="126">
        <f t="shared" si="5"/>
        <v>66113.989784011777</v>
      </c>
      <c r="L34" s="126">
        <f t="shared" si="5"/>
        <v>66125.7175348171</v>
      </c>
      <c r="M34" s="126">
        <f t="shared" si="5"/>
        <v>66083.659993195615</v>
      </c>
      <c r="N34" s="126">
        <f t="shared" si="5"/>
        <v>61571.492906608517</v>
      </c>
      <c r="O34" s="126">
        <f t="shared" si="5"/>
        <v>61523.303096028816</v>
      </c>
      <c r="P34" s="126">
        <f t="shared" si="5"/>
        <v>61483.56919230381</v>
      </c>
      <c r="Q34" s="126">
        <f t="shared" si="5"/>
        <v>61516.954463441572</v>
      </c>
      <c r="R34" s="126">
        <f t="shared" si="5"/>
        <v>61469.956893762501</v>
      </c>
      <c r="S34" s="126">
        <f t="shared" si="5"/>
        <v>61357.972361008702</v>
      </c>
      <c r="T34" s="126">
        <f t="shared" si="5"/>
        <v>61328.350754070503</v>
      </c>
      <c r="U34" s="126">
        <f t="shared" si="5"/>
        <v>61666.436414610427</v>
      </c>
      <c r="V34" s="126">
        <f t="shared" si="5"/>
        <v>62602.416717245629</v>
      </c>
    </row>
    <row r="35" spans="2:22" ht="28.5">
      <c r="B35" s="108">
        <f>B34+1</f>
        <v>19</v>
      </c>
      <c r="C35" s="110" t="s">
        <v>344</v>
      </c>
      <c r="D35" s="108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</row>
    <row r="36" spans="2:22" ht="28.5">
      <c r="B36" s="108">
        <f>B35+1</f>
        <v>20</v>
      </c>
      <c r="C36" s="110" t="s">
        <v>430</v>
      </c>
      <c r="D36" s="108" t="s">
        <v>502</v>
      </c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</row>
    <row r="37" spans="2:22" ht="15">
      <c r="B37" s="107" t="s">
        <v>345</v>
      </c>
      <c r="C37" s="109" t="s">
        <v>346</v>
      </c>
      <c r="D37" s="108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spans="2:22" ht="42.75">
      <c r="B38" s="108">
        <f>B36+1</f>
        <v>21</v>
      </c>
      <c r="C38" s="110" t="s">
        <v>431</v>
      </c>
      <c r="D38" s="108" t="s">
        <v>347</v>
      </c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</row>
    <row r="39" spans="2:22" ht="28.5">
      <c r="B39" s="108">
        <f>B38+1</f>
        <v>22</v>
      </c>
      <c r="C39" s="110" t="s">
        <v>432</v>
      </c>
      <c r="D39" s="108" t="s">
        <v>347</v>
      </c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</row>
    <row r="40" spans="2:22" ht="42.75">
      <c r="B40" s="108">
        <f t="shared" ref="B40:B47" si="6">B39+1</f>
        <v>23</v>
      </c>
      <c r="C40" s="110" t="s">
        <v>433</v>
      </c>
      <c r="D40" s="108" t="s">
        <v>347</v>
      </c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</row>
    <row r="41" spans="2:22" ht="28.5">
      <c r="B41" s="108">
        <f t="shared" si="6"/>
        <v>24</v>
      </c>
      <c r="C41" s="110" t="s">
        <v>434</v>
      </c>
      <c r="D41" s="108" t="s">
        <v>347</v>
      </c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</row>
    <row r="42" spans="2:22" ht="28.5">
      <c r="B42" s="108">
        <f t="shared" si="6"/>
        <v>25</v>
      </c>
      <c r="C42" s="110" t="s">
        <v>435</v>
      </c>
      <c r="D42" s="108" t="s">
        <v>347</v>
      </c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</row>
    <row r="43" spans="2:22" ht="42.75">
      <c r="B43" s="108">
        <f t="shared" si="6"/>
        <v>26</v>
      </c>
      <c r="C43" s="110" t="s">
        <v>436</v>
      </c>
      <c r="D43" s="108" t="s">
        <v>347</v>
      </c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</row>
    <row r="44" spans="2:22" ht="28.5">
      <c r="B44" s="108">
        <f t="shared" si="6"/>
        <v>27</v>
      </c>
      <c r="C44" s="110" t="s">
        <v>437</v>
      </c>
      <c r="D44" s="108" t="s">
        <v>347</v>
      </c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</row>
    <row r="45" spans="2:22" ht="42.75">
      <c r="B45" s="108">
        <f t="shared" si="6"/>
        <v>28</v>
      </c>
      <c r="C45" s="110" t="s">
        <v>438</v>
      </c>
      <c r="D45" s="108" t="s">
        <v>347</v>
      </c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</row>
    <row r="46" spans="2:22" ht="28.5">
      <c r="B46" s="108">
        <f t="shared" si="6"/>
        <v>29</v>
      </c>
      <c r="C46" s="110" t="s">
        <v>439</v>
      </c>
      <c r="D46" s="108" t="s">
        <v>347</v>
      </c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</row>
    <row r="47" spans="2:22" ht="28.5">
      <c r="B47" s="108">
        <f t="shared" si="6"/>
        <v>30</v>
      </c>
      <c r="C47" s="110" t="s">
        <v>440</v>
      </c>
      <c r="D47" s="108" t="s">
        <v>347</v>
      </c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</row>
    <row r="48" spans="2:22" hidden="1"/>
    <row r="49" spans="2:3" ht="15">
      <c r="B49" s="106" t="s">
        <v>258</v>
      </c>
    </row>
    <row r="50" spans="2:3">
      <c r="B50" s="105">
        <v>1</v>
      </c>
      <c r="C50" s="104" t="s">
        <v>348</v>
      </c>
    </row>
    <row r="51" spans="2:3">
      <c r="B51" s="105">
        <f>B50+1</f>
        <v>2</v>
      </c>
      <c r="C51" s="104" t="s">
        <v>349</v>
      </c>
    </row>
    <row r="52" spans="2:3">
      <c r="B52" s="105">
        <f>B51+1</f>
        <v>3</v>
      </c>
      <c r="C52" s="104" t="s">
        <v>350</v>
      </c>
    </row>
    <row r="53" spans="2:3">
      <c r="B53" s="105">
        <f>B52+1</f>
        <v>4</v>
      </c>
      <c r="C53" s="104" t="s">
        <v>351</v>
      </c>
    </row>
  </sheetData>
  <mergeCells count="5">
    <mergeCell ref="E6:P6"/>
    <mergeCell ref="Q6:V6"/>
    <mergeCell ref="B6:B7"/>
    <mergeCell ref="C6:C7"/>
    <mergeCell ref="D6:D7"/>
  </mergeCells>
  <phoneticPr fontId="12" type="noConversion"/>
  <pageMargins left="0" right="0" top="0" bottom="0" header="0.05" footer="0.05"/>
  <pageSetup paperSize="9" scale="56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B3:O28"/>
  <sheetViews>
    <sheetView showGridLines="0" zoomScale="80" zoomScaleNormal="80" workbookViewId="0">
      <selection activeCell="L24" sqref="L24"/>
    </sheetView>
  </sheetViews>
  <sheetFormatPr defaultColWidth="9.28515625" defaultRowHeight="14.25"/>
  <cols>
    <col min="1" max="1" width="2.42578125" style="104" customWidth="1"/>
    <col min="2" max="2" width="32.85546875" style="104" customWidth="1"/>
    <col min="3" max="3" width="9.140625" style="104" customWidth="1"/>
    <col min="4" max="4" width="9.5703125" style="104" customWidth="1"/>
    <col min="5" max="5" width="11.28515625" style="104" customWidth="1"/>
    <col min="6" max="6" width="10.140625" style="104" customWidth="1"/>
    <col min="7" max="7" width="14.28515625" style="104" customWidth="1"/>
    <col min="8" max="8" width="12.140625" style="104" customWidth="1"/>
    <col min="9" max="9" width="11.7109375" style="104" customWidth="1"/>
    <col min="10" max="14" width="12.28515625" style="104" customWidth="1"/>
    <col min="15" max="16384" width="9.28515625" style="104"/>
  </cols>
  <sheetData>
    <row r="3" spans="2:15" ht="15.75">
      <c r="B3" s="292" t="s">
        <v>517</v>
      </c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</row>
    <row r="4" spans="2:15" ht="15.75">
      <c r="B4" s="292" t="s">
        <v>518</v>
      </c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</row>
    <row r="5" spans="2:15" ht="15.75">
      <c r="B5" s="292" t="s">
        <v>530</v>
      </c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</row>
    <row r="6" spans="2:15" ht="15.75"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</row>
    <row r="7" spans="2:15" ht="15">
      <c r="B7" s="334" t="s">
        <v>18</v>
      </c>
      <c r="C7" s="334" t="s">
        <v>217</v>
      </c>
      <c r="D7" s="334" t="s">
        <v>39</v>
      </c>
      <c r="E7" s="303" t="s">
        <v>505</v>
      </c>
      <c r="F7" s="304"/>
      <c r="G7" s="305"/>
      <c r="H7" s="338" t="s">
        <v>515</v>
      </c>
      <c r="I7" s="339"/>
      <c r="J7" s="309" t="s">
        <v>238</v>
      </c>
      <c r="K7" s="309"/>
      <c r="L7" s="309"/>
      <c r="M7" s="309"/>
      <c r="N7" s="309"/>
    </row>
    <row r="8" spans="2:15" ht="45">
      <c r="B8" s="334"/>
      <c r="C8" s="334"/>
      <c r="D8" s="334"/>
      <c r="E8" s="21" t="s">
        <v>377</v>
      </c>
      <c r="F8" s="21" t="s">
        <v>256</v>
      </c>
      <c r="G8" s="21" t="s">
        <v>216</v>
      </c>
      <c r="H8" s="21" t="s">
        <v>413</v>
      </c>
      <c r="I8" s="21" t="s">
        <v>255</v>
      </c>
      <c r="J8" s="21" t="s">
        <v>469</v>
      </c>
      <c r="K8" s="21" t="s">
        <v>470</v>
      </c>
      <c r="L8" s="21" t="s">
        <v>471</v>
      </c>
      <c r="M8" s="21" t="s">
        <v>472</v>
      </c>
      <c r="N8" s="21" t="s">
        <v>473</v>
      </c>
    </row>
    <row r="9" spans="2:15" ht="15">
      <c r="B9" s="334"/>
      <c r="C9" s="334"/>
      <c r="D9" s="334"/>
      <c r="E9" s="21" t="s">
        <v>10</v>
      </c>
      <c r="F9" s="21" t="s">
        <v>12</v>
      </c>
      <c r="G9" s="21" t="s">
        <v>245</v>
      </c>
      <c r="H9" s="21" t="s">
        <v>10</v>
      </c>
      <c r="I9" s="21" t="s">
        <v>5</v>
      </c>
      <c r="J9" s="21" t="s">
        <v>8</v>
      </c>
      <c r="K9" s="21" t="s">
        <v>8</v>
      </c>
      <c r="L9" s="21" t="s">
        <v>8</v>
      </c>
      <c r="M9" s="21" t="s">
        <v>8</v>
      </c>
      <c r="N9" s="21" t="s">
        <v>8</v>
      </c>
    </row>
    <row r="10" spans="2:15" ht="15">
      <c r="B10" s="111" t="s">
        <v>173</v>
      </c>
      <c r="C10" s="177" t="s">
        <v>360</v>
      </c>
      <c r="D10" s="177" t="s">
        <v>42</v>
      </c>
      <c r="E10" s="178">
        <v>7.5</v>
      </c>
      <c r="F10" s="228">
        <v>4.8804273524937081</v>
      </c>
      <c r="G10" s="119">
        <f>F10</f>
        <v>4.8804273524937081</v>
      </c>
      <c r="H10" s="119">
        <v>7.5</v>
      </c>
      <c r="I10" s="256">
        <v>4.9776576686615659</v>
      </c>
      <c r="J10" s="257">
        <v>5.25</v>
      </c>
      <c r="K10" s="257">
        <v>5.25</v>
      </c>
      <c r="L10" s="257">
        <v>5.25</v>
      </c>
      <c r="M10" s="257">
        <v>5.25</v>
      </c>
      <c r="N10" s="257">
        <v>5.25</v>
      </c>
      <c r="O10" s="262"/>
    </row>
    <row r="11" spans="2:15" ht="15.75">
      <c r="B11" s="179" t="s">
        <v>215</v>
      </c>
      <c r="C11" s="180" t="s">
        <v>370</v>
      </c>
      <c r="D11" s="180" t="s">
        <v>49</v>
      </c>
      <c r="E11" s="34">
        <v>2450</v>
      </c>
      <c r="F11" s="229">
        <v>2284.1395088402592</v>
      </c>
      <c r="G11" s="119">
        <f t="shared" ref="G11:G16" si="0">F11</f>
        <v>2284.1395088402592</v>
      </c>
      <c r="H11" s="119">
        <v>2450</v>
      </c>
      <c r="I11" s="256">
        <v>2280.776665684717</v>
      </c>
      <c r="J11" s="257">
        <v>2450</v>
      </c>
      <c r="K11" s="257">
        <v>2450</v>
      </c>
      <c r="L11" s="257">
        <v>2450</v>
      </c>
      <c r="M11" s="257">
        <v>2450</v>
      </c>
      <c r="N11" s="257">
        <v>2450</v>
      </c>
    </row>
    <row r="12" spans="2:15" ht="15.75">
      <c r="B12" s="111" t="s">
        <v>354</v>
      </c>
      <c r="C12" s="177" t="s">
        <v>361</v>
      </c>
      <c r="D12" s="177" t="s">
        <v>51</v>
      </c>
      <c r="E12" s="34">
        <v>2</v>
      </c>
      <c r="F12" s="230">
        <v>0.3302459095664711</v>
      </c>
      <c r="G12" s="119">
        <f t="shared" si="0"/>
        <v>0.3302459095664711</v>
      </c>
      <c r="H12" s="119">
        <v>2</v>
      </c>
      <c r="I12" s="258">
        <v>0.39550985900650709</v>
      </c>
      <c r="J12" s="257">
        <v>0.5</v>
      </c>
      <c r="K12" s="257">
        <v>0.5</v>
      </c>
      <c r="L12" s="257">
        <v>0.5</v>
      </c>
      <c r="M12" s="257">
        <v>0.5</v>
      </c>
      <c r="N12" s="257">
        <v>0.5</v>
      </c>
    </row>
    <row r="13" spans="2:15">
      <c r="B13" s="111" t="s">
        <v>355</v>
      </c>
      <c r="C13" s="177" t="s">
        <v>362</v>
      </c>
      <c r="D13" s="177" t="s">
        <v>363</v>
      </c>
      <c r="E13" s="34">
        <v>9819</v>
      </c>
      <c r="F13" s="119">
        <v>9819</v>
      </c>
      <c r="G13" s="119">
        <f t="shared" si="0"/>
        <v>9819</v>
      </c>
      <c r="H13" s="119">
        <v>9819</v>
      </c>
      <c r="I13" s="257">
        <v>9819</v>
      </c>
      <c r="J13" s="257">
        <v>9819</v>
      </c>
      <c r="K13" s="257">
        <v>9819</v>
      </c>
      <c r="L13" s="257">
        <v>9819</v>
      </c>
      <c r="M13" s="257">
        <v>9819</v>
      </c>
      <c r="N13" s="257">
        <v>9819</v>
      </c>
    </row>
    <row r="14" spans="2:15" ht="15">
      <c r="B14" s="111" t="s">
        <v>356</v>
      </c>
      <c r="C14" s="177" t="s">
        <v>364</v>
      </c>
      <c r="D14" s="177" t="s">
        <v>365</v>
      </c>
      <c r="E14" s="119">
        <v>6.5688722712312797E-2</v>
      </c>
      <c r="F14" s="119">
        <v>6.5688720000000006E-2</v>
      </c>
      <c r="G14" s="119">
        <f t="shared" si="0"/>
        <v>6.5688720000000006E-2</v>
      </c>
      <c r="H14" s="119">
        <v>6.2567464545839904E-2</v>
      </c>
      <c r="I14" s="258">
        <f>62567.4645458399/1000000</f>
        <v>6.2567464545839904E-2</v>
      </c>
      <c r="J14" s="121">
        <v>6.2439878658178814E-2</v>
      </c>
      <c r="K14" s="121">
        <f>J14*1.02</f>
        <v>6.3688676231342389E-2</v>
      </c>
      <c r="L14" s="121">
        <f>K14*1.02</f>
        <v>6.4962449755969237E-2</v>
      </c>
      <c r="M14" s="121">
        <f>L14*1.02</f>
        <v>6.626169875108863E-2</v>
      </c>
      <c r="N14" s="121">
        <f>M14*1.02</f>
        <v>6.758693272611041E-2</v>
      </c>
    </row>
    <row r="15" spans="2:15" ht="15.75">
      <c r="B15" s="111" t="s">
        <v>371</v>
      </c>
      <c r="C15" s="177" t="s">
        <v>366</v>
      </c>
      <c r="D15" s="177" t="s">
        <v>347</v>
      </c>
      <c r="E15" s="266">
        <v>3774.2807915588874</v>
      </c>
      <c r="F15" s="267">
        <v>3774.2807915588874</v>
      </c>
      <c r="G15" s="266">
        <f t="shared" si="0"/>
        <v>3774.2807915588874</v>
      </c>
      <c r="H15" s="266">
        <v>3865.8626211529431</v>
      </c>
      <c r="I15" s="268">
        <v>3865.8626211529431</v>
      </c>
      <c r="J15" s="259">
        <v>3790.4463942307693</v>
      </c>
      <c r="K15" s="259">
        <v>3790.4463942307693</v>
      </c>
      <c r="L15" s="259">
        <v>3790.4463942307693</v>
      </c>
      <c r="M15" s="259">
        <v>3790.4463942307693</v>
      </c>
      <c r="N15" s="259">
        <v>3790.4463942307693</v>
      </c>
    </row>
    <row r="16" spans="2:15" ht="15">
      <c r="B16" s="111" t="s">
        <v>357</v>
      </c>
      <c r="C16" s="177" t="s">
        <v>367</v>
      </c>
      <c r="D16" s="177" t="s">
        <v>368</v>
      </c>
      <c r="E16" s="119">
        <v>5.073106616372157</v>
      </c>
      <c r="F16" s="119">
        <v>5.0731000000000002</v>
      </c>
      <c r="G16" s="119">
        <f t="shared" si="0"/>
        <v>5.0731000000000002</v>
      </c>
      <c r="H16" s="119">
        <v>5.6411862184422894</v>
      </c>
      <c r="I16" s="258">
        <f>5641.18621844229/1000</f>
        <v>5.6411862184422894</v>
      </c>
      <c r="J16" s="121">
        <v>5.4512285</v>
      </c>
      <c r="K16" s="121">
        <f>J16*1.02</f>
        <v>5.5602530699999999</v>
      </c>
      <c r="L16" s="121">
        <f>K16*1.02</f>
        <v>5.6714581313999997</v>
      </c>
      <c r="M16" s="121">
        <f>L16*1.02</f>
        <v>5.7848872940279996</v>
      </c>
      <c r="N16" s="121">
        <f>M16*1.02</f>
        <v>5.9005850399085595</v>
      </c>
    </row>
    <row r="17" spans="2:14">
      <c r="B17" s="111" t="s">
        <v>358</v>
      </c>
      <c r="C17" s="177"/>
      <c r="D17" s="177" t="s">
        <v>369</v>
      </c>
      <c r="E17" s="119">
        <v>0.64506663482209858</v>
      </c>
      <c r="F17" s="119">
        <v>0.64506663482209858</v>
      </c>
      <c r="G17" s="119">
        <v>0.64506663482209858</v>
      </c>
      <c r="H17" s="119">
        <v>0.64506663482209858</v>
      </c>
      <c r="I17" s="119">
        <v>0.64506663482209903</v>
      </c>
      <c r="J17" s="121">
        <f t="shared" ref="J17:N17" si="1">(J11-(J12*J13/1000))/J15</f>
        <v>0.64506663482209858</v>
      </c>
      <c r="K17" s="121">
        <f t="shared" si="1"/>
        <v>0.64506663482209858</v>
      </c>
      <c r="L17" s="121">
        <f t="shared" si="1"/>
        <v>0.64506663482209858</v>
      </c>
      <c r="M17" s="121">
        <f t="shared" si="1"/>
        <v>0.64506663482209858</v>
      </c>
      <c r="N17" s="121">
        <f t="shared" si="1"/>
        <v>0.64506663482209858</v>
      </c>
    </row>
    <row r="18" spans="2:14">
      <c r="B18" s="111" t="s">
        <v>508</v>
      </c>
      <c r="C18" s="177"/>
      <c r="D18" s="177" t="s">
        <v>509</v>
      </c>
      <c r="E18" s="185">
        <f t="shared" ref="E18:I18" si="2">IFERROR(((E11-E12*E13/1000)*E16/E15)*100/(100-E10),0)</f>
        <v>3.5315797354398266</v>
      </c>
      <c r="F18" s="185">
        <f t="shared" si="2"/>
        <v>3.2231088038289535</v>
      </c>
      <c r="G18" s="185">
        <f t="shared" si="2"/>
        <v>3.2231088038289535</v>
      </c>
      <c r="H18" s="185">
        <f t="shared" si="2"/>
        <v>3.8340101029688687</v>
      </c>
      <c r="I18" s="260">
        <f t="shared" si="2"/>
        <v>3.4965596310932976</v>
      </c>
      <c r="J18" s="260">
        <f>IFERROR(((J11-J12*J13/1000)*J16/J15)*100/(100-J10),0)</f>
        <v>3.7112460413100958</v>
      </c>
      <c r="K18" s="260">
        <f t="shared" ref="K18:N18" si="3">IFERROR(((K11-K12*K13/1000)*K16/K15)*100/(100-K10),0)</f>
        <v>3.7854709621362979</v>
      </c>
      <c r="L18" s="260">
        <f t="shared" si="3"/>
        <v>3.8611803813790244</v>
      </c>
      <c r="M18" s="260">
        <f t="shared" si="3"/>
        <v>3.9384039890066043</v>
      </c>
      <c r="N18" s="260">
        <f t="shared" si="3"/>
        <v>4.0171720687867358</v>
      </c>
    </row>
    <row r="19" spans="2:14">
      <c r="B19" s="111" t="s">
        <v>510</v>
      </c>
      <c r="C19" s="177"/>
      <c r="D19" s="177" t="s">
        <v>509</v>
      </c>
      <c r="E19" s="185">
        <f t="shared" ref="E19:I19" si="4">(E12*E14)/(100-E10)*100</f>
        <v>0.14202967072932499</v>
      </c>
      <c r="F19" s="185">
        <f t="shared" si="4"/>
        <v>2.28064850175985E-2</v>
      </c>
      <c r="G19" s="185">
        <f t="shared" si="4"/>
        <v>2.28064850175985E-2</v>
      </c>
      <c r="H19" s="185">
        <f t="shared" si="4"/>
        <v>0.13528100442343763</v>
      </c>
      <c r="I19" s="260">
        <f t="shared" si="4"/>
        <v>2.6042348013934936E-2</v>
      </c>
      <c r="J19" s="260">
        <f t="shared" ref="J19:N19" si="5">(J12*J14)/(100-J10)*100</f>
        <v>3.2949804041255311E-2</v>
      </c>
      <c r="K19" s="260">
        <f t="shared" si="5"/>
        <v>3.3608800122080416E-2</v>
      </c>
      <c r="L19" s="260">
        <f t="shared" si="5"/>
        <v>3.4280976124522022E-2</v>
      </c>
      <c r="M19" s="260">
        <f t="shared" si="5"/>
        <v>3.4966595647012468E-2</v>
      </c>
      <c r="N19" s="260">
        <f t="shared" si="5"/>
        <v>3.5665927559952723E-2</v>
      </c>
    </row>
    <row r="20" spans="2:14" ht="15">
      <c r="B20" s="181" t="s">
        <v>359</v>
      </c>
      <c r="C20" s="177"/>
      <c r="D20" s="181" t="s">
        <v>211</v>
      </c>
      <c r="E20" s="182">
        <f t="shared" ref="E20:N20" si="6">IFERROR(((E11-E12*E13/1000)*E16/E15+E12*E14)*100/(100-E10),0)</f>
        <v>3.673609406169152</v>
      </c>
      <c r="F20" s="182">
        <f t="shared" si="6"/>
        <v>3.2459152888465521</v>
      </c>
      <c r="G20" s="182">
        <f t="shared" si="6"/>
        <v>3.2459152888465521</v>
      </c>
      <c r="H20" s="182">
        <f t="shared" si="6"/>
        <v>3.9692911073923063</v>
      </c>
      <c r="I20" s="261">
        <f t="shared" si="6"/>
        <v>3.5226019791072325</v>
      </c>
      <c r="J20" s="261">
        <f t="shared" si="6"/>
        <v>3.7441958453513511</v>
      </c>
      <c r="K20" s="261">
        <f t="shared" si="6"/>
        <v>3.8190797622583781</v>
      </c>
      <c r="L20" s="261">
        <f t="shared" si="6"/>
        <v>3.8954613575035455</v>
      </c>
      <c r="M20" s="261">
        <f t="shared" si="6"/>
        <v>3.9733705846536167</v>
      </c>
      <c r="N20" s="261">
        <f t="shared" si="6"/>
        <v>4.052837996346689</v>
      </c>
    </row>
    <row r="21" spans="2:14" ht="29.25" customHeight="1">
      <c r="B21" s="335" t="s">
        <v>533</v>
      </c>
      <c r="C21" s="336"/>
      <c r="D21" s="336"/>
      <c r="E21" s="336"/>
      <c r="F21" s="336"/>
      <c r="G21" s="336"/>
      <c r="H21" s="336"/>
      <c r="I21" s="336"/>
      <c r="J21" s="336"/>
      <c r="K21" s="336"/>
      <c r="L21" s="336"/>
      <c r="M21" s="336"/>
      <c r="N21" s="337"/>
    </row>
    <row r="23" spans="2:14">
      <c r="J23" s="231"/>
      <c r="K23" s="231"/>
      <c r="L23" s="231"/>
      <c r="M23" s="231"/>
      <c r="N23" s="231"/>
    </row>
    <row r="25" spans="2:14">
      <c r="J25" s="241"/>
      <c r="K25" s="241"/>
      <c r="L25" s="241"/>
      <c r="M25" s="241"/>
      <c r="N25" s="241"/>
    </row>
    <row r="26" spans="2:14">
      <c r="J26" s="241"/>
      <c r="K26" s="241"/>
      <c r="L26" s="241"/>
      <c r="M26" s="241"/>
      <c r="N26" s="241"/>
    </row>
    <row r="27" spans="2:14">
      <c r="J27" s="241"/>
      <c r="K27" s="241"/>
      <c r="L27" s="241"/>
      <c r="M27" s="241"/>
      <c r="N27" s="241"/>
    </row>
    <row r="28" spans="2:14">
      <c r="J28" s="241"/>
      <c r="K28" s="241"/>
      <c r="L28" s="241"/>
      <c r="M28" s="241"/>
      <c r="N28" s="241"/>
    </row>
  </sheetData>
  <mergeCells count="10">
    <mergeCell ref="B3:N3"/>
    <mergeCell ref="B4:N4"/>
    <mergeCell ref="B5:N5"/>
    <mergeCell ref="B21:N21"/>
    <mergeCell ref="E7:G7"/>
    <mergeCell ref="H7:I7"/>
    <mergeCell ref="J7:N7"/>
    <mergeCell ref="B7:B9"/>
    <mergeCell ref="D7:D9"/>
    <mergeCell ref="C7:C9"/>
  </mergeCells>
  <pageMargins left="0" right="0" top="0.75" bottom="0.75" header="0.3" footer="0.3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P24"/>
  <sheetViews>
    <sheetView showGridLines="0" zoomScale="87" zoomScaleNormal="87" workbookViewId="0">
      <selection activeCell="D31" sqref="D31"/>
    </sheetView>
  </sheetViews>
  <sheetFormatPr defaultColWidth="9.28515625" defaultRowHeight="14.25"/>
  <cols>
    <col min="1" max="1" width="3" style="19" customWidth="1"/>
    <col min="2" max="2" width="6.28515625" style="19" customWidth="1"/>
    <col min="3" max="3" width="37.28515625" style="19" customWidth="1"/>
    <col min="4" max="4" width="14.28515625" style="19" customWidth="1"/>
    <col min="5" max="5" width="11.5703125" style="19" customWidth="1"/>
    <col min="6" max="6" width="13.85546875" style="19" customWidth="1"/>
    <col min="7" max="7" width="13.140625" style="19" customWidth="1"/>
    <col min="8" max="8" width="14.140625" style="19" customWidth="1"/>
    <col min="9" max="9" width="15.5703125" style="19" customWidth="1"/>
    <col min="10" max="10" width="13.85546875" style="19" customWidth="1"/>
    <col min="11" max="11" width="12.42578125" style="19" customWidth="1"/>
    <col min="12" max="12" width="11.42578125" style="19" customWidth="1"/>
    <col min="13" max="13" width="13.5703125" style="19" customWidth="1"/>
    <col min="14" max="14" width="11.85546875" style="19" customWidth="1"/>
    <col min="15" max="15" width="12" style="19" customWidth="1"/>
    <col min="16" max="16" width="15.7109375" style="19" customWidth="1"/>
    <col min="17" max="16384" width="9.28515625" style="19"/>
  </cols>
  <sheetData>
    <row r="2" spans="1:16" ht="15" customHeight="1">
      <c r="A2" s="292" t="s">
        <v>517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</row>
    <row r="3" spans="1:16" ht="15" customHeight="1">
      <c r="A3" s="292" t="s">
        <v>518</v>
      </c>
      <c r="B3" s="292"/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  <c r="O3" s="292"/>
      <c r="P3" s="292"/>
    </row>
    <row r="4" spans="1:16" s="4" customFormat="1" ht="14.25" customHeight="1">
      <c r="A4" s="292" t="s">
        <v>522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</row>
    <row r="7" spans="1:16" ht="12.75" customHeight="1">
      <c r="B7" s="296" t="s">
        <v>200</v>
      </c>
      <c r="C7" s="299" t="s">
        <v>18</v>
      </c>
      <c r="D7" s="293" t="s">
        <v>39</v>
      </c>
      <c r="E7" s="299" t="s">
        <v>1</v>
      </c>
      <c r="F7" s="303" t="s">
        <v>467</v>
      </c>
      <c r="G7" s="304"/>
      <c r="H7" s="305"/>
      <c r="I7" s="303" t="s">
        <v>468</v>
      </c>
      <c r="J7" s="304"/>
      <c r="K7" s="301" t="s">
        <v>238</v>
      </c>
      <c r="L7" s="301"/>
      <c r="M7" s="301"/>
      <c r="N7" s="301"/>
      <c r="O7" s="301"/>
      <c r="P7" s="301" t="s">
        <v>11</v>
      </c>
    </row>
    <row r="8" spans="1:16" ht="30" customHeight="1">
      <c r="B8" s="297"/>
      <c r="C8" s="299"/>
      <c r="D8" s="294"/>
      <c r="E8" s="299"/>
      <c r="F8" s="21" t="s">
        <v>377</v>
      </c>
      <c r="G8" s="21" t="s">
        <v>244</v>
      </c>
      <c r="H8" s="21" t="s">
        <v>216</v>
      </c>
      <c r="I8" s="21" t="s">
        <v>377</v>
      </c>
      <c r="J8" s="21" t="s">
        <v>248</v>
      </c>
      <c r="K8" s="21" t="s">
        <v>469</v>
      </c>
      <c r="L8" s="21" t="s">
        <v>470</v>
      </c>
      <c r="M8" s="21" t="s">
        <v>471</v>
      </c>
      <c r="N8" s="21" t="s">
        <v>472</v>
      </c>
      <c r="O8" s="21" t="s">
        <v>473</v>
      </c>
      <c r="P8" s="301"/>
    </row>
    <row r="9" spans="1:16" ht="15">
      <c r="B9" s="298"/>
      <c r="C9" s="300"/>
      <c r="D9" s="295"/>
      <c r="E9" s="300"/>
      <c r="F9" s="21" t="s">
        <v>10</v>
      </c>
      <c r="G9" s="21" t="s">
        <v>12</v>
      </c>
      <c r="H9" s="21" t="s">
        <v>245</v>
      </c>
      <c r="I9" s="21" t="s">
        <v>10</v>
      </c>
      <c r="J9" s="21" t="s">
        <v>516</v>
      </c>
      <c r="K9" s="21" t="s">
        <v>8</v>
      </c>
      <c r="L9" s="21" t="s">
        <v>8</v>
      </c>
      <c r="M9" s="21" t="s">
        <v>8</v>
      </c>
      <c r="N9" s="21" t="s">
        <v>8</v>
      </c>
      <c r="O9" s="21" t="s">
        <v>8</v>
      </c>
      <c r="P9" s="302"/>
    </row>
    <row r="10" spans="1:16" ht="15">
      <c r="B10" s="28" t="s">
        <v>67</v>
      </c>
      <c r="C10" s="29" t="s">
        <v>251</v>
      </c>
      <c r="D10" s="26"/>
      <c r="E10" s="26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7"/>
    </row>
    <row r="11" spans="1:16" ht="15">
      <c r="B11" s="2">
        <v>1</v>
      </c>
      <c r="C11" s="3" t="s">
        <v>36</v>
      </c>
      <c r="D11" s="2" t="s">
        <v>212</v>
      </c>
      <c r="E11" s="23" t="s">
        <v>290</v>
      </c>
      <c r="F11" s="143">
        <f>'F2'!E14</f>
        <v>189.21869999999998</v>
      </c>
      <c r="G11" s="143">
        <f>'F2'!F14</f>
        <v>245.63612195589064</v>
      </c>
      <c r="H11" s="143">
        <f>'F2'!G14</f>
        <v>245.63612195589064</v>
      </c>
      <c r="I11" s="143">
        <f>'F2'!H14</f>
        <v>194.84190000000001</v>
      </c>
      <c r="J11" s="143">
        <f>'F2'!I14</f>
        <v>272.28834963762199</v>
      </c>
      <c r="K11" s="143">
        <f>'F2'!J14</f>
        <v>269.10755373411433</v>
      </c>
      <c r="L11" s="143">
        <f>'F2'!K14</f>
        <v>282.7492351993846</v>
      </c>
      <c r="M11" s="143">
        <f>'F2'!L14</f>
        <v>297.14302511712964</v>
      </c>
      <c r="N11" s="143">
        <f>'F2'!M14</f>
        <v>312.36412816567025</v>
      </c>
      <c r="O11" s="143">
        <f>'F2'!N14</f>
        <v>328.46015969905528</v>
      </c>
      <c r="P11" s="149"/>
    </row>
    <row r="12" spans="1:16" ht="15">
      <c r="B12" s="2">
        <f t="shared" ref="B12:B17" si="0">B11+1</f>
        <v>2</v>
      </c>
      <c r="C12" s="24" t="s">
        <v>169</v>
      </c>
      <c r="D12" s="2" t="s">
        <v>212</v>
      </c>
      <c r="E12" s="23" t="s">
        <v>23</v>
      </c>
      <c r="F12" s="150">
        <v>129.12</v>
      </c>
      <c r="G12" s="150">
        <f>H12</f>
        <v>126.12</v>
      </c>
      <c r="H12" s="143">
        <f>'F4'!K22-'F4'!L22</f>
        <v>126.12</v>
      </c>
      <c r="I12" s="149">
        <v>130.58000000000001</v>
      </c>
      <c r="J12" s="143">
        <f>'F4'!K40-'F4'!L40</f>
        <v>126.12</v>
      </c>
      <c r="K12" s="143">
        <f>'F4'!K57-'F4'!L57</f>
        <v>22.304620051794341</v>
      </c>
      <c r="L12" s="143">
        <f>'F4'!K74-'F4'!L74</f>
        <v>22.496074597248914</v>
      </c>
      <c r="M12" s="143">
        <f>'F4'!K91-'F4'!L91</f>
        <v>22.496074597248914</v>
      </c>
      <c r="N12" s="143">
        <f>'F4'!K108-'F4'!L108</f>
        <v>22.49607459724891</v>
      </c>
      <c r="O12" s="143">
        <f>'F4'!K125-'F4'!L125</f>
        <v>22.496074597248935</v>
      </c>
      <c r="P12" s="263"/>
    </row>
    <row r="13" spans="1:16" ht="15">
      <c r="B13" s="2">
        <f t="shared" si="0"/>
        <v>3</v>
      </c>
      <c r="C13" s="3" t="s">
        <v>249</v>
      </c>
      <c r="D13" s="2" t="s">
        <v>212</v>
      </c>
      <c r="E13" s="22" t="s">
        <v>29</v>
      </c>
      <c r="F13" s="143">
        <f>'F5'!D22</f>
        <v>1.34</v>
      </c>
      <c r="G13" s="143">
        <f>'F5'!E22</f>
        <v>1.3089143000000052</v>
      </c>
      <c r="H13" s="143">
        <f>'F5'!F22</f>
        <v>1.3089143000000052</v>
      </c>
      <c r="I13" s="143">
        <f>'F5'!G22</f>
        <v>0</v>
      </c>
      <c r="J13" s="143">
        <f>'F5'!H22</f>
        <v>0</v>
      </c>
      <c r="K13" s="143">
        <f>'F5'!I22</f>
        <v>0</v>
      </c>
      <c r="L13" s="143">
        <f>'F5'!J22</f>
        <v>0</v>
      </c>
      <c r="M13" s="143">
        <f>'F5'!K22</f>
        <v>0</v>
      </c>
      <c r="N13" s="143">
        <f>'F5'!L22</f>
        <v>0</v>
      </c>
      <c r="O13" s="143">
        <f>'F5'!M22</f>
        <v>0</v>
      </c>
      <c r="P13" s="263"/>
    </row>
    <row r="14" spans="1:16" ht="15">
      <c r="B14" s="2">
        <f t="shared" si="0"/>
        <v>4</v>
      </c>
      <c r="C14" s="24" t="s">
        <v>37</v>
      </c>
      <c r="D14" s="2" t="s">
        <v>212</v>
      </c>
      <c r="E14" s="22" t="s">
        <v>30</v>
      </c>
      <c r="F14" s="143">
        <f>'F6'!D20</f>
        <v>32.01</v>
      </c>
      <c r="G14" s="143">
        <f ca="1">'F6'!E20</f>
        <v>41.910362147078828</v>
      </c>
      <c r="H14" s="143">
        <f ca="1">'F6'!F20</f>
        <v>41.910362147078828</v>
      </c>
      <c r="I14" s="243">
        <f>'F6'!G20</f>
        <v>33.090000000000003</v>
      </c>
      <c r="J14" s="143">
        <f ca="1">'F6'!H20</f>
        <v>45.87129892369687</v>
      </c>
      <c r="K14" s="143">
        <f ca="1">'F6'!I20</f>
        <v>34.600485015058474</v>
      </c>
      <c r="L14" s="143">
        <f ca="1">'F6'!J20</f>
        <v>35.391940099279807</v>
      </c>
      <c r="M14" s="143">
        <f ca="1">'F6'!K20</f>
        <v>36.175772474200514</v>
      </c>
      <c r="N14" s="143">
        <f ca="1">'F6'!L20</f>
        <v>37.064905433338474</v>
      </c>
      <c r="O14" s="143">
        <f ca="1">'F6'!M20</f>
        <v>37.858915545522507</v>
      </c>
      <c r="P14" s="263"/>
    </row>
    <row r="15" spans="1:16" ht="15">
      <c r="B15" s="2">
        <f t="shared" si="0"/>
        <v>5</v>
      </c>
      <c r="C15" s="3" t="s">
        <v>250</v>
      </c>
      <c r="D15" s="2" t="s">
        <v>212</v>
      </c>
      <c r="E15" s="22" t="s">
        <v>31</v>
      </c>
      <c r="F15" s="143">
        <f>'F7'!D22</f>
        <v>139.36000000000001</v>
      </c>
      <c r="G15" s="143">
        <f>'F7'!E22</f>
        <v>153.68855235728032</v>
      </c>
      <c r="H15" s="143">
        <f>'F7'!F22</f>
        <v>153.68855235728032</v>
      </c>
      <c r="I15" s="143">
        <f>'F7'!G22</f>
        <v>139.36000000000001</v>
      </c>
      <c r="J15" s="143">
        <f>'F7'!H22</f>
        <v>153.68451330981398</v>
      </c>
      <c r="K15" s="143">
        <f>'F7'!I22</f>
        <v>153.7571895937584</v>
      </c>
      <c r="L15" s="143">
        <f>'F7'!J22</f>
        <v>153.82986587770282</v>
      </c>
      <c r="M15" s="143">
        <f>'F7'!K22</f>
        <v>153.82986587770282</v>
      </c>
      <c r="N15" s="143">
        <f>'F7'!L22</f>
        <v>153.82986587770282</v>
      </c>
      <c r="O15" s="143">
        <f>'F7'!M22</f>
        <v>154.18948184747509</v>
      </c>
      <c r="P15" s="263"/>
    </row>
    <row r="16" spans="1:16" ht="15">
      <c r="B16" s="2">
        <f t="shared" si="0"/>
        <v>6</v>
      </c>
      <c r="C16" s="3" t="s">
        <v>38</v>
      </c>
      <c r="D16" s="2" t="s">
        <v>212</v>
      </c>
      <c r="E16" s="22" t="s">
        <v>32</v>
      </c>
      <c r="F16" s="143"/>
      <c r="G16" s="143">
        <f>'F8'!E22</f>
        <v>19.387759016317148</v>
      </c>
      <c r="H16" s="143">
        <f>'F8'!F22</f>
        <v>19.387759016317148</v>
      </c>
      <c r="I16" s="242"/>
      <c r="J16" s="143">
        <f>'F8'!H22</f>
        <v>8.0923565244755054</v>
      </c>
      <c r="K16" s="143">
        <f>'F8'!I22</f>
        <v>8.5292524187811818</v>
      </c>
      <c r="L16" s="143">
        <f>'F8'!J22</f>
        <v>8.8704225155324288</v>
      </c>
      <c r="M16" s="143">
        <f>'F8'!K22</f>
        <v>9.2252394161537268</v>
      </c>
      <c r="N16" s="143">
        <f>'F8'!L22</f>
        <v>9.5942489927998764</v>
      </c>
      <c r="O16" s="143">
        <f>'F8'!M22</f>
        <v>9.9780189525118708</v>
      </c>
      <c r="P16" s="263"/>
    </row>
    <row r="17" spans="2:16" ht="15">
      <c r="B17" s="20">
        <f t="shared" si="0"/>
        <v>7</v>
      </c>
      <c r="C17" s="25" t="s">
        <v>251</v>
      </c>
      <c r="D17" s="20" t="s">
        <v>212</v>
      </c>
      <c r="E17" s="22"/>
      <c r="F17" s="143">
        <f>SUM(F11:F16)</f>
        <v>491.0487</v>
      </c>
      <c r="G17" s="143">
        <f ca="1">SUM(G11:G15)-G16</f>
        <v>549.27619174393271</v>
      </c>
      <c r="H17" s="143">
        <f ca="1">SUM(H11:H15)-H16</f>
        <v>549.27619174393271</v>
      </c>
      <c r="I17" s="143">
        <f t="shared" ref="I17" si="1">SUM(I11:I16)</f>
        <v>497.8719000000001</v>
      </c>
      <c r="J17" s="143">
        <f ca="1">SUM(J11:J15)-J16</f>
        <v>589.87180534665742</v>
      </c>
      <c r="K17" s="143">
        <f t="shared" ref="K17:O17" ca="1" si="2">SUM(K11:K15)-K16</f>
        <v>471.24059597594442</v>
      </c>
      <c r="L17" s="143">
        <f t="shared" ca="1" si="2"/>
        <v>485.59669325808369</v>
      </c>
      <c r="M17" s="143">
        <f t="shared" ca="1" si="2"/>
        <v>500.41949865012816</v>
      </c>
      <c r="N17" s="143">
        <f t="shared" ca="1" si="2"/>
        <v>516.16072508116065</v>
      </c>
      <c r="O17" s="143">
        <f t="shared" ca="1" si="2"/>
        <v>533.02661273678996</v>
      </c>
      <c r="P17" s="263"/>
    </row>
    <row r="18" spans="2:16" ht="15">
      <c r="B18" s="20" t="s">
        <v>71</v>
      </c>
      <c r="C18" s="20" t="s">
        <v>252</v>
      </c>
      <c r="D18" s="22"/>
      <c r="E18" s="22"/>
      <c r="F18" s="22"/>
      <c r="G18" s="3"/>
      <c r="H18" s="3"/>
      <c r="I18" s="3"/>
      <c r="J18" s="3"/>
      <c r="K18" s="144"/>
      <c r="L18" s="3"/>
      <c r="M18" s="3"/>
      <c r="N18" s="3"/>
      <c r="O18" s="3"/>
      <c r="P18" s="264"/>
    </row>
    <row r="19" spans="2:16" ht="15">
      <c r="B19" s="2">
        <v>1</v>
      </c>
      <c r="C19" s="22" t="s">
        <v>253</v>
      </c>
      <c r="D19" s="2" t="s">
        <v>211</v>
      </c>
      <c r="E19" s="22" t="s">
        <v>165</v>
      </c>
      <c r="F19" s="143">
        <f>'F12'!E20</f>
        <v>3.673609406169152</v>
      </c>
      <c r="G19" s="143">
        <f>'F12'!F20</f>
        <v>3.2459152888465521</v>
      </c>
      <c r="H19" s="143">
        <f>'F12'!G20</f>
        <v>3.2459152888465521</v>
      </c>
      <c r="I19" s="143">
        <f>'F12'!H20</f>
        <v>3.9692911073923063</v>
      </c>
      <c r="J19" s="143">
        <f>'F12'!I20</f>
        <v>3.5226019791072325</v>
      </c>
      <c r="K19" s="143">
        <f>'F12'!J20</f>
        <v>3.7441958453513511</v>
      </c>
      <c r="L19" s="143">
        <f>'F12'!K20</f>
        <v>3.8190797622583781</v>
      </c>
      <c r="M19" s="143">
        <f>'F12'!L20</f>
        <v>3.8954613575035455</v>
      </c>
      <c r="N19" s="143">
        <f>'F12'!M20</f>
        <v>3.9733705846536167</v>
      </c>
      <c r="O19" s="143">
        <f>'F12'!N20</f>
        <v>4.052837996346689</v>
      </c>
      <c r="P19" s="264"/>
    </row>
    <row r="20" spans="2:16" ht="15">
      <c r="B20" s="2">
        <f>B19+1</f>
        <v>2</v>
      </c>
      <c r="C20" s="22" t="s">
        <v>254</v>
      </c>
      <c r="D20" s="2" t="s">
        <v>45</v>
      </c>
      <c r="E20" s="22" t="s">
        <v>34</v>
      </c>
      <c r="F20" s="143">
        <f>G20</f>
        <v>3462.0724</v>
      </c>
      <c r="G20" s="143">
        <f>'F10'!F30</f>
        <v>3462.0724</v>
      </c>
      <c r="H20" s="143">
        <f>'F10'!G30</f>
        <v>3462.0723999999991</v>
      </c>
      <c r="I20" s="143">
        <f>J20</f>
        <v>3174.0260000000003</v>
      </c>
      <c r="J20" s="143">
        <f>'F10'!I30</f>
        <v>3174.0260000000003</v>
      </c>
      <c r="K20" s="143">
        <f>'F10'!J30</f>
        <v>3527.54</v>
      </c>
      <c r="L20" s="143">
        <f>'F10'!K30</f>
        <v>3530.38</v>
      </c>
      <c r="M20" s="143">
        <f>'F10'!L30</f>
        <v>3527.54</v>
      </c>
      <c r="N20" s="143">
        <f>'F10'!M30</f>
        <v>3540.28</v>
      </c>
      <c r="O20" s="143">
        <f>'F10'!N30</f>
        <v>3527.54</v>
      </c>
      <c r="P20" s="264"/>
    </row>
    <row r="21" spans="2:16" ht="15">
      <c r="B21" s="2">
        <f>B20+1</f>
        <v>3</v>
      </c>
      <c r="C21" s="22" t="s">
        <v>252</v>
      </c>
      <c r="D21" s="2" t="s">
        <v>212</v>
      </c>
      <c r="E21" s="22"/>
      <c r="F21" s="143">
        <f>F19*F20/10</f>
        <v>1271.8301733478611</v>
      </c>
      <c r="G21" s="143">
        <f t="shared" ref="G21:O21" si="3">G19*G20/10</f>
        <v>1123.7593734253676</v>
      </c>
      <c r="H21" s="143">
        <f t="shared" si="3"/>
        <v>1123.7593734253674</v>
      </c>
      <c r="I21" s="143">
        <f t="shared" si="3"/>
        <v>1259.8633176431972</v>
      </c>
      <c r="J21" s="143">
        <f t="shared" si="3"/>
        <v>1118.0830269337814</v>
      </c>
      <c r="K21" s="143">
        <f t="shared" si="3"/>
        <v>1320.7800612310705</v>
      </c>
      <c r="L21" s="143">
        <f t="shared" si="3"/>
        <v>1348.2802811081733</v>
      </c>
      <c r="M21" s="143">
        <f t="shared" si="3"/>
        <v>1374.1395757048056</v>
      </c>
      <c r="N21" s="143">
        <f t="shared" si="3"/>
        <v>1406.6844413437507</v>
      </c>
      <c r="O21" s="143">
        <f t="shared" si="3"/>
        <v>1429.6548145632801</v>
      </c>
      <c r="P21" s="264"/>
    </row>
    <row r="22" spans="2:16" ht="15">
      <c r="B22" s="20" t="s">
        <v>72</v>
      </c>
      <c r="C22" s="20" t="s">
        <v>412</v>
      </c>
      <c r="D22" s="2" t="s">
        <v>212</v>
      </c>
      <c r="E22" s="3"/>
      <c r="F22" s="143">
        <f>F17+F21</f>
        <v>1762.8788733478611</v>
      </c>
      <c r="G22" s="143">
        <f t="shared" ref="G22:O22" ca="1" si="4">G17+G21</f>
        <v>1673.0355651693003</v>
      </c>
      <c r="H22" s="143">
        <f t="shared" ca="1" si="4"/>
        <v>1673.0355651693001</v>
      </c>
      <c r="I22" s="143">
        <f t="shared" si="4"/>
        <v>1757.7352176431973</v>
      </c>
      <c r="J22" s="143">
        <f t="shared" ca="1" si="4"/>
        <v>1707.9548322804389</v>
      </c>
      <c r="K22" s="143">
        <f t="shared" ca="1" si="4"/>
        <v>1792.0206572070149</v>
      </c>
      <c r="L22" s="143">
        <f t="shared" ca="1" si="4"/>
        <v>1833.8769743662569</v>
      </c>
      <c r="M22" s="143">
        <f t="shared" ca="1" si="4"/>
        <v>1874.5590743549337</v>
      </c>
      <c r="N22" s="143">
        <f t="shared" ca="1" si="4"/>
        <v>1922.8451664249114</v>
      </c>
      <c r="O22" s="143">
        <f t="shared" ca="1" si="4"/>
        <v>1962.68142730007</v>
      </c>
      <c r="P22" s="264"/>
    </row>
    <row r="23" spans="2:16" hidden="1">
      <c r="F23" s="168">
        <f>SUM(F17+F16)</f>
        <v>491.0487</v>
      </c>
      <c r="G23" s="168">
        <f t="shared" ref="G23:O23" ca="1" si="5">SUM(G17+G16)</f>
        <v>568.66395076024992</v>
      </c>
      <c r="H23" s="168">
        <f t="shared" ca="1" si="5"/>
        <v>568.66395076024992</v>
      </c>
      <c r="I23" s="168">
        <f t="shared" si="5"/>
        <v>497.8719000000001</v>
      </c>
      <c r="J23" s="168">
        <f t="shared" ca="1" si="5"/>
        <v>597.96416187113289</v>
      </c>
      <c r="K23" s="168">
        <f t="shared" ca="1" si="5"/>
        <v>479.76984839472561</v>
      </c>
      <c r="L23" s="168">
        <f t="shared" ca="1" si="5"/>
        <v>494.46711577361611</v>
      </c>
      <c r="M23" s="168">
        <f t="shared" ca="1" si="5"/>
        <v>509.64473806628189</v>
      </c>
      <c r="N23" s="168">
        <f t="shared" ca="1" si="5"/>
        <v>525.75497407396051</v>
      </c>
      <c r="O23" s="168">
        <f t="shared" ca="1" si="5"/>
        <v>543.00463168930185</v>
      </c>
      <c r="P23" s="265"/>
    </row>
    <row r="24" spans="2:16">
      <c r="G24" s="276"/>
      <c r="J24" s="168"/>
    </row>
  </sheetData>
  <mergeCells count="11">
    <mergeCell ref="A2:P2"/>
    <mergeCell ref="A3:P3"/>
    <mergeCell ref="A4:P4"/>
    <mergeCell ref="D7:D9"/>
    <mergeCell ref="B7:B9"/>
    <mergeCell ref="C7:C9"/>
    <mergeCell ref="E7:E9"/>
    <mergeCell ref="P7:P9"/>
    <mergeCell ref="K7:O7"/>
    <mergeCell ref="F7:H7"/>
    <mergeCell ref="I7:J7"/>
  </mergeCells>
  <pageMargins left="0" right="0" top="0.92" bottom="1" header="0.5" footer="0.5"/>
  <pageSetup paperSize="9" scale="66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B1:Q68"/>
  <sheetViews>
    <sheetView showGridLines="0" zoomScale="80" zoomScaleNormal="80" workbookViewId="0">
      <selection activeCell="B4" sqref="B4:O4"/>
    </sheetView>
  </sheetViews>
  <sheetFormatPr defaultColWidth="9.28515625" defaultRowHeight="14.25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2:17" ht="15">
      <c r="B1" s="112"/>
    </row>
    <row r="2" spans="2:17" ht="14.25" customHeight="1">
      <c r="B2" s="314" t="s">
        <v>511</v>
      </c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</row>
    <row r="3" spans="2:17" ht="14.25" customHeight="1">
      <c r="B3" s="314" t="s">
        <v>500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</row>
    <row r="4" spans="2:17" ht="15">
      <c r="B4" s="306" t="s">
        <v>372</v>
      </c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</row>
    <row r="5" spans="2:17" ht="15">
      <c r="B5" s="30" t="s">
        <v>467</v>
      </c>
      <c r="C5" s="76"/>
      <c r="D5" s="76"/>
      <c r="E5" s="76"/>
      <c r="F5" s="76"/>
      <c r="G5" s="76"/>
      <c r="H5" s="76"/>
      <c r="I5" s="41"/>
    </row>
    <row r="6" spans="2:17" ht="15">
      <c r="B6" s="30" t="s">
        <v>12</v>
      </c>
      <c r="C6" s="31"/>
      <c r="D6" s="31"/>
      <c r="O6" s="31" t="s">
        <v>140</v>
      </c>
    </row>
    <row r="7" spans="2:17" s="38" customFormat="1" ht="15" customHeight="1">
      <c r="B7" s="37" t="s">
        <v>373</v>
      </c>
      <c r="C7" s="37" t="s">
        <v>141</v>
      </c>
      <c r="D7" s="37" t="s">
        <v>142</v>
      </c>
      <c r="E7" s="113" t="s">
        <v>143</v>
      </c>
      <c r="F7" s="113" t="s">
        <v>144</v>
      </c>
      <c r="G7" s="113" t="s">
        <v>145</v>
      </c>
      <c r="H7" s="113" t="s">
        <v>146</v>
      </c>
      <c r="I7" s="113" t="s">
        <v>147</v>
      </c>
      <c r="J7" s="113" t="s">
        <v>148</v>
      </c>
      <c r="K7" s="113" t="s">
        <v>149</v>
      </c>
      <c r="L7" s="113" t="s">
        <v>150</v>
      </c>
      <c r="M7" s="113" t="s">
        <v>151</v>
      </c>
      <c r="N7" s="113" t="s">
        <v>152</v>
      </c>
      <c r="O7" s="113" t="s">
        <v>139</v>
      </c>
    </row>
    <row r="8" spans="2:17" s="38" customFormat="1" ht="15">
      <c r="B8" s="74" t="s">
        <v>465</v>
      </c>
      <c r="C8" s="152">
        <v>208.80535344999996</v>
      </c>
      <c r="D8" s="152">
        <v>189.63621294999996</v>
      </c>
      <c r="E8" s="152">
        <v>200.20940035000001</v>
      </c>
      <c r="F8" s="152">
        <v>211.86567134999999</v>
      </c>
      <c r="G8" s="152">
        <v>217.44088509999997</v>
      </c>
      <c r="H8" s="152">
        <v>205.74263685000003</v>
      </c>
      <c r="I8" s="152">
        <v>170.46791905000001</v>
      </c>
      <c r="J8" s="152">
        <v>207.1903934</v>
      </c>
      <c r="K8" s="152">
        <v>211.66418055000003</v>
      </c>
      <c r="L8" s="152">
        <v>201.95755879999996</v>
      </c>
      <c r="M8" s="152">
        <v>193.80487134999998</v>
      </c>
      <c r="N8" s="152">
        <v>223.70699499999998</v>
      </c>
      <c r="O8" s="152">
        <f>SUM(C8:N8)</f>
        <v>2442.4920782000004</v>
      </c>
    </row>
    <row r="9" spans="2:17" s="38" customFormat="1" ht="15">
      <c r="B9" s="74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</row>
    <row r="10" spans="2:17" s="38" customFormat="1" ht="15">
      <c r="B10" s="74" t="s">
        <v>466</v>
      </c>
      <c r="C10" s="152">
        <v>87.16254655000003</v>
      </c>
      <c r="D10" s="152">
        <v>79.160687050000035</v>
      </c>
      <c r="E10" s="152">
        <v>83.57429965</v>
      </c>
      <c r="F10" s="152">
        <v>88.440028650000016</v>
      </c>
      <c r="G10" s="152">
        <v>90.767314900000002</v>
      </c>
      <c r="H10" s="152">
        <v>85.884063150000003</v>
      </c>
      <c r="I10" s="152">
        <v>71.159180950000007</v>
      </c>
      <c r="J10" s="152">
        <v>86.488406600000019</v>
      </c>
      <c r="K10" s="152">
        <v>88.355919449999988</v>
      </c>
      <c r="L10" s="152">
        <v>84.304041200000029</v>
      </c>
      <c r="M10" s="152">
        <v>80.900828649999994</v>
      </c>
      <c r="N10" s="152">
        <v>93.383004999999997</v>
      </c>
      <c r="O10" s="152">
        <f t="shared" ref="O10" si="0">SUM(C10:N10)</f>
        <v>1019.5803218000001</v>
      </c>
    </row>
    <row r="11" spans="2:17" s="38" customFormat="1" ht="15">
      <c r="B11" s="43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</row>
    <row r="12" spans="2:17" ht="15">
      <c r="B12" s="45" t="s">
        <v>139</v>
      </c>
      <c r="C12" s="133">
        <f>C8+C10</f>
        <v>295.96789999999999</v>
      </c>
      <c r="D12" s="133">
        <f t="shared" ref="D12:N12" si="1">D8+D10</f>
        <v>268.79689999999999</v>
      </c>
      <c r="E12" s="133">
        <f t="shared" si="1"/>
        <v>283.78370000000001</v>
      </c>
      <c r="F12" s="133">
        <f t="shared" si="1"/>
        <v>300.3057</v>
      </c>
      <c r="G12" s="133">
        <f t="shared" si="1"/>
        <v>308.20819999999998</v>
      </c>
      <c r="H12" s="133">
        <f t="shared" si="1"/>
        <v>291.62670000000003</v>
      </c>
      <c r="I12" s="133">
        <f t="shared" si="1"/>
        <v>241.62710000000001</v>
      </c>
      <c r="J12" s="133">
        <f t="shared" si="1"/>
        <v>293.67880000000002</v>
      </c>
      <c r="K12" s="133">
        <f t="shared" si="1"/>
        <v>300.02010000000001</v>
      </c>
      <c r="L12" s="133">
        <f t="shared" si="1"/>
        <v>286.26159999999999</v>
      </c>
      <c r="M12" s="133">
        <f t="shared" si="1"/>
        <v>274.70569999999998</v>
      </c>
      <c r="N12" s="133">
        <f t="shared" si="1"/>
        <v>317.08999999999997</v>
      </c>
      <c r="O12" s="133" t="e">
        <f>O8+O10+#REF!</f>
        <v>#REF!</v>
      </c>
    </row>
    <row r="13" spans="2:17" ht="16.5">
      <c r="B13" s="30"/>
      <c r="C13" s="76"/>
      <c r="D13" s="76"/>
      <c r="E13" s="76"/>
      <c r="F13" s="76"/>
      <c r="G13" s="76"/>
      <c r="H13" s="76"/>
      <c r="I13" s="102"/>
    </row>
    <row r="14" spans="2:17" ht="16.5">
      <c r="B14" s="30" t="s">
        <v>468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41"/>
      <c r="P14" s="102"/>
    </row>
    <row r="15" spans="2:17" ht="18.75" customHeight="1">
      <c r="B15" s="310" t="s">
        <v>373</v>
      </c>
      <c r="C15" s="340" t="s">
        <v>153</v>
      </c>
      <c r="D15" s="328"/>
      <c r="E15" s="328"/>
      <c r="F15" s="328"/>
      <c r="G15" s="328"/>
      <c r="H15" s="329"/>
      <c r="I15" s="340" t="s">
        <v>5</v>
      </c>
      <c r="J15" s="328"/>
      <c r="K15" s="328"/>
      <c r="L15" s="328"/>
      <c r="M15" s="328"/>
      <c r="N15" s="329"/>
      <c r="O15" s="37" t="s">
        <v>154</v>
      </c>
      <c r="P15" s="102"/>
      <c r="Q15" s="102"/>
    </row>
    <row r="16" spans="2:17" ht="15">
      <c r="B16" s="312"/>
      <c r="C16" s="37" t="s">
        <v>141</v>
      </c>
      <c r="D16" s="37" t="s">
        <v>142</v>
      </c>
      <c r="E16" s="113" t="s">
        <v>143</v>
      </c>
      <c r="F16" s="113" t="s">
        <v>144</v>
      </c>
      <c r="G16" s="113" t="s">
        <v>145</v>
      </c>
      <c r="H16" s="113" t="s">
        <v>146</v>
      </c>
      <c r="I16" s="113" t="s">
        <v>147</v>
      </c>
      <c r="J16" s="113" t="s">
        <v>148</v>
      </c>
      <c r="K16" s="113" t="s">
        <v>149</v>
      </c>
      <c r="L16" s="113" t="s">
        <v>150</v>
      </c>
      <c r="M16" s="113" t="s">
        <v>151</v>
      </c>
      <c r="N16" s="113" t="s">
        <v>152</v>
      </c>
      <c r="O16" s="27"/>
    </row>
    <row r="17" spans="2:15" s="38" customFormat="1" ht="15">
      <c r="B17" s="74" t="s">
        <v>465</v>
      </c>
      <c r="C17" s="152">
        <v>207.367615</v>
      </c>
      <c r="D17" s="152">
        <v>215.93238499999998</v>
      </c>
      <c r="E17" s="152">
        <v>200.86290499999998</v>
      </c>
      <c r="F17" s="165">
        <v>213.70300500000002</v>
      </c>
      <c r="G17" s="152">
        <v>182.19537499999998</v>
      </c>
      <c r="H17" s="152">
        <v>179.41570499999997</v>
      </c>
      <c r="I17" s="152">
        <v>217.30105499999999</v>
      </c>
      <c r="J17" s="152">
        <v>109.81813</v>
      </c>
      <c r="K17" s="152">
        <v>149.29791</v>
      </c>
      <c r="L17" s="152">
        <f>276.83*0.7055</f>
        <v>195.30356499999999</v>
      </c>
      <c r="M17" s="152">
        <f>266.83*0.7055</f>
        <v>188.24856499999999</v>
      </c>
      <c r="N17" s="152">
        <f>254.9182*0.7055</f>
        <v>179.84479010000001</v>
      </c>
      <c r="O17" s="165">
        <f>SUM(C17:N17)</f>
        <v>2239.2910050999994</v>
      </c>
    </row>
    <row r="18" spans="2:15" s="38" customFormat="1" ht="15">
      <c r="B18" s="74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45"/>
      <c r="N18" s="45"/>
      <c r="O18" s="165"/>
    </row>
    <row r="19" spans="2:15" s="38" customFormat="1" ht="15">
      <c r="B19" s="74" t="s">
        <v>466</v>
      </c>
      <c r="C19" s="152">
        <v>86.562385000000006</v>
      </c>
      <c r="D19" s="152">
        <v>90.137615000000011</v>
      </c>
      <c r="E19" s="152">
        <v>83.847094999999996</v>
      </c>
      <c r="F19" s="152">
        <v>89.206995000000006</v>
      </c>
      <c r="G19" s="152">
        <v>76.054625000000016</v>
      </c>
      <c r="H19" s="152">
        <v>74.894295000000028</v>
      </c>
      <c r="I19" s="152">
        <v>90.708945</v>
      </c>
      <c r="J19" s="152">
        <v>45.84187</v>
      </c>
      <c r="K19" s="152">
        <v>62.322090000000003</v>
      </c>
      <c r="L19" s="152">
        <f>276.83*0.2945</f>
        <v>81.526434999999992</v>
      </c>
      <c r="M19" s="152">
        <f>266.83*0.2945</f>
        <v>78.581434999999985</v>
      </c>
      <c r="N19" s="152">
        <f>254.9182*0.2945</f>
        <v>75.073409900000001</v>
      </c>
      <c r="O19" s="165">
        <f t="shared" ref="O19" si="2">SUM(C19:N19)</f>
        <v>934.75719489999994</v>
      </c>
    </row>
    <row r="20" spans="2:15" s="38" customFormat="1" ht="15">
      <c r="B20" s="43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</row>
    <row r="21" spans="2:15" ht="15">
      <c r="B21" s="45" t="s">
        <v>139</v>
      </c>
      <c r="C21" s="133">
        <f>C17+C19</f>
        <v>293.93</v>
      </c>
      <c r="D21" s="133">
        <f t="shared" ref="D21:N21" si="3">D17+D19</f>
        <v>306.07</v>
      </c>
      <c r="E21" s="133">
        <f t="shared" si="3"/>
        <v>284.70999999999998</v>
      </c>
      <c r="F21" s="133">
        <f t="shared" si="3"/>
        <v>302.91000000000003</v>
      </c>
      <c r="G21" s="133">
        <f t="shared" si="3"/>
        <v>258.25</v>
      </c>
      <c r="H21" s="133">
        <f t="shared" si="3"/>
        <v>254.31</v>
      </c>
      <c r="I21" s="133">
        <f t="shared" si="3"/>
        <v>308.01</v>
      </c>
      <c r="J21" s="133">
        <f t="shared" si="3"/>
        <v>155.66</v>
      </c>
      <c r="K21" s="133">
        <f t="shared" si="3"/>
        <v>211.62</v>
      </c>
      <c r="L21" s="133">
        <f t="shared" si="3"/>
        <v>276.83</v>
      </c>
      <c r="M21" s="133">
        <f t="shared" si="3"/>
        <v>266.83</v>
      </c>
      <c r="N21" s="133">
        <f t="shared" si="3"/>
        <v>254.91820000000001</v>
      </c>
      <c r="O21" s="133">
        <f>O17+O19</f>
        <v>3174.0481999999993</v>
      </c>
    </row>
    <row r="23" spans="2:15" ht="15">
      <c r="B23" s="30" t="s">
        <v>469</v>
      </c>
      <c r="C23" s="76"/>
      <c r="D23" s="76"/>
      <c r="E23" s="76"/>
      <c r="F23" s="76"/>
      <c r="G23" s="76"/>
      <c r="H23" s="76"/>
      <c r="I23" s="41"/>
    </row>
    <row r="24" spans="2:15" ht="15">
      <c r="B24" s="30" t="s">
        <v>8</v>
      </c>
      <c r="C24" s="31"/>
      <c r="D24" s="31"/>
      <c r="O24" s="31" t="s">
        <v>140</v>
      </c>
    </row>
    <row r="25" spans="2:15" ht="15">
      <c r="B25" s="37" t="s">
        <v>373</v>
      </c>
      <c r="C25" s="37" t="s">
        <v>141</v>
      </c>
      <c r="D25" s="37" t="s">
        <v>142</v>
      </c>
      <c r="E25" s="113" t="s">
        <v>143</v>
      </c>
      <c r="F25" s="113" t="s">
        <v>144</v>
      </c>
      <c r="G25" s="113" t="s">
        <v>145</v>
      </c>
      <c r="H25" s="113" t="s">
        <v>146</v>
      </c>
      <c r="I25" s="113" t="s">
        <v>147</v>
      </c>
      <c r="J25" s="113" t="s">
        <v>148</v>
      </c>
      <c r="K25" s="113" t="s">
        <v>149</v>
      </c>
      <c r="L25" s="113" t="s">
        <v>150</v>
      </c>
      <c r="M25" s="113" t="s">
        <v>151</v>
      </c>
      <c r="N25" s="113" t="s">
        <v>152</v>
      </c>
      <c r="O25" s="113" t="s">
        <v>139</v>
      </c>
    </row>
    <row r="26" spans="2:15" ht="15">
      <c r="B26" s="74" t="s">
        <v>465</v>
      </c>
      <c r="C26" s="152">
        <v>204.55267000000001</v>
      </c>
      <c r="D26" s="152">
        <v>211.36780000000002</v>
      </c>
      <c r="E26" s="152">
        <v>204.55267000000001</v>
      </c>
      <c r="F26" s="152">
        <v>211.36780000000002</v>
      </c>
      <c r="G26" s="152">
        <v>211.36780000000002</v>
      </c>
      <c r="H26" s="152">
        <v>204.55267000000001</v>
      </c>
      <c r="I26" s="152">
        <v>211.36780000000002</v>
      </c>
      <c r="J26" s="152">
        <v>204.55267000000001</v>
      </c>
      <c r="K26" s="152">
        <v>211.36780000000002</v>
      </c>
      <c r="L26" s="152">
        <v>211.36780000000002</v>
      </c>
      <c r="M26" s="152">
        <v>190.91535500000001</v>
      </c>
      <c r="N26" s="152">
        <v>211.36780000000002</v>
      </c>
      <c r="O26" s="152">
        <f>SUM(C26:N26)</f>
        <v>2488.7006350000001</v>
      </c>
    </row>
    <row r="27" spans="2:15" ht="15">
      <c r="B27" s="74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</row>
    <row r="28" spans="2:15" ht="15">
      <c r="B28" s="74" t="s">
        <v>466</v>
      </c>
      <c r="C28" s="152">
        <v>85.387329999999992</v>
      </c>
      <c r="D28" s="152">
        <v>88.232200000000006</v>
      </c>
      <c r="E28" s="152">
        <v>85.387329999999992</v>
      </c>
      <c r="F28" s="152">
        <v>88.232200000000006</v>
      </c>
      <c r="G28" s="152">
        <v>88.232200000000006</v>
      </c>
      <c r="H28" s="152">
        <v>85.387329999999992</v>
      </c>
      <c r="I28" s="152">
        <v>88.232200000000006</v>
      </c>
      <c r="J28" s="152">
        <v>85.387329999999992</v>
      </c>
      <c r="K28" s="152">
        <v>88.232200000000006</v>
      </c>
      <c r="L28" s="152">
        <v>88.232200000000006</v>
      </c>
      <c r="M28" s="152">
        <v>79.694644999999994</v>
      </c>
      <c r="N28" s="152">
        <v>88.232200000000006</v>
      </c>
      <c r="O28" s="152">
        <f t="shared" ref="O28" si="4">SUM(C28:N28)</f>
        <v>1038.8693650000002</v>
      </c>
    </row>
    <row r="29" spans="2:15" ht="15">
      <c r="B29" s="43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</row>
    <row r="30" spans="2:15" ht="15">
      <c r="B30" s="45" t="s">
        <v>139</v>
      </c>
      <c r="C30" s="133">
        <f>C26+C28</f>
        <v>289.94</v>
      </c>
      <c r="D30" s="133">
        <f t="shared" ref="D30:N30" si="5">D26+D28</f>
        <v>299.60000000000002</v>
      </c>
      <c r="E30" s="133">
        <f t="shared" si="5"/>
        <v>289.94</v>
      </c>
      <c r="F30" s="133">
        <f t="shared" si="5"/>
        <v>299.60000000000002</v>
      </c>
      <c r="G30" s="133">
        <f t="shared" si="5"/>
        <v>299.60000000000002</v>
      </c>
      <c r="H30" s="133">
        <f t="shared" si="5"/>
        <v>289.94</v>
      </c>
      <c r="I30" s="133">
        <f t="shared" si="5"/>
        <v>299.60000000000002</v>
      </c>
      <c r="J30" s="133">
        <f t="shared" si="5"/>
        <v>289.94</v>
      </c>
      <c r="K30" s="133">
        <f t="shared" si="5"/>
        <v>299.60000000000002</v>
      </c>
      <c r="L30" s="133">
        <f t="shared" si="5"/>
        <v>299.60000000000002</v>
      </c>
      <c r="M30" s="133">
        <f t="shared" si="5"/>
        <v>270.61</v>
      </c>
      <c r="N30" s="133">
        <f t="shared" si="5"/>
        <v>299.60000000000002</v>
      </c>
      <c r="O30" s="133">
        <f>O26+O28</f>
        <v>3527.5700000000006</v>
      </c>
    </row>
    <row r="32" spans="2:15" ht="15">
      <c r="B32" s="30" t="s">
        <v>470</v>
      </c>
      <c r="C32" s="76"/>
      <c r="D32" s="76"/>
      <c r="E32" s="76"/>
      <c r="F32" s="76"/>
      <c r="G32" s="76"/>
      <c r="H32" s="76"/>
      <c r="I32" s="41"/>
    </row>
    <row r="33" spans="2:15" ht="15">
      <c r="B33" s="30" t="s">
        <v>8</v>
      </c>
      <c r="C33" s="31"/>
      <c r="D33" s="31"/>
      <c r="O33" s="31" t="s">
        <v>140</v>
      </c>
    </row>
    <row r="34" spans="2:15" ht="15">
      <c r="B34" s="37" t="s">
        <v>373</v>
      </c>
      <c r="C34" s="37" t="s">
        <v>141</v>
      </c>
      <c r="D34" s="37" t="s">
        <v>142</v>
      </c>
      <c r="E34" s="113" t="s">
        <v>143</v>
      </c>
      <c r="F34" s="113" t="s">
        <v>144</v>
      </c>
      <c r="G34" s="113" t="s">
        <v>145</v>
      </c>
      <c r="H34" s="113" t="s">
        <v>146</v>
      </c>
      <c r="I34" s="113" t="s">
        <v>147</v>
      </c>
      <c r="J34" s="113" t="s">
        <v>148</v>
      </c>
      <c r="K34" s="113" t="s">
        <v>149</v>
      </c>
      <c r="L34" s="113" t="s">
        <v>150</v>
      </c>
      <c r="M34" s="113" t="s">
        <v>151</v>
      </c>
      <c r="N34" s="113" t="s">
        <v>152</v>
      </c>
      <c r="O34" s="113" t="s">
        <v>139</v>
      </c>
    </row>
    <row r="35" spans="2:15" ht="15">
      <c r="B35" s="74" t="s">
        <v>465</v>
      </c>
      <c r="C35" s="152">
        <v>216.581445</v>
      </c>
      <c r="D35" s="152">
        <v>223.79871000000003</v>
      </c>
      <c r="E35" s="152">
        <v>216.581445</v>
      </c>
      <c r="F35" s="152">
        <v>223.79871000000003</v>
      </c>
      <c r="G35" s="152">
        <v>223.79871000000003</v>
      </c>
      <c r="H35" s="152">
        <v>216.581445</v>
      </c>
      <c r="I35" s="152">
        <v>223.79871000000003</v>
      </c>
      <c r="J35" s="152">
        <v>144.38763</v>
      </c>
      <c r="K35" s="152">
        <v>151.604895</v>
      </c>
      <c r="L35" s="152">
        <v>223.79871000000003</v>
      </c>
      <c r="M35" s="152">
        <v>202.13986</v>
      </c>
      <c r="N35" s="152">
        <v>223.79871000000003</v>
      </c>
      <c r="O35" s="152">
        <f>SUM(C35:N35)</f>
        <v>2490.6689800000004</v>
      </c>
    </row>
    <row r="36" spans="2:15" ht="15">
      <c r="B36" s="74"/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52"/>
      <c r="O36" s="152"/>
    </row>
    <row r="37" spans="2:15" ht="15">
      <c r="B37" s="74" t="s">
        <v>466</v>
      </c>
      <c r="C37" s="152">
        <v>90.408554999999993</v>
      </c>
      <c r="D37" s="152">
        <v>93.421289999999999</v>
      </c>
      <c r="E37" s="152">
        <v>90.408554999999993</v>
      </c>
      <c r="F37" s="152">
        <v>93.421289999999999</v>
      </c>
      <c r="G37" s="152">
        <v>93.421289999999999</v>
      </c>
      <c r="H37" s="152">
        <v>90.408554999999993</v>
      </c>
      <c r="I37" s="152">
        <v>93.421289999999999</v>
      </c>
      <c r="J37" s="152">
        <v>60.272369999999995</v>
      </c>
      <c r="K37" s="152">
        <v>63.285104999999994</v>
      </c>
      <c r="L37" s="152">
        <v>93.421289999999999</v>
      </c>
      <c r="M37" s="152">
        <v>84.380139999999983</v>
      </c>
      <c r="N37" s="152">
        <v>93.421289999999999</v>
      </c>
      <c r="O37" s="152">
        <f t="shared" ref="O37" si="6">SUM(C37:N37)</f>
        <v>1039.69102</v>
      </c>
    </row>
    <row r="38" spans="2:15" ht="15">
      <c r="B38" s="43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</row>
    <row r="39" spans="2:15" ht="15">
      <c r="B39" s="45" t="s">
        <v>139</v>
      </c>
      <c r="C39" s="133">
        <f>C35+C37</f>
        <v>306.99</v>
      </c>
      <c r="D39" s="133">
        <f t="shared" ref="D39:N39" si="7">D35+D37</f>
        <v>317.22000000000003</v>
      </c>
      <c r="E39" s="133">
        <f t="shared" si="7"/>
        <v>306.99</v>
      </c>
      <c r="F39" s="133">
        <f t="shared" si="7"/>
        <v>317.22000000000003</v>
      </c>
      <c r="G39" s="133">
        <f t="shared" si="7"/>
        <v>317.22000000000003</v>
      </c>
      <c r="H39" s="133">
        <f t="shared" si="7"/>
        <v>306.99</v>
      </c>
      <c r="I39" s="133">
        <f t="shared" si="7"/>
        <v>317.22000000000003</v>
      </c>
      <c r="J39" s="133">
        <f t="shared" si="7"/>
        <v>204.66</v>
      </c>
      <c r="K39" s="133">
        <f t="shared" si="7"/>
        <v>214.89</v>
      </c>
      <c r="L39" s="133">
        <f t="shared" si="7"/>
        <v>317.22000000000003</v>
      </c>
      <c r="M39" s="133">
        <f t="shared" si="7"/>
        <v>286.52</v>
      </c>
      <c r="N39" s="133">
        <f t="shared" si="7"/>
        <v>317.22000000000003</v>
      </c>
      <c r="O39" s="133">
        <f>O35+O37</f>
        <v>3530.3600000000006</v>
      </c>
    </row>
    <row r="41" spans="2:15" ht="15">
      <c r="B41" s="30" t="s">
        <v>471</v>
      </c>
      <c r="C41" s="76"/>
      <c r="D41" s="76"/>
      <c r="E41" s="76"/>
      <c r="F41" s="76"/>
      <c r="G41" s="76"/>
      <c r="H41" s="76"/>
      <c r="I41" s="41"/>
    </row>
    <row r="42" spans="2:15" ht="15">
      <c r="B42" s="30" t="s">
        <v>8</v>
      </c>
      <c r="C42" s="31"/>
      <c r="D42" s="31"/>
      <c r="O42" s="31" t="s">
        <v>140</v>
      </c>
    </row>
    <row r="43" spans="2:15" ht="15">
      <c r="B43" s="37" t="s">
        <v>373</v>
      </c>
      <c r="C43" s="37" t="s">
        <v>141</v>
      </c>
      <c r="D43" s="37" t="s">
        <v>142</v>
      </c>
      <c r="E43" s="113" t="s">
        <v>143</v>
      </c>
      <c r="F43" s="113" t="s">
        <v>144</v>
      </c>
      <c r="G43" s="113" t="s">
        <v>145</v>
      </c>
      <c r="H43" s="113" t="s">
        <v>146</v>
      </c>
      <c r="I43" s="113" t="s">
        <v>147</v>
      </c>
      <c r="J43" s="113" t="s">
        <v>148</v>
      </c>
      <c r="K43" s="113" t="s">
        <v>149</v>
      </c>
      <c r="L43" s="113" t="s">
        <v>150</v>
      </c>
      <c r="M43" s="113" t="s">
        <v>151</v>
      </c>
      <c r="N43" s="113" t="s">
        <v>152</v>
      </c>
      <c r="O43" s="113" t="s">
        <v>139</v>
      </c>
    </row>
    <row r="44" spans="2:15" ht="15">
      <c r="B44" s="74" t="s">
        <v>465</v>
      </c>
      <c r="C44" s="152">
        <v>204.55267000000001</v>
      </c>
      <c r="D44" s="152">
        <v>211.36780000000002</v>
      </c>
      <c r="E44" s="152">
        <v>204.55267000000001</v>
      </c>
      <c r="F44" s="152">
        <v>211.36780000000002</v>
      </c>
      <c r="G44" s="152">
        <v>211.36780000000002</v>
      </c>
      <c r="H44" s="152">
        <v>204.55267000000001</v>
      </c>
      <c r="I44" s="152">
        <v>211.36780000000002</v>
      </c>
      <c r="J44" s="152">
        <v>204.55267000000001</v>
      </c>
      <c r="K44" s="152">
        <v>211.36780000000002</v>
      </c>
      <c r="L44" s="152">
        <v>211.36780000000002</v>
      </c>
      <c r="M44" s="152">
        <v>190.91535500000001</v>
      </c>
      <c r="N44" s="152">
        <v>211.36780000000002</v>
      </c>
      <c r="O44" s="152">
        <f>SUM(C44:N44)</f>
        <v>2488.7006350000001</v>
      </c>
    </row>
    <row r="45" spans="2:15" ht="15">
      <c r="B45" s="74"/>
      <c r="C45" s="152"/>
      <c r="D45" s="152"/>
      <c r="E45" s="152"/>
      <c r="F45" s="152"/>
      <c r="G45" s="152"/>
      <c r="H45" s="152"/>
      <c r="I45" s="152"/>
      <c r="J45" s="152"/>
      <c r="K45" s="152"/>
      <c r="L45" s="152"/>
      <c r="M45" s="152"/>
      <c r="N45" s="152"/>
      <c r="O45" s="152"/>
    </row>
    <row r="46" spans="2:15" ht="15">
      <c r="B46" s="74" t="s">
        <v>466</v>
      </c>
      <c r="C46" s="152">
        <v>85.387329999999992</v>
      </c>
      <c r="D46" s="152">
        <v>88.232200000000006</v>
      </c>
      <c r="E46" s="152">
        <v>85.387329999999992</v>
      </c>
      <c r="F46" s="152">
        <v>88.232200000000006</v>
      </c>
      <c r="G46" s="152">
        <v>88.232200000000006</v>
      </c>
      <c r="H46" s="152">
        <v>85.387329999999992</v>
      </c>
      <c r="I46" s="152">
        <v>88.232200000000006</v>
      </c>
      <c r="J46" s="152">
        <v>85.387329999999992</v>
      </c>
      <c r="K46" s="152">
        <v>88.232200000000006</v>
      </c>
      <c r="L46" s="152">
        <v>88.232200000000006</v>
      </c>
      <c r="M46" s="152">
        <v>79.694644999999994</v>
      </c>
      <c r="N46" s="152">
        <v>88.232200000000006</v>
      </c>
      <c r="O46" s="152">
        <f t="shared" ref="O46" si="8">SUM(C46:N46)</f>
        <v>1038.8693650000002</v>
      </c>
    </row>
    <row r="47" spans="2:15" ht="15">
      <c r="B47" s="43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</row>
    <row r="48" spans="2:15" ht="15">
      <c r="B48" s="45" t="s">
        <v>139</v>
      </c>
      <c r="C48" s="133">
        <f>C44+C46</f>
        <v>289.94</v>
      </c>
      <c r="D48" s="133">
        <f t="shared" ref="D48:O48" si="9">D44+D46</f>
        <v>299.60000000000002</v>
      </c>
      <c r="E48" s="133">
        <f t="shared" si="9"/>
        <v>289.94</v>
      </c>
      <c r="F48" s="133">
        <f t="shared" si="9"/>
        <v>299.60000000000002</v>
      </c>
      <c r="G48" s="133">
        <f t="shared" si="9"/>
        <v>299.60000000000002</v>
      </c>
      <c r="H48" s="133">
        <f t="shared" si="9"/>
        <v>289.94</v>
      </c>
      <c r="I48" s="133">
        <f t="shared" si="9"/>
        <v>299.60000000000002</v>
      </c>
      <c r="J48" s="133">
        <f t="shared" si="9"/>
        <v>289.94</v>
      </c>
      <c r="K48" s="133">
        <f t="shared" si="9"/>
        <v>299.60000000000002</v>
      </c>
      <c r="L48" s="133">
        <f t="shared" si="9"/>
        <v>299.60000000000002</v>
      </c>
      <c r="M48" s="133">
        <f t="shared" si="9"/>
        <v>270.61</v>
      </c>
      <c r="N48" s="133">
        <f t="shared" si="9"/>
        <v>299.60000000000002</v>
      </c>
      <c r="O48" s="133">
        <f t="shared" si="9"/>
        <v>3527.5700000000006</v>
      </c>
    </row>
    <row r="51" spans="2:15" ht="15">
      <c r="B51" s="30" t="s">
        <v>472</v>
      </c>
      <c r="C51" s="76"/>
      <c r="D51" s="76"/>
      <c r="E51" s="76"/>
      <c r="F51" s="76"/>
      <c r="G51" s="76"/>
      <c r="H51" s="76"/>
      <c r="I51" s="41"/>
    </row>
    <row r="52" spans="2:15" ht="15">
      <c r="B52" s="30" t="s">
        <v>8</v>
      </c>
      <c r="C52" s="31"/>
      <c r="D52" s="31"/>
      <c r="O52" s="31" t="s">
        <v>140</v>
      </c>
    </row>
    <row r="53" spans="2:15" ht="15">
      <c r="B53" s="37" t="s">
        <v>373</v>
      </c>
      <c r="C53" s="37" t="s">
        <v>141</v>
      </c>
      <c r="D53" s="37" t="s">
        <v>142</v>
      </c>
      <c r="E53" s="113" t="s">
        <v>143</v>
      </c>
      <c r="F53" s="113" t="s">
        <v>144</v>
      </c>
      <c r="G53" s="113" t="s">
        <v>145</v>
      </c>
      <c r="H53" s="113" t="s">
        <v>146</v>
      </c>
      <c r="I53" s="113" t="s">
        <v>147</v>
      </c>
      <c r="J53" s="113" t="s">
        <v>148</v>
      </c>
      <c r="K53" s="113" t="s">
        <v>149</v>
      </c>
      <c r="L53" s="113" t="s">
        <v>150</v>
      </c>
      <c r="M53" s="113" t="s">
        <v>151</v>
      </c>
      <c r="N53" s="113" t="s">
        <v>152</v>
      </c>
      <c r="O53" s="113" t="s">
        <v>139</v>
      </c>
    </row>
    <row r="54" spans="2:15" ht="15">
      <c r="B54" s="74" t="s">
        <v>465</v>
      </c>
      <c r="C54" s="152">
        <v>233.428785</v>
      </c>
      <c r="D54" s="152">
        <v>241.21044999999998</v>
      </c>
      <c r="E54" s="152">
        <v>0</v>
      </c>
      <c r="F54" s="152">
        <v>124.49253</v>
      </c>
      <c r="G54" s="152">
        <v>241.21044999999998</v>
      </c>
      <c r="H54" s="152">
        <v>233.428785</v>
      </c>
      <c r="I54" s="152">
        <v>241.21044999999998</v>
      </c>
      <c r="J54" s="152">
        <v>233.428785</v>
      </c>
      <c r="K54" s="152">
        <v>241.21044999999998</v>
      </c>
      <c r="L54" s="152">
        <v>241.21044999999998</v>
      </c>
      <c r="M54" s="152">
        <v>225.64712</v>
      </c>
      <c r="N54" s="152">
        <v>241.21044999999998</v>
      </c>
      <c r="O54" s="152">
        <f>SUM(C54:N54)</f>
        <v>2497.688705</v>
      </c>
    </row>
    <row r="55" spans="2:15" ht="15">
      <c r="B55" s="74"/>
      <c r="C55" s="152"/>
      <c r="D55" s="152"/>
      <c r="E55" s="152"/>
      <c r="F55" s="152"/>
      <c r="G55" s="152"/>
      <c r="H55" s="152"/>
      <c r="I55" s="152"/>
      <c r="J55" s="152"/>
      <c r="K55" s="152"/>
      <c r="L55" s="152"/>
      <c r="M55" s="152"/>
      <c r="N55" s="152"/>
      <c r="O55" s="152"/>
    </row>
    <row r="56" spans="2:15" ht="15">
      <c r="B56" s="74" t="s">
        <v>466</v>
      </c>
      <c r="C56" s="152">
        <v>97.441215</v>
      </c>
      <c r="D56" s="152">
        <v>100.68954999999998</v>
      </c>
      <c r="E56" s="152">
        <v>0</v>
      </c>
      <c r="F56" s="152">
        <v>51.967469999999999</v>
      </c>
      <c r="G56" s="152">
        <v>100.68954999999998</v>
      </c>
      <c r="H56" s="152">
        <v>97.441215</v>
      </c>
      <c r="I56" s="152">
        <v>100.68954999999998</v>
      </c>
      <c r="J56" s="152">
        <v>97.441215</v>
      </c>
      <c r="K56" s="152">
        <v>100.68954999999998</v>
      </c>
      <c r="L56" s="152">
        <v>100.68954999999998</v>
      </c>
      <c r="M56" s="152">
        <v>94.192879999999988</v>
      </c>
      <c r="N56" s="152">
        <v>100.68954999999998</v>
      </c>
      <c r="O56" s="152">
        <f t="shared" ref="O56" si="10">SUM(C56:N56)</f>
        <v>1042.6212949999997</v>
      </c>
    </row>
    <row r="57" spans="2:15" ht="15">
      <c r="B57" s="43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</row>
    <row r="58" spans="2:15" ht="15">
      <c r="B58" s="45" t="s">
        <v>139</v>
      </c>
      <c r="C58" s="133">
        <f>C54+C56</f>
        <v>330.87</v>
      </c>
      <c r="D58" s="133">
        <f t="shared" ref="D58:N58" si="11">D54+D56</f>
        <v>341.9</v>
      </c>
      <c r="E58" s="133">
        <f t="shared" si="11"/>
        <v>0</v>
      </c>
      <c r="F58" s="133">
        <f t="shared" si="11"/>
        <v>176.46</v>
      </c>
      <c r="G58" s="133">
        <f t="shared" si="11"/>
        <v>341.9</v>
      </c>
      <c r="H58" s="133">
        <f t="shared" si="11"/>
        <v>330.87</v>
      </c>
      <c r="I58" s="133">
        <f t="shared" si="11"/>
        <v>341.9</v>
      </c>
      <c r="J58" s="133">
        <f t="shared" si="11"/>
        <v>330.87</v>
      </c>
      <c r="K58" s="133">
        <f t="shared" si="11"/>
        <v>341.9</v>
      </c>
      <c r="L58" s="133">
        <f t="shared" si="11"/>
        <v>341.9</v>
      </c>
      <c r="M58" s="133">
        <f t="shared" si="11"/>
        <v>319.83999999999997</v>
      </c>
      <c r="N58" s="133">
        <f t="shared" si="11"/>
        <v>341.9</v>
      </c>
      <c r="O58" s="133">
        <f>O54+O56</f>
        <v>3540.3099999999995</v>
      </c>
    </row>
    <row r="61" spans="2:15" ht="15">
      <c r="B61" s="30" t="s">
        <v>473</v>
      </c>
      <c r="C61" s="76"/>
      <c r="D61" s="76"/>
      <c r="E61" s="76"/>
      <c r="F61" s="76"/>
      <c r="G61" s="76"/>
      <c r="H61" s="76"/>
      <c r="I61" s="41"/>
    </row>
    <row r="62" spans="2:15" ht="15">
      <c r="B62" s="30" t="s">
        <v>8</v>
      </c>
      <c r="C62" s="31"/>
      <c r="D62" s="31"/>
      <c r="O62" s="31" t="s">
        <v>140</v>
      </c>
    </row>
    <row r="63" spans="2:15" ht="15">
      <c r="B63" s="37" t="s">
        <v>373</v>
      </c>
      <c r="C63" s="37" t="s">
        <v>141</v>
      </c>
      <c r="D63" s="37" t="s">
        <v>142</v>
      </c>
      <c r="E63" s="113" t="s">
        <v>143</v>
      </c>
      <c r="F63" s="113" t="s">
        <v>144</v>
      </c>
      <c r="G63" s="113" t="s">
        <v>145</v>
      </c>
      <c r="H63" s="113" t="s">
        <v>146</v>
      </c>
      <c r="I63" s="113" t="s">
        <v>147</v>
      </c>
      <c r="J63" s="113" t="s">
        <v>148</v>
      </c>
      <c r="K63" s="113" t="s">
        <v>149</v>
      </c>
      <c r="L63" s="113" t="s">
        <v>150</v>
      </c>
      <c r="M63" s="113" t="s">
        <v>151</v>
      </c>
      <c r="N63" s="113" t="s">
        <v>152</v>
      </c>
      <c r="O63" s="113" t="s">
        <v>139</v>
      </c>
    </row>
    <row r="64" spans="2:15" ht="15">
      <c r="B64" s="74" t="s">
        <v>465</v>
      </c>
      <c r="C64" s="152">
        <v>204.55267000000001</v>
      </c>
      <c r="D64" s="152">
        <v>211.36780000000002</v>
      </c>
      <c r="E64" s="152">
        <v>204.55267000000001</v>
      </c>
      <c r="F64" s="152">
        <v>211.36780000000002</v>
      </c>
      <c r="G64" s="152">
        <v>211.36780000000002</v>
      </c>
      <c r="H64" s="152">
        <v>204.55267000000001</v>
      </c>
      <c r="I64" s="152">
        <v>211.36780000000002</v>
      </c>
      <c r="J64" s="152">
        <v>204.55267000000001</v>
      </c>
      <c r="K64" s="152">
        <v>211.36780000000002</v>
      </c>
      <c r="L64" s="152">
        <v>211.36780000000002</v>
      </c>
      <c r="M64" s="152">
        <v>190.91535500000001</v>
      </c>
      <c r="N64" s="152">
        <v>211.36780000000002</v>
      </c>
      <c r="O64" s="152">
        <f>SUM(C64:N64)</f>
        <v>2488.7006350000001</v>
      </c>
    </row>
    <row r="65" spans="2:15" ht="15">
      <c r="B65" s="74"/>
      <c r="C65" s="152"/>
      <c r="D65" s="152"/>
      <c r="E65" s="152"/>
      <c r="F65" s="152"/>
      <c r="G65" s="152"/>
      <c r="H65" s="152"/>
      <c r="I65" s="152"/>
      <c r="J65" s="152"/>
      <c r="K65" s="152"/>
      <c r="L65" s="152"/>
      <c r="M65" s="152"/>
      <c r="N65" s="152"/>
      <c r="O65" s="152"/>
    </row>
    <row r="66" spans="2:15" ht="15">
      <c r="B66" s="74" t="s">
        <v>466</v>
      </c>
      <c r="C66" s="152">
        <v>85.387329999999992</v>
      </c>
      <c r="D66" s="152">
        <v>88.232200000000006</v>
      </c>
      <c r="E66" s="152">
        <v>85.387329999999992</v>
      </c>
      <c r="F66" s="152">
        <v>88.232200000000006</v>
      </c>
      <c r="G66" s="152">
        <v>88.232200000000006</v>
      </c>
      <c r="H66" s="152">
        <v>85.387329999999992</v>
      </c>
      <c r="I66" s="152">
        <v>88.232200000000006</v>
      </c>
      <c r="J66" s="152">
        <v>85.387329999999992</v>
      </c>
      <c r="K66" s="152">
        <v>88.232200000000006</v>
      </c>
      <c r="L66" s="152">
        <v>88.232200000000006</v>
      </c>
      <c r="M66" s="152">
        <v>79.694644999999994</v>
      </c>
      <c r="N66" s="152">
        <v>88.232200000000006</v>
      </c>
      <c r="O66" s="152">
        <f t="shared" ref="O66" si="12">SUM(C66:N66)</f>
        <v>1038.8693650000002</v>
      </c>
    </row>
    <row r="67" spans="2:15" ht="15">
      <c r="B67" s="43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</row>
    <row r="68" spans="2:15" ht="15">
      <c r="B68" s="45" t="s">
        <v>139</v>
      </c>
      <c r="C68" s="133">
        <f>C64+C66</f>
        <v>289.94</v>
      </c>
      <c r="D68" s="133">
        <f t="shared" ref="D68:O68" si="13">D64+D66</f>
        <v>299.60000000000002</v>
      </c>
      <c r="E68" s="133">
        <f t="shared" si="13"/>
        <v>289.94</v>
      </c>
      <c r="F68" s="133">
        <f t="shared" si="13"/>
        <v>299.60000000000002</v>
      </c>
      <c r="G68" s="133">
        <f t="shared" si="13"/>
        <v>299.60000000000002</v>
      </c>
      <c r="H68" s="133">
        <f t="shared" si="13"/>
        <v>289.94</v>
      </c>
      <c r="I68" s="133">
        <f t="shared" si="13"/>
        <v>299.60000000000002</v>
      </c>
      <c r="J68" s="133">
        <f t="shared" si="13"/>
        <v>289.94</v>
      </c>
      <c r="K68" s="133">
        <f t="shared" si="13"/>
        <v>299.60000000000002</v>
      </c>
      <c r="L68" s="133">
        <f t="shared" si="13"/>
        <v>299.60000000000002</v>
      </c>
      <c r="M68" s="133">
        <f t="shared" si="13"/>
        <v>270.61</v>
      </c>
      <c r="N68" s="133">
        <f t="shared" si="13"/>
        <v>299.60000000000002</v>
      </c>
      <c r="O68" s="133">
        <f t="shared" si="13"/>
        <v>3527.5700000000006</v>
      </c>
    </row>
  </sheetData>
  <mergeCells count="6">
    <mergeCell ref="B15:B16"/>
    <mergeCell ref="I15:N15"/>
    <mergeCell ref="C15:H15"/>
    <mergeCell ref="B2:O2"/>
    <mergeCell ref="B3:O3"/>
    <mergeCell ref="B4:O4"/>
  </mergeCells>
  <pageMargins left="0" right="0" top="0" bottom="0" header="0.25" footer="0.25"/>
  <pageSetup paperSize="9" scale="57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31"/>
  <sheetViews>
    <sheetView showGridLines="0" zoomScale="95" zoomScaleNormal="95" workbookViewId="0">
      <selection activeCell="C7" sqref="C7"/>
    </sheetView>
  </sheetViews>
  <sheetFormatPr defaultColWidth="9.28515625" defaultRowHeight="14.25"/>
  <cols>
    <col min="1" max="1" width="2.42578125" style="19" customWidth="1"/>
    <col min="2" max="2" width="5" style="19" customWidth="1"/>
    <col min="3" max="3" width="40.5703125" style="19" customWidth="1"/>
    <col min="4" max="4" width="13" style="19" customWidth="1"/>
    <col min="5" max="5" width="9.85546875" style="19" customWidth="1"/>
    <col min="6" max="6" width="10.42578125" style="19" customWidth="1"/>
    <col min="7" max="7" width="9" style="19" customWidth="1"/>
    <col min="8" max="8" width="9.7109375" style="19" customWidth="1"/>
    <col min="9" max="9" width="10" style="19" customWidth="1"/>
    <col min="10" max="10" width="11.140625" style="19" customWidth="1"/>
    <col min="11" max="11" width="9.5703125" style="19" customWidth="1"/>
    <col min="12" max="12" width="8.42578125" style="19" customWidth="1"/>
    <col min="13" max="13" width="9.7109375" style="19" customWidth="1"/>
    <col min="14" max="15" width="9" style="19" customWidth="1"/>
    <col min="16" max="16" width="10" style="19" customWidth="1"/>
    <col min="17" max="17" width="14.28515625" style="62" customWidth="1"/>
    <col min="18" max="16384" width="9.28515625" style="19"/>
  </cols>
  <sheetData>
    <row r="1" spans="2:17" s="5" customFormat="1" ht="15">
      <c r="B1" s="112"/>
      <c r="Q1" s="40"/>
    </row>
    <row r="2" spans="2:17" s="5" customFormat="1" ht="15" customHeight="1">
      <c r="Q2" s="40"/>
    </row>
    <row r="3" spans="2:17" s="5" customFormat="1" ht="15" customHeight="1">
      <c r="B3" s="314" t="s">
        <v>511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</row>
    <row r="4" spans="2:17" s="5" customFormat="1" ht="15" customHeight="1">
      <c r="B4" s="314" t="s">
        <v>500</v>
      </c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</row>
    <row r="5" spans="2:17" ht="15">
      <c r="B5" s="30" t="s">
        <v>506</v>
      </c>
      <c r="I5" s="41" t="s">
        <v>376</v>
      </c>
    </row>
    <row r="6" spans="2:17" ht="15">
      <c r="B6" s="42" t="s">
        <v>12</v>
      </c>
    </row>
    <row r="7" spans="2:17" ht="30">
      <c r="B7" s="114" t="s">
        <v>200</v>
      </c>
      <c r="C7" s="114" t="s">
        <v>18</v>
      </c>
      <c r="D7" s="114" t="s">
        <v>39</v>
      </c>
      <c r="E7" s="37" t="s">
        <v>141</v>
      </c>
      <c r="F7" s="37" t="s">
        <v>142</v>
      </c>
      <c r="G7" s="113" t="s">
        <v>143</v>
      </c>
      <c r="H7" s="113" t="s">
        <v>144</v>
      </c>
      <c r="I7" s="113" t="s">
        <v>145</v>
      </c>
      <c r="J7" s="113" t="s">
        <v>146</v>
      </c>
      <c r="K7" s="113" t="s">
        <v>147</v>
      </c>
      <c r="L7" s="113" t="s">
        <v>148</v>
      </c>
      <c r="M7" s="113" t="s">
        <v>149</v>
      </c>
      <c r="N7" s="113" t="s">
        <v>150</v>
      </c>
      <c r="O7" s="113" t="s">
        <v>151</v>
      </c>
      <c r="P7" s="113" t="s">
        <v>152</v>
      </c>
      <c r="Q7" s="115" t="s">
        <v>139</v>
      </c>
    </row>
    <row r="8" spans="2:17">
      <c r="B8" s="116">
        <v>1</v>
      </c>
      <c r="C8" s="117" t="s">
        <v>174</v>
      </c>
      <c r="D8" s="116" t="s">
        <v>42</v>
      </c>
      <c r="E8" s="118">
        <v>80</v>
      </c>
      <c r="F8" s="118">
        <v>80</v>
      </c>
      <c r="G8" s="118">
        <v>80</v>
      </c>
      <c r="H8" s="118">
        <v>80</v>
      </c>
      <c r="I8" s="118">
        <v>80</v>
      </c>
      <c r="J8" s="118">
        <v>80</v>
      </c>
      <c r="K8" s="118">
        <v>80</v>
      </c>
      <c r="L8" s="118">
        <v>80</v>
      </c>
      <c r="M8" s="118">
        <v>80</v>
      </c>
      <c r="N8" s="118">
        <v>80</v>
      </c>
      <c r="O8" s="118">
        <v>80</v>
      </c>
      <c r="P8" s="118">
        <v>80</v>
      </c>
      <c r="Q8" s="118">
        <v>80</v>
      </c>
    </row>
    <row r="9" spans="2:17">
      <c r="B9" s="116">
        <f>B8+1</f>
        <v>2</v>
      </c>
      <c r="C9" s="117" t="s">
        <v>201</v>
      </c>
      <c r="D9" s="116" t="s">
        <v>42</v>
      </c>
      <c r="E9" s="118">
        <v>81.819999999999993</v>
      </c>
      <c r="F9" s="118">
        <v>87.54</v>
      </c>
      <c r="G9" s="118">
        <v>89.26</v>
      </c>
      <c r="H9" s="118">
        <v>95.37</v>
      </c>
      <c r="I9" s="118">
        <v>96.85</v>
      </c>
      <c r="J9" s="118">
        <v>88.18</v>
      </c>
      <c r="K9" s="118">
        <v>93.32</v>
      </c>
      <c r="L9" s="118">
        <v>93.59</v>
      </c>
      <c r="M9" s="118">
        <v>86.67</v>
      </c>
      <c r="N9" s="118">
        <v>88.91</v>
      </c>
      <c r="O9" s="118">
        <v>92.31</v>
      </c>
      <c r="P9" s="118">
        <v>92.31</v>
      </c>
      <c r="Q9" s="118">
        <v>82.26</v>
      </c>
    </row>
    <row r="10" spans="2:17">
      <c r="B10" s="116">
        <f t="shared" ref="B10:B26" si="0">B9+1</f>
        <v>3</v>
      </c>
      <c r="C10" s="117" t="s">
        <v>202</v>
      </c>
      <c r="D10" s="116" t="s">
        <v>42</v>
      </c>
      <c r="E10" s="118">
        <v>86.32</v>
      </c>
      <c r="F10" s="118">
        <v>86.72</v>
      </c>
      <c r="G10" s="118">
        <v>87.36</v>
      </c>
      <c r="H10" s="118">
        <v>88.99</v>
      </c>
      <c r="I10" s="118">
        <v>90.28</v>
      </c>
      <c r="J10" s="118">
        <v>89.97</v>
      </c>
      <c r="K10" s="118">
        <v>90.38</v>
      </c>
      <c r="L10" s="118">
        <v>90.75</v>
      </c>
      <c r="M10" s="118">
        <v>90.33</v>
      </c>
      <c r="N10" s="118">
        <v>90.21</v>
      </c>
      <c r="O10" s="118">
        <v>90.39</v>
      </c>
      <c r="P10" s="118">
        <v>90.39</v>
      </c>
      <c r="Q10" s="118"/>
    </row>
    <row r="11" spans="2:17">
      <c r="B11" s="116">
        <f t="shared" si="0"/>
        <v>4</v>
      </c>
      <c r="C11" s="117" t="s">
        <v>43</v>
      </c>
      <c r="D11" s="116" t="s">
        <v>42</v>
      </c>
      <c r="E11" s="118">
        <v>80</v>
      </c>
      <c r="F11" s="118">
        <v>80</v>
      </c>
      <c r="G11" s="118">
        <v>80</v>
      </c>
      <c r="H11" s="118">
        <v>80</v>
      </c>
      <c r="I11" s="118">
        <v>80</v>
      </c>
      <c r="J11" s="118">
        <v>80</v>
      </c>
      <c r="K11" s="118">
        <v>80</v>
      </c>
      <c r="L11" s="118">
        <v>80</v>
      </c>
      <c r="M11" s="118">
        <v>80</v>
      </c>
      <c r="N11" s="118">
        <v>80</v>
      </c>
      <c r="O11" s="118">
        <v>80</v>
      </c>
      <c r="P11" s="118">
        <v>80</v>
      </c>
      <c r="Q11" s="118">
        <v>80</v>
      </c>
    </row>
    <row r="12" spans="2:17">
      <c r="B12" s="116">
        <f t="shared" si="0"/>
        <v>5</v>
      </c>
      <c r="C12" s="117" t="s">
        <v>203</v>
      </c>
      <c r="D12" s="116" t="s">
        <v>42</v>
      </c>
      <c r="E12" s="118">
        <v>76.290000000000006</v>
      </c>
      <c r="F12" s="118">
        <v>82.81</v>
      </c>
      <c r="G12" s="118">
        <v>84.79</v>
      </c>
      <c r="H12" s="118">
        <v>86.94</v>
      </c>
      <c r="I12" s="118">
        <v>85.03</v>
      </c>
      <c r="J12" s="118">
        <v>68.63</v>
      </c>
      <c r="K12" s="118">
        <v>85.69</v>
      </c>
      <c r="L12" s="118">
        <v>84.76</v>
      </c>
      <c r="M12" s="118">
        <v>80.98</v>
      </c>
      <c r="N12" s="118">
        <v>85.86</v>
      </c>
      <c r="O12" s="118">
        <v>89.6</v>
      </c>
      <c r="P12" s="118">
        <v>89.6</v>
      </c>
      <c r="Q12" s="118"/>
    </row>
    <row r="13" spans="2:17">
      <c r="B13" s="116">
        <f t="shared" si="0"/>
        <v>6</v>
      </c>
      <c r="C13" s="117" t="s">
        <v>204</v>
      </c>
      <c r="D13" s="116" t="s">
        <v>42</v>
      </c>
      <c r="E13" s="118">
        <v>81.209999999999994</v>
      </c>
      <c r="F13" s="118">
        <v>81.739999999999995</v>
      </c>
      <c r="G13" s="118">
        <v>82.51</v>
      </c>
      <c r="H13" s="118">
        <v>83.41</v>
      </c>
      <c r="I13" s="118">
        <v>83.68</v>
      </c>
      <c r="J13" s="118">
        <v>81.5</v>
      </c>
      <c r="K13" s="118">
        <v>82.01</v>
      </c>
      <c r="L13" s="118">
        <v>82.32</v>
      </c>
      <c r="M13" s="118">
        <v>82.19</v>
      </c>
      <c r="N13" s="118">
        <v>82.49</v>
      </c>
      <c r="O13" s="118">
        <v>83.1</v>
      </c>
      <c r="P13" s="118">
        <v>83.1</v>
      </c>
      <c r="Q13" s="118"/>
    </row>
    <row r="14" spans="2:17">
      <c r="B14" s="116">
        <f t="shared" si="0"/>
        <v>7</v>
      </c>
      <c r="C14" s="110" t="s">
        <v>205</v>
      </c>
      <c r="D14" s="120" t="s">
        <v>45</v>
      </c>
      <c r="E14" s="118">
        <v>283.78399999999999</v>
      </c>
      <c r="F14" s="118">
        <v>298.13200000000001</v>
      </c>
      <c r="G14" s="118">
        <v>315.42</v>
      </c>
      <c r="H14" s="118">
        <v>323.42</v>
      </c>
      <c r="I14" s="118">
        <v>306.09199999999998</v>
      </c>
      <c r="J14" s="118">
        <v>255.28800000000001</v>
      </c>
      <c r="K14" s="118">
        <v>308.49200000000002</v>
      </c>
      <c r="L14" s="118">
        <v>315.32</v>
      </c>
      <c r="M14" s="118">
        <v>301.26400000000001</v>
      </c>
      <c r="N14" s="118">
        <v>288.5</v>
      </c>
      <c r="O14" s="118">
        <v>333.32</v>
      </c>
      <c r="P14" s="118">
        <v>333.32</v>
      </c>
      <c r="Q14" s="118">
        <f>SUM(E14:P14)</f>
        <v>3662.3520000000008</v>
      </c>
    </row>
    <row r="15" spans="2:17">
      <c r="B15" s="116">
        <f t="shared" si="0"/>
        <v>8</v>
      </c>
      <c r="C15" s="110" t="s">
        <v>206</v>
      </c>
      <c r="D15" s="120" t="s">
        <v>45</v>
      </c>
      <c r="E15" s="118">
        <v>14.98709999999565</v>
      </c>
      <c r="F15" s="118">
        <v>14.3483</v>
      </c>
      <c r="G15" s="118">
        <v>15.1143</v>
      </c>
      <c r="H15" s="118">
        <v>15.2118</v>
      </c>
      <c r="I15" s="118">
        <v>14.465299999999999</v>
      </c>
      <c r="J15" s="118">
        <v>13.660899999995141</v>
      </c>
      <c r="K15" s="118">
        <v>14.813200000003159</v>
      </c>
      <c r="L15" s="118">
        <v>15.299899999997438</v>
      </c>
      <c r="M15" s="118">
        <v>15.0024</v>
      </c>
      <c r="N15" s="118">
        <v>13.794299999998271</v>
      </c>
      <c r="O15" s="118">
        <v>16.230000000000896</v>
      </c>
      <c r="P15" s="118">
        <v>16.230000000000896</v>
      </c>
      <c r="Q15" s="118">
        <f>SUM(E15:P15)</f>
        <v>179.15749999999144</v>
      </c>
    </row>
    <row r="16" spans="2:17" ht="15">
      <c r="B16" s="116">
        <f t="shared" si="0"/>
        <v>9</v>
      </c>
      <c r="C16" s="110" t="s">
        <v>224</v>
      </c>
      <c r="D16" s="120" t="s">
        <v>45</v>
      </c>
      <c r="E16" s="131">
        <f>E14-E15</f>
        <v>268.79690000000437</v>
      </c>
      <c r="F16" s="131">
        <f t="shared" ref="F16:Q16" si="1">F14-F15</f>
        <v>283.78370000000001</v>
      </c>
      <c r="G16" s="131">
        <f t="shared" si="1"/>
        <v>300.3057</v>
      </c>
      <c r="H16" s="131">
        <f t="shared" si="1"/>
        <v>308.20820000000003</v>
      </c>
      <c r="I16" s="131">
        <f t="shared" si="1"/>
        <v>291.62669999999997</v>
      </c>
      <c r="J16" s="131">
        <f t="shared" si="1"/>
        <v>241.62710000000487</v>
      </c>
      <c r="K16" s="131">
        <f t="shared" si="1"/>
        <v>293.67879999999684</v>
      </c>
      <c r="L16" s="131">
        <f t="shared" si="1"/>
        <v>300.02010000000257</v>
      </c>
      <c r="M16" s="131">
        <f t="shared" si="1"/>
        <v>286.26159999999999</v>
      </c>
      <c r="N16" s="131">
        <f t="shared" si="1"/>
        <v>274.70570000000174</v>
      </c>
      <c r="O16" s="131">
        <f t="shared" si="1"/>
        <v>317.08999999999912</v>
      </c>
      <c r="P16" s="131">
        <f t="shared" si="1"/>
        <v>317.08999999999912</v>
      </c>
      <c r="Q16" s="232">
        <f t="shared" si="1"/>
        <v>3483.1945000000092</v>
      </c>
    </row>
    <row r="17" spans="2:18" ht="16.5">
      <c r="B17" s="116">
        <f t="shared" si="0"/>
        <v>10</v>
      </c>
      <c r="C17" s="110" t="s">
        <v>225</v>
      </c>
      <c r="D17" s="120" t="s">
        <v>45</v>
      </c>
      <c r="E17" s="162">
        <f>E16-((500*1000*24*30*E11%)/1000000)</f>
        <v>-19.203099999995629</v>
      </c>
      <c r="F17" s="162">
        <f>F16-((500*1000*24*31*F11%)/1000000)</f>
        <v>-13.816300000000012</v>
      </c>
      <c r="G17" s="162">
        <f>G16-((500*1000*24*30*G11%)/1000000)</f>
        <v>12.305700000000002</v>
      </c>
      <c r="H17" s="162">
        <f>H16-((500*1000*24*31*H11%)/1000000)</f>
        <v>10.608200000000011</v>
      </c>
      <c r="I17" s="162">
        <f>I16-((500*1000*24*31*I11%)/1000000)</f>
        <v>-5.9733000000000516</v>
      </c>
      <c r="J17" s="162">
        <f>J16-((500*1000*24*30*J11%)/1000000)</f>
        <v>-46.372899999995127</v>
      </c>
      <c r="K17" s="162">
        <f>K16-((500*1000*24*31*K11%)/1000000)</f>
        <v>-3.9212000000031821</v>
      </c>
      <c r="L17" s="162">
        <f>L16-((500*1000*24*30*L11%)/1000000)</f>
        <v>12.020100000002572</v>
      </c>
      <c r="M17" s="162">
        <f>M16-((500*1000*24*31*M11%)/1000000)</f>
        <v>-11.338400000000036</v>
      </c>
      <c r="N17" s="162">
        <f>N16-((500*1000*24*31*N11%)/1000000)</f>
        <v>-22.894299999998282</v>
      </c>
      <c r="O17" s="162">
        <f>O16-((500*1000*24*28*O11%)/1000000)</f>
        <v>48.289999999999111</v>
      </c>
      <c r="P17" s="162">
        <f>P16-((500*1000*24*31*P11%)/1000000)</f>
        <v>19.4899999999991</v>
      </c>
      <c r="Q17" s="232">
        <f>SUM(E17:P17)</f>
        <v>-20.805499999991525</v>
      </c>
    </row>
    <row r="18" spans="2:18" ht="16.5">
      <c r="B18" s="116">
        <f t="shared" si="0"/>
        <v>11</v>
      </c>
      <c r="C18" s="110" t="s">
        <v>207</v>
      </c>
      <c r="D18" s="120" t="s">
        <v>211</v>
      </c>
      <c r="E18" s="163">
        <v>2.7330000000000001</v>
      </c>
      <c r="F18" s="163">
        <v>2.7330000000000001</v>
      </c>
      <c r="G18" s="163">
        <v>2.7330000000000001</v>
      </c>
      <c r="H18" s="163">
        <v>2.7330000000000001</v>
      </c>
      <c r="I18" s="163">
        <v>2.7330000000000001</v>
      </c>
      <c r="J18" s="163">
        <v>2.7330000000000001</v>
      </c>
      <c r="K18" s="163">
        <v>2.7330000000000001</v>
      </c>
      <c r="L18" s="163">
        <v>2.7330000000000001</v>
      </c>
      <c r="M18" s="163">
        <v>2.7330000000000001</v>
      </c>
      <c r="N18" s="163">
        <v>2.7330000000000001</v>
      </c>
      <c r="O18" s="163">
        <v>2.7330000000000001</v>
      </c>
      <c r="P18" s="163">
        <v>2.7330000000000001</v>
      </c>
      <c r="Q18" s="233">
        <v>2.6680000000000001</v>
      </c>
    </row>
    <row r="19" spans="2:18" ht="16.5">
      <c r="B19" s="116">
        <f t="shared" si="0"/>
        <v>12</v>
      </c>
      <c r="C19" s="110" t="s">
        <v>226</v>
      </c>
      <c r="D19" s="120" t="s">
        <v>212</v>
      </c>
      <c r="E19" s="164">
        <v>43.482499999999995</v>
      </c>
      <c r="F19" s="164">
        <v>43.482499999999995</v>
      </c>
      <c r="G19" s="164">
        <v>43.482499999999995</v>
      </c>
      <c r="H19" s="164">
        <v>43.482499999999995</v>
      </c>
      <c r="I19" s="164">
        <v>43.482499999999995</v>
      </c>
      <c r="J19" s="164">
        <v>43.482499999999995</v>
      </c>
      <c r="K19" s="164">
        <v>43.482499999999995</v>
      </c>
      <c r="L19" s="164">
        <v>43.482499999999995</v>
      </c>
      <c r="M19" s="164">
        <v>43.482499999999995</v>
      </c>
      <c r="N19" s="164">
        <v>43.482499999999995</v>
      </c>
      <c r="O19" s="164">
        <v>43.482499999999995</v>
      </c>
      <c r="P19" s="164">
        <v>43.482499999999995</v>
      </c>
      <c r="Q19" s="118">
        <f>SUM(E19:P19)</f>
        <v>521.79000000000008</v>
      </c>
    </row>
    <row r="20" spans="2:18" ht="16.5">
      <c r="B20" s="116">
        <f t="shared" si="0"/>
        <v>13</v>
      </c>
      <c r="C20" s="110" t="s">
        <v>374</v>
      </c>
      <c r="D20" s="120" t="s">
        <v>211</v>
      </c>
      <c r="E20" s="163">
        <v>3.5191184723130191</v>
      </c>
      <c r="F20" s="163">
        <v>3.396699621996254</v>
      </c>
      <c r="G20" s="163">
        <v>3.7168669044575897</v>
      </c>
      <c r="H20" s="163">
        <v>3.5497265701323708</v>
      </c>
      <c r="I20" s="163">
        <v>3.760698006116121</v>
      </c>
      <c r="J20" s="163">
        <v>3.8878361483153556</v>
      </c>
      <c r="K20" s="163">
        <v>3.7277830769859515</v>
      </c>
      <c r="L20" s="163">
        <v>3.6607448610527551</v>
      </c>
      <c r="M20" s="163">
        <v>3.7246396554773664</v>
      </c>
      <c r="N20" s="163">
        <v>3.9944556725453539</v>
      </c>
      <c r="O20" s="163">
        <v>3.6702980977398454</v>
      </c>
      <c r="P20" s="163">
        <v>3.6702980977398454</v>
      </c>
      <c r="Q20" s="234">
        <v>3.6287570059104328</v>
      </c>
    </row>
    <row r="21" spans="2:18" ht="16.5">
      <c r="B21" s="116">
        <f t="shared" si="0"/>
        <v>14</v>
      </c>
      <c r="C21" s="110" t="s">
        <v>208</v>
      </c>
      <c r="D21" s="120" t="s">
        <v>212</v>
      </c>
      <c r="E21" s="164">
        <v>43.482499999999995</v>
      </c>
      <c r="F21" s="164">
        <v>43.482500000000002</v>
      </c>
      <c r="G21" s="164">
        <v>43.482499999999987</v>
      </c>
      <c r="H21" s="164">
        <v>43.482499999999987</v>
      </c>
      <c r="I21" s="164">
        <v>43.482500000000016</v>
      </c>
      <c r="J21" s="164">
        <v>43.482499999999959</v>
      </c>
      <c r="K21" s="164">
        <v>43.482500000000016</v>
      </c>
      <c r="L21" s="164">
        <v>43.482500000000016</v>
      </c>
      <c r="M21" s="164">
        <v>43.482499999999959</v>
      </c>
      <c r="N21" s="164">
        <v>43.482500000000016</v>
      </c>
      <c r="O21" s="164">
        <v>43.482500000000016</v>
      </c>
      <c r="P21" s="164">
        <v>43.482500000000016</v>
      </c>
      <c r="Q21" s="118">
        <f>SUM(E21:P21)</f>
        <v>521.79</v>
      </c>
    </row>
    <row r="22" spans="2:18" ht="16.5">
      <c r="B22" s="116">
        <f t="shared" si="0"/>
        <v>15</v>
      </c>
      <c r="C22" s="110" t="s">
        <v>375</v>
      </c>
      <c r="D22" s="120" t="s">
        <v>212</v>
      </c>
      <c r="E22" s="164">
        <v>73.462192770001181</v>
      </c>
      <c r="F22" s="164">
        <v>77.558085209998964</v>
      </c>
      <c r="G22" s="164">
        <v>82.073547810000008</v>
      </c>
      <c r="H22" s="164">
        <v>84.23330105999986</v>
      </c>
      <c r="I22" s="164">
        <v>79.701577110000002</v>
      </c>
      <c r="J22" s="164">
        <v>66.036686430001325</v>
      </c>
      <c r="K22" s="164">
        <v>80.262416000000002</v>
      </c>
      <c r="L22" s="164">
        <v>81.995493330000699</v>
      </c>
      <c r="M22" s="164">
        <v>78.235295279999477</v>
      </c>
      <c r="N22" s="164">
        <v>75.077067810000472</v>
      </c>
      <c r="O22" s="164">
        <v>86.660696999999757</v>
      </c>
      <c r="P22" s="164">
        <v>86.660696999999757</v>
      </c>
      <c r="Q22" s="118">
        <f t="shared" ref="Q22:Q23" si="2">SUM(E22:P22)</f>
        <v>951.95705681000163</v>
      </c>
    </row>
    <row r="23" spans="2:18" ht="16.5">
      <c r="B23" s="116">
        <f t="shared" si="0"/>
        <v>16</v>
      </c>
      <c r="C23" s="110" t="s">
        <v>227</v>
      </c>
      <c r="D23" s="120" t="s">
        <v>212</v>
      </c>
      <c r="E23" s="164">
        <v>21.130620839047886</v>
      </c>
      <c r="F23" s="164">
        <v>18.834713441869567</v>
      </c>
      <c r="G23" s="164">
        <v>29.546083944996955</v>
      </c>
      <c r="H23" s="164">
        <v>25.172182607267128</v>
      </c>
      <c r="I23" s="164">
        <v>29.970417812022411</v>
      </c>
      <c r="J23" s="164">
        <v>27.903970949261488</v>
      </c>
      <c r="K23" s="164">
        <v>29.214670030953862</v>
      </c>
      <c r="L23" s="164">
        <v>27.834210598753632</v>
      </c>
      <c r="M23" s="164">
        <v>28.386835440039754</v>
      </c>
      <c r="N23" s="164">
        <v>34.652906354554439</v>
      </c>
      <c r="O23" s="164">
        <v>29.720785381232666</v>
      </c>
      <c r="P23" s="164">
        <v>29.720785381232666</v>
      </c>
      <c r="Q23" s="118">
        <f t="shared" si="2"/>
        <v>332.08818278123243</v>
      </c>
    </row>
    <row r="24" spans="2:18">
      <c r="B24" s="116">
        <f t="shared" si="0"/>
        <v>17</v>
      </c>
      <c r="C24" s="110" t="s">
        <v>209</v>
      </c>
      <c r="D24" s="120" t="s">
        <v>212</v>
      </c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18">
        <v>11.9390486</v>
      </c>
    </row>
    <row r="25" spans="2:18" ht="15">
      <c r="B25" s="116">
        <f t="shared" si="0"/>
        <v>18</v>
      </c>
      <c r="C25" s="122" t="s">
        <v>156</v>
      </c>
      <c r="D25" s="120" t="s">
        <v>212</v>
      </c>
      <c r="E25" s="121">
        <f>E21+E22+E23+E24</f>
        <v>138.07531360904906</v>
      </c>
      <c r="F25" s="121">
        <f t="shared" ref="F25:P25" si="3">F21+F22+F23+F24</f>
        <v>139.87529865186855</v>
      </c>
      <c r="G25" s="121">
        <f t="shared" si="3"/>
        <v>155.10213175499695</v>
      </c>
      <c r="H25" s="121">
        <f t="shared" si="3"/>
        <v>152.88798366726698</v>
      </c>
      <c r="I25" s="121">
        <f t="shared" si="3"/>
        <v>153.15449492202242</v>
      </c>
      <c r="J25" s="121">
        <f t="shared" si="3"/>
        <v>137.42315737926276</v>
      </c>
      <c r="K25" s="121">
        <f t="shared" si="3"/>
        <v>152.95958603095389</v>
      </c>
      <c r="L25" s="121">
        <f t="shared" si="3"/>
        <v>153.31220392875434</v>
      </c>
      <c r="M25" s="121">
        <f t="shared" si="3"/>
        <v>150.10463072003918</v>
      </c>
      <c r="N25" s="121">
        <f t="shared" si="3"/>
        <v>153.21247416455492</v>
      </c>
      <c r="O25" s="121">
        <f t="shared" si="3"/>
        <v>159.86398238123243</v>
      </c>
      <c r="P25" s="121">
        <f t="shared" si="3"/>
        <v>159.86398238123243</v>
      </c>
      <c r="Q25" s="235">
        <f>SUM(Q21:Q24)</f>
        <v>1817.7742881912341</v>
      </c>
    </row>
    <row r="26" spans="2:18" ht="15">
      <c r="B26" s="116">
        <f t="shared" si="0"/>
        <v>19</v>
      </c>
      <c r="C26" s="124" t="s">
        <v>210</v>
      </c>
      <c r="D26" s="120"/>
      <c r="E26" s="121"/>
      <c r="F26" s="118"/>
      <c r="G26" s="118"/>
      <c r="H26" s="118"/>
      <c r="I26" s="118"/>
      <c r="J26" s="118"/>
      <c r="K26" s="118"/>
      <c r="L26" s="118"/>
      <c r="M26" s="119"/>
      <c r="N26" s="119"/>
      <c r="O26" s="119"/>
      <c r="P26" s="119"/>
      <c r="Q26" s="235"/>
    </row>
    <row r="27" spans="2:18" ht="28.5">
      <c r="B27" s="116"/>
      <c r="C27" s="72" t="s">
        <v>463</v>
      </c>
      <c r="D27" s="120"/>
      <c r="E27" s="121"/>
      <c r="F27" s="118"/>
      <c r="G27" s="118"/>
      <c r="H27" s="118"/>
      <c r="I27" s="118"/>
      <c r="J27" s="118"/>
      <c r="K27" s="118"/>
      <c r="L27" s="118"/>
      <c r="M27" s="119"/>
      <c r="N27" s="119"/>
      <c r="O27" s="119"/>
      <c r="P27" s="119"/>
      <c r="Q27" s="235">
        <v>-107.56625246171608</v>
      </c>
    </row>
    <row r="28" spans="2:18" ht="15">
      <c r="B28" s="116"/>
      <c r="C28" s="72" t="s">
        <v>464</v>
      </c>
      <c r="D28" s="120"/>
      <c r="E28" s="121"/>
      <c r="F28" s="118"/>
      <c r="G28" s="118"/>
      <c r="H28" s="118"/>
      <c r="I28" s="118"/>
      <c r="J28" s="118"/>
      <c r="K28" s="118"/>
      <c r="L28" s="118"/>
      <c r="M28" s="119"/>
      <c r="N28" s="119"/>
      <c r="O28" s="119"/>
      <c r="P28" s="119"/>
      <c r="Q28" s="235">
        <v>-33.760000000000005</v>
      </c>
    </row>
    <row r="29" spans="2:18" ht="15">
      <c r="B29" s="116"/>
      <c r="C29" s="110" t="s">
        <v>462</v>
      </c>
      <c r="D29" s="120" t="s">
        <v>212</v>
      </c>
      <c r="E29" s="121"/>
      <c r="F29" s="118"/>
      <c r="G29" s="118"/>
      <c r="H29" s="118"/>
      <c r="I29" s="118"/>
      <c r="J29" s="118"/>
      <c r="K29" s="118"/>
      <c r="L29" s="118"/>
      <c r="M29" s="119"/>
      <c r="N29" s="119"/>
      <c r="O29" s="119"/>
      <c r="P29" s="119"/>
      <c r="Q29" s="235">
        <v>1.117308446</v>
      </c>
    </row>
    <row r="30" spans="2:18" ht="15">
      <c r="B30" s="120">
        <f>B26+1</f>
        <v>20</v>
      </c>
      <c r="C30" s="109" t="s">
        <v>172</v>
      </c>
      <c r="D30" s="120" t="s">
        <v>212</v>
      </c>
      <c r="E30" s="131">
        <f t="shared" ref="E30:P30" si="4">E25+E26</f>
        <v>138.07531360904906</v>
      </c>
      <c r="F30" s="131">
        <f t="shared" si="4"/>
        <v>139.87529865186855</v>
      </c>
      <c r="G30" s="131">
        <f t="shared" si="4"/>
        <v>155.10213175499695</v>
      </c>
      <c r="H30" s="131">
        <f t="shared" si="4"/>
        <v>152.88798366726698</v>
      </c>
      <c r="I30" s="131">
        <f t="shared" si="4"/>
        <v>153.15449492202242</v>
      </c>
      <c r="J30" s="131">
        <f t="shared" si="4"/>
        <v>137.42315737926276</v>
      </c>
      <c r="K30" s="131">
        <f t="shared" si="4"/>
        <v>152.95958603095389</v>
      </c>
      <c r="L30" s="131">
        <f t="shared" si="4"/>
        <v>153.31220392875434</v>
      </c>
      <c r="M30" s="131">
        <f t="shared" si="4"/>
        <v>150.10463072003918</v>
      </c>
      <c r="N30" s="131">
        <f t="shared" si="4"/>
        <v>153.21247416455492</v>
      </c>
      <c r="O30" s="131">
        <f t="shared" si="4"/>
        <v>159.86398238123243</v>
      </c>
      <c r="P30" s="131">
        <f t="shared" si="4"/>
        <v>159.86398238123243</v>
      </c>
      <c r="Q30" s="232">
        <f>Q25+Q27+Q28+Q29</f>
        <v>1677.565344175518</v>
      </c>
    </row>
    <row r="31" spans="2:18" ht="15">
      <c r="B31" s="120">
        <f>B30+1</f>
        <v>21</v>
      </c>
      <c r="C31" s="109" t="s">
        <v>213</v>
      </c>
      <c r="D31" s="120" t="s">
        <v>212</v>
      </c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236">
        <v>1664.58</v>
      </c>
      <c r="R31" s="19" t="s">
        <v>3</v>
      </c>
    </row>
  </sheetData>
  <mergeCells count="2">
    <mergeCell ref="B3:Q3"/>
    <mergeCell ref="B4:Q4"/>
  </mergeCells>
  <pageMargins left="0" right="0" top="0" bottom="0" header="0.05" footer="0.05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P16"/>
  <sheetViews>
    <sheetView showGridLines="0" zoomScale="96" zoomScaleNormal="96" zoomScaleSheetLayoutView="80" workbookViewId="0">
      <selection activeCell="E18" sqref="E18"/>
    </sheetView>
  </sheetViews>
  <sheetFormatPr defaultColWidth="9.28515625" defaultRowHeight="14.25"/>
  <cols>
    <col min="1" max="1" width="9.28515625" style="5"/>
    <col min="2" max="2" width="7.28515625" style="5" customWidth="1"/>
    <col min="3" max="3" width="32.28515625" style="5" customWidth="1"/>
    <col min="4" max="4" width="14.42578125" style="5" customWidth="1"/>
    <col min="5" max="7" width="14.7109375" style="5" customWidth="1"/>
    <col min="8" max="8" width="12.28515625" style="5" bestFit="1" customWidth="1"/>
    <col min="9" max="10" width="12.28515625" style="5" customWidth="1"/>
    <col min="11" max="11" width="12.28515625" style="5" bestFit="1" customWidth="1"/>
    <col min="12" max="12" width="13" style="5" customWidth="1"/>
    <col min="13" max="13" width="13.42578125" style="5" customWidth="1"/>
    <col min="14" max="14" width="12.7109375" style="5" customWidth="1"/>
    <col min="15" max="16384" width="9.28515625" style="5"/>
  </cols>
  <sheetData>
    <row r="1" spans="2:16" ht="15">
      <c r="C1" s="42"/>
      <c r="D1" s="42"/>
      <c r="E1" s="42"/>
      <c r="F1" s="42"/>
      <c r="G1" s="42"/>
      <c r="I1" s="39"/>
      <c r="J1" s="42"/>
    </row>
    <row r="2" spans="2:16" s="19" customFormat="1" ht="15.75">
      <c r="B2" s="292" t="s">
        <v>517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69"/>
      <c r="P2" s="5"/>
    </row>
    <row r="3" spans="2:16" s="19" customFormat="1" ht="15.75">
      <c r="B3" s="292" t="s">
        <v>518</v>
      </c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  <c r="O3" s="269"/>
      <c r="P3" s="5"/>
    </row>
    <row r="4" spans="2:16" ht="15">
      <c r="B4" s="306" t="s">
        <v>384</v>
      </c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8"/>
    </row>
    <row r="5" spans="2:16" ht="15">
      <c r="B5" s="41"/>
      <c r="C5" s="41"/>
      <c r="D5" s="41"/>
      <c r="E5" s="41"/>
      <c r="F5" s="41"/>
      <c r="G5" s="41"/>
      <c r="H5" s="41"/>
      <c r="I5" s="41"/>
      <c r="J5" s="41"/>
    </row>
    <row r="6" spans="2:16" ht="15">
      <c r="B6" s="307" t="s">
        <v>68</v>
      </c>
      <c r="C6" s="307"/>
      <c r="D6" s="307"/>
      <c r="E6" s="307"/>
      <c r="F6" s="307"/>
      <c r="G6" s="307"/>
      <c r="H6" s="307"/>
      <c r="I6" s="307"/>
      <c r="J6" s="307"/>
    </row>
    <row r="7" spans="2:16" ht="15">
      <c r="N7" s="32" t="s">
        <v>4</v>
      </c>
    </row>
    <row r="8" spans="2:16" ht="13.9" customHeight="1">
      <c r="B8" s="308" t="s">
        <v>200</v>
      </c>
      <c r="C8" s="308" t="s">
        <v>18</v>
      </c>
      <c r="D8" s="310" t="s">
        <v>1</v>
      </c>
      <c r="E8" s="303" t="s">
        <v>467</v>
      </c>
      <c r="F8" s="304"/>
      <c r="G8" s="305"/>
      <c r="H8" s="303" t="s">
        <v>468</v>
      </c>
      <c r="I8" s="304"/>
      <c r="J8" s="309" t="s">
        <v>238</v>
      </c>
      <c r="K8" s="309"/>
      <c r="L8" s="309"/>
      <c r="M8" s="309"/>
      <c r="N8" s="309"/>
    </row>
    <row r="9" spans="2:16" ht="30">
      <c r="B9" s="308"/>
      <c r="C9" s="308"/>
      <c r="D9" s="311"/>
      <c r="E9" s="21" t="s">
        <v>377</v>
      </c>
      <c r="F9" s="21" t="s">
        <v>256</v>
      </c>
      <c r="G9" s="21" t="s">
        <v>216</v>
      </c>
      <c r="H9" s="21" t="s">
        <v>377</v>
      </c>
      <c r="I9" s="21" t="s">
        <v>255</v>
      </c>
      <c r="J9" s="21" t="s">
        <v>469</v>
      </c>
      <c r="K9" s="21" t="s">
        <v>470</v>
      </c>
      <c r="L9" s="21" t="s">
        <v>471</v>
      </c>
      <c r="M9" s="21" t="s">
        <v>472</v>
      </c>
      <c r="N9" s="21" t="s">
        <v>473</v>
      </c>
    </row>
    <row r="10" spans="2:16" ht="15">
      <c r="B10" s="308"/>
      <c r="C10" s="308"/>
      <c r="D10" s="312"/>
      <c r="E10" s="21" t="s">
        <v>10</v>
      </c>
      <c r="F10" s="21" t="s">
        <v>12</v>
      </c>
      <c r="G10" s="21" t="s">
        <v>245</v>
      </c>
      <c r="H10" s="21" t="s">
        <v>10</v>
      </c>
      <c r="I10" s="21" t="s">
        <v>5</v>
      </c>
      <c r="J10" s="21" t="s">
        <v>8</v>
      </c>
      <c r="K10" s="21" t="s">
        <v>8</v>
      </c>
      <c r="L10" s="21" t="s">
        <v>8</v>
      </c>
      <c r="M10" s="21" t="s">
        <v>8</v>
      </c>
      <c r="N10" s="21" t="s">
        <v>8</v>
      </c>
    </row>
    <row r="11" spans="2:16">
      <c r="B11" s="26">
        <v>1</v>
      </c>
      <c r="C11" s="35" t="s">
        <v>69</v>
      </c>
      <c r="D11" s="35" t="s">
        <v>24</v>
      </c>
      <c r="E11" s="159">
        <v>142.91</v>
      </c>
      <c r="F11" s="157">
        <f>F2.1!G36</f>
        <v>208.42883983104014</v>
      </c>
      <c r="G11" s="157">
        <f>F11</f>
        <v>208.42883983104014</v>
      </c>
      <c r="H11" s="159">
        <v>148.66</v>
      </c>
      <c r="I11" s="157">
        <f>F2.1!H36</f>
        <v>229.22910106374127</v>
      </c>
      <c r="J11" s="157">
        <f>F2.1!I36</f>
        <v>220.93559167164267</v>
      </c>
      <c r="K11" s="157">
        <f>F2.1!J36</f>
        <v>233.74985598859794</v>
      </c>
      <c r="L11" s="157">
        <f>F2.1!K36</f>
        <v>247.30734763593662</v>
      </c>
      <c r="M11" s="157">
        <f>F2.1!L36</f>
        <v>261.65117379882093</v>
      </c>
      <c r="N11" s="157">
        <f>F2.1!M36</f>
        <v>276.82694187915257</v>
      </c>
    </row>
    <row r="12" spans="2:16">
      <c r="B12" s="26">
        <f>B11+1</f>
        <v>2</v>
      </c>
      <c r="C12" s="43" t="s">
        <v>257</v>
      </c>
      <c r="D12" s="43" t="s">
        <v>25</v>
      </c>
      <c r="E12" s="159">
        <v>11.81</v>
      </c>
      <c r="F12" s="158">
        <f>F2.2!G40</f>
        <v>12.456280917608222</v>
      </c>
      <c r="G12" s="157">
        <f>F12</f>
        <v>12.456280917608222</v>
      </c>
      <c r="H12" s="160">
        <v>36.08</v>
      </c>
      <c r="I12" s="157">
        <f>F2.2!H40</f>
        <v>14.821043151630267</v>
      </c>
      <c r="J12" s="157">
        <f>F2.2!I40</f>
        <v>16.27007782740338</v>
      </c>
      <c r="K12" s="157">
        <f>F2.2!J40</f>
        <v>17.067311640946144</v>
      </c>
      <c r="L12" s="157">
        <f>F2.2!K40</f>
        <v>17.903609911352504</v>
      </c>
      <c r="M12" s="157">
        <f>F2.2!L40</f>
        <v>18.780886797008776</v>
      </c>
      <c r="N12" s="157">
        <f>F2.2!M40</f>
        <v>19.701150250062206</v>
      </c>
    </row>
    <row r="13" spans="2:16">
      <c r="B13" s="26">
        <f>B12+1</f>
        <v>3</v>
      </c>
      <c r="C13" s="35" t="s">
        <v>219</v>
      </c>
      <c r="D13" s="35" t="s">
        <v>291</v>
      </c>
      <c r="E13" s="159">
        <v>36.409999999999997</v>
      </c>
      <c r="F13" s="157">
        <f>F2.3!G18</f>
        <v>24.751001207242304</v>
      </c>
      <c r="G13" s="157">
        <f>F13</f>
        <v>24.751001207242304</v>
      </c>
      <c r="H13" s="160">
        <v>12.07</v>
      </c>
      <c r="I13" s="157">
        <f>F2.3!H18</f>
        <v>28.238205422250456</v>
      </c>
      <c r="J13" s="157">
        <f>F2.3!I18</f>
        <v>31.901884235068259</v>
      </c>
      <c r="K13" s="157">
        <f>F2.3!J18</f>
        <v>31.932067569840516</v>
      </c>
      <c r="L13" s="157">
        <f>F2.3!K18</f>
        <v>31.932067569840516</v>
      </c>
      <c r="M13" s="157">
        <f>F2.3!L18</f>
        <v>31.932067569840516</v>
      </c>
      <c r="N13" s="157">
        <f>F2.3!M18</f>
        <v>31.932067569840516</v>
      </c>
    </row>
    <row r="14" spans="2:16" ht="15">
      <c r="B14" s="26">
        <f>B13+1</f>
        <v>4</v>
      </c>
      <c r="C14" s="35" t="s">
        <v>70</v>
      </c>
      <c r="D14" s="35"/>
      <c r="E14" s="130">
        <f>SUM(E11:E13)*0.99</f>
        <v>189.21869999999998</v>
      </c>
      <c r="F14" s="130">
        <f t="shared" ref="F14:I14" si="0">SUM(F11:F13)</f>
        <v>245.63612195589064</v>
      </c>
      <c r="G14" s="130">
        <f>SUM(G11:G13)</f>
        <v>245.63612195589064</v>
      </c>
      <c r="H14" s="130">
        <f>SUM(H11:H13)*0.99</f>
        <v>194.84190000000001</v>
      </c>
      <c r="I14" s="130">
        <f t="shared" si="0"/>
        <v>272.28834963762199</v>
      </c>
      <c r="J14" s="130">
        <f>SUM(J11:J13)</f>
        <v>269.10755373411433</v>
      </c>
      <c r="K14" s="130">
        <f t="shared" ref="K14:N14" si="1">SUM(K11:K13)</f>
        <v>282.7492351993846</v>
      </c>
      <c r="L14" s="130">
        <f t="shared" si="1"/>
        <v>297.14302511712964</v>
      </c>
      <c r="M14" s="130">
        <f t="shared" si="1"/>
        <v>312.36412816567025</v>
      </c>
      <c r="N14" s="130">
        <f t="shared" si="1"/>
        <v>328.46015969905528</v>
      </c>
    </row>
    <row r="15" spans="2:16">
      <c r="B15" s="56" t="s">
        <v>258</v>
      </c>
      <c r="C15" s="57"/>
      <c r="D15" s="54"/>
      <c r="E15" s="54"/>
      <c r="F15" s="54"/>
      <c r="G15" s="55"/>
      <c r="H15" s="55"/>
      <c r="I15" s="55"/>
      <c r="J15" s="55"/>
      <c r="K15" s="55"/>
      <c r="L15" s="55"/>
      <c r="M15" s="55"/>
      <c r="N15" s="55"/>
    </row>
    <row r="16" spans="2:16">
      <c r="B16" s="58">
        <v>1</v>
      </c>
      <c r="C16" s="57" t="s">
        <v>259</v>
      </c>
    </row>
  </sheetData>
  <mergeCells count="10">
    <mergeCell ref="B2:N2"/>
    <mergeCell ref="B3:N3"/>
    <mergeCell ref="B4:N4"/>
    <mergeCell ref="B6:J6"/>
    <mergeCell ref="B8:B10"/>
    <mergeCell ref="C8:C10"/>
    <mergeCell ref="J8:N8"/>
    <mergeCell ref="H8:I8"/>
    <mergeCell ref="E8:G8"/>
    <mergeCell ref="D8:D10"/>
  </mergeCells>
  <pageMargins left="0" right="0" top="0.74803149606299202" bottom="0.74803149606299202" header="0.31496062992126" footer="0.31496062992126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P39"/>
  <sheetViews>
    <sheetView showGridLines="0" zoomScale="80" zoomScaleNormal="80" zoomScaleSheetLayoutView="70" workbookViewId="0">
      <selection activeCell="P25" sqref="P25"/>
    </sheetView>
  </sheetViews>
  <sheetFormatPr defaultColWidth="9.28515625" defaultRowHeight="14.25"/>
  <cols>
    <col min="1" max="1" width="6.7109375" style="19" customWidth="1"/>
    <col min="2" max="2" width="7" style="19" customWidth="1"/>
    <col min="3" max="3" width="46.85546875" style="19" customWidth="1"/>
    <col min="4" max="6" width="16.7109375" style="19" customWidth="1"/>
    <col min="7" max="7" width="16" style="19" customWidth="1"/>
    <col min="8" max="8" width="18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6" ht="14.25" customHeight="1">
      <c r="B2" s="314" t="s">
        <v>511</v>
      </c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5"/>
      <c r="O2" s="5"/>
      <c r="P2" s="5"/>
    </row>
    <row r="3" spans="2:16" ht="14.25" customHeight="1">
      <c r="B3" s="314" t="s">
        <v>500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5"/>
      <c r="O3" s="5"/>
      <c r="P3" s="5"/>
    </row>
    <row r="4" spans="2:16" s="4" customFormat="1" ht="15.75">
      <c r="B4" s="292" t="s">
        <v>523</v>
      </c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</row>
    <row r="5" spans="2:16" s="4" customFormat="1" ht="15">
      <c r="C5" s="47"/>
      <c r="D5" s="47"/>
      <c r="E5" s="47"/>
      <c r="F5" s="47"/>
      <c r="G5" s="48"/>
      <c r="H5" s="48"/>
    </row>
    <row r="6" spans="2:16" ht="15">
      <c r="M6" s="32" t="s">
        <v>4</v>
      </c>
    </row>
    <row r="7" spans="2:16" ht="12.75" customHeight="1">
      <c r="B7" s="299" t="s">
        <v>2</v>
      </c>
      <c r="C7" s="299" t="s">
        <v>18</v>
      </c>
      <c r="D7" s="21" t="s">
        <v>492</v>
      </c>
      <c r="E7" s="21" t="s">
        <v>493</v>
      </c>
      <c r="F7" s="21" t="s">
        <v>494</v>
      </c>
      <c r="G7" s="21" t="s">
        <v>467</v>
      </c>
      <c r="H7" s="21" t="s">
        <v>468</v>
      </c>
      <c r="I7" s="309" t="s">
        <v>238</v>
      </c>
      <c r="J7" s="309"/>
      <c r="K7" s="309"/>
      <c r="L7" s="309"/>
      <c r="M7" s="309"/>
    </row>
    <row r="8" spans="2:16" ht="15">
      <c r="B8" s="299"/>
      <c r="C8" s="299"/>
      <c r="D8" s="21" t="s">
        <v>256</v>
      </c>
      <c r="E8" s="21" t="s">
        <v>256</v>
      </c>
      <c r="F8" s="21" t="s">
        <v>256</v>
      </c>
      <c r="G8" s="21" t="s">
        <v>256</v>
      </c>
      <c r="H8" s="21" t="s">
        <v>255</v>
      </c>
      <c r="I8" s="21" t="s">
        <v>469</v>
      </c>
      <c r="J8" s="21" t="s">
        <v>470</v>
      </c>
      <c r="K8" s="21" t="s">
        <v>471</v>
      </c>
      <c r="L8" s="21" t="s">
        <v>472</v>
      </c>
      <c r="M8" s="21" t="s">
        <v>473</v>
      </c>
    </row>
    <row r="9" spans="2:16" ht="15">
      <c r="B9" s="313"/>
      <c r="C9" s="299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6">
      <c r="B10" s="2">
        <v>1</v>
      </c>
      <c r="C10" s="49" t="s">
        <v>73</v>
      </c>
      <c r="D10" s="147"/>
      <c r="E10" s="147"/>
      <c r="F10" s="147"/>
      <c r="G10" s="144">
        <v>112.13106611425761</v>
      </c>
      <c r="H10" s="237">
        <v>121.23179870749709</v>
      </c>
      <c r="I10" s="3"/>
      <c r="J10" s="3"/>
      <c r="K10" s="3"/>
      <c r="L10" s="3"/>
      <c r="M10" s="3"/>
    </row>
    <row r="11" spans="2:16">
      <c r="B11" s="2">
        <v>2</v>
      </c>
      <c r="C11" s="49" t="s">
        <v>74</v>
      </c>
      <c r="D11" s="147"/>
      <c r="E11" s="147"/>
      <c r="F11" s="147"/>
      <c r="G11" s="144">
        <v>3.7140430141026322</v>
      </c>
      <c r="H11" s="237">
        <v>10.292793512512507</v>
      </c>
      <c r="I11" s="3"/>
      <c r="J11" s="3"/>
      <c r="K11" s="3"/>
      <c r="L11" s="3"/>
      <c r="M11" s="3"/>
    </row>
    <row r="12" spans="2:16">
      <c r="B12" s="2">
        <v>3</v>
      </c>
      <c r="C12" s="3" t="s">
        <v>75</v>
      </c>
      <c r="D12" s="144"/>
      <c r="E12" s="144"/>
      <c r="F12" s="144"/>
      <c r="G12" s="144">
        <v>8.8425025549077212</v>
      </c>
      <c r="H12" s="237">
        <v>9.1299631617798482</v>
      </c>
      <c r="I12" s="3"/>
      <c r="J12" s="3"/>
      <c r="K12" s="3"/>
      <c r="L12" s="3"/>
      <c r="M12" s="3"/>
    </row>
    <row r="13" spans="2:16">
      <c r="B13" s="2">
        <v>4</v>
      </c>
      <c r="C13" s="49" t="s">
        <v>76</v>
      </c>
      <c r="D13" s="147"/>
      <c r="E13" s="147"/>
      <c r="F13" s="147"/>
      <c r="G13" s="144">
        <v>1.2491170943711163</v>
      </c>
      <c r="H13" s="237">
        <v>1.2300945676626689</v>
      </c>
      <c r="I13" s="3"/>
      <c r="J13" s="3"/>
      <c r="K13" s="3"/>
      <c r="L13" s="3"/>
      <c r="M13" s="3"/>
    </row>
    <row r="14" spans="2:16">
      <c r="B14" s="2">
        <v>5</v>
      </c>
      <c r="C14" s="49" t="s">
        <v>77</v>
      </c>
      <c r="D14" s="147"/>
      <c r="E14" s="147"/>
      <c r="F14" s="147"/>
      <c r="G14" s="144">
        <v>2.265893636377654E-4</v>
      </c>
      <c r="H14" s="237">
        <v>8.6932818946349106E-4</v>
      </c>
      <c r="I14" s="3"/>
      <c r="J14" s="3"/>
      <c r="K14" s="3"/>
      <c r="L14" s="3"/>
      <c r="M14" s="3"/>
    </row>
    <row r="15" spans="2:16">
      <c r="B15" s="2">
        <v>6</v>
      </c>
      <c r="C15" s="3" t="s">
        <v>78</v>
      </c>
      <c r="D15" s="144"/>
      <c r="E15" s="144"/>
      <c r="F15" s="144"/>
      <c r="G15" s="144">
        <v>19.879881091644179</v>
      </c>
      <c r="H15" s="237">
        <v>19.879357302079022</v>
      </c>
      <c r="I15" s="3"/>
      <c r="J15" s="3"/>
      <c r="K15" s="3"/>
      <c r="L15" s="3"/>
      <c r="M15" s="3"/>
    </row>
    <row r="16" spans="2:16">
      <c r="B16" s="2">
        <v>7</v>
      </c>
      <c r="C16" s="49" t="s">
        <v>79</v>
      </c>
      <c r="D16" s="147"/>
      <c r="E16" s="147"/>
      <c r="F16" s="147"/>
      <c r="G16" s="144">
        <v>28.881201845839904</v>
      </c>
      <c r="H16" s="237">
        <v>21.133542844264031</v>
      </c>
      <c r="I16" s="3"/>
      <c r="J16" s="3"/>
      <c r="K16" s="3"/>
      <c r="L16" s="3"/>
      <c r="M16" s="3"/>
    </row>
    <row r="17" spans="2:13">
      <c r="B17" s="2">
        <v>8</v>
      </c>
      <c r="C17" s="49" t="s">
        <v>80</v>
      </c>
      <c r="D17" s="147"/>
      <c r="E17" s="147"/>
      <c r="F17" s="147"/>
      <c r="G17" s="144">
        <v>2.8348016649291479</v>
      </c>
      <c r="H17" s="237">
        <v>0.74865565928736855</v>
      </c>
      <c r="I17" s="3"/>
      <c r="J17" s="3"/>
      <c r="K17" s="3"/>
      <c r="L17" s="3"/>
      <c r="M17" s="3"/>
    </row>
    <row r="18" spans="2:13">
      <c r="B18" s="2">
        <v>9</v>
      </c>
      <c r="C18" s="49" t="s">
        <v>81</v>
      </c>
      <c r="D18" s="147"/>
      <c r="E18" s="147"/>
      <c r="F18" s="147"/>
      <c r="G18" s="144">
        <v>0</v>
      </c>
      <c r="H18" s="237">
        <v>0</v>
      </c>
      <c r="I18" s="3"/>
      <c r="J18" s="3"/>
      <c r="K18" s="3"/>
      <c r="L18" s="3"/>
      <c r="M18" s="3"/>
    </row>
    <row r="19" spans="2:13">
      <c r="B19" s="2">
        <v>10</v>
      </c>
      <c r="C19" s="49" t="s">
        <v>82</v>
      </c>
      <c r="D19" s="147"/>
      <c r="E19" s="147"/>
      <c r="F19" s="147"/>
      <c r="G19" s="147">
        <v>0</v>
      </c>
      <c r="H19" s="237">
        <v>0</v>
      </c>
      <c r="I19" s="3"/>
      <c r="J19" s="3"/>
      <c r="K19" s="3"/>
      <c r="L19" s="3"/>
      <c r="M19" s="3"/>
    </row>
    <row r="20" spans="2:13">
      <c r="B20" s="2">
        <v>11</v>
      </c>
      <c r="C20" s="49" t="s">
        <v>83</v>
      </c>
      <c r="D20" s="147"/>
      <c r="E20" s="147"/>
      <c r="F20" s="147"/>
      <c r="G20" s="147">
        <v>0</v>
      </c>
      <c r="H20" s="237">
        <v>8.3783842128149063E-4</v>
      </c>
      <c r="I20" s="3"/>
      <c r="J20" s="3"/>
      <c r="K20" s="3"/>
      <c r="L20" s="3"/>
      <c r="M20" s="3"/>
    </row>
    <row r="21" spans="2:13">
      <c r="B21" s="2">
        <v>12</v>
      </c>
      <c r="C21" s="49" t="s">
        <v>84</v>
      </c>
      <c r="D21" s="147"/>
      <c r="E21" s="147"/>
      <c r="F21" s="147"/>
      <c r="G21" s="147">
        <v>2.6524765624781965</v>
      </c>
      <c r="H21" s="237">
        <v>2.2958674494146911</v>
      </c>
      <c r="I21" s="3"/>
      <c r="J21" s="3"/>
      <c r="K21" s="3"/>
      <c r="L21" s="3"/>
      <c r="M21" s="3"/>
    </row>
    <row r="22" spans="2:13">
      <c r="B22" s="2">
        <v>13</v>
      </c>
      <c r="C22" s="49" t="s">
        <v>85</v>
      </c>
      <c r="D22" s="147"/>
      <c r="E22" s="147"/>
      <c r="F22" s="147"/>
      <c r="G22" s="147">
        <v>0</v>
      </c>
      <c r="H22" s="237">
        <v>0</v>
      </c>
      <c r="I22" s="3"/>
      <c r="J22" s="3"/>
      <c r="K22" s="3"/>
      <c r="L22" s="3"/>
      <c r="M22" s="3"/>
    </row>
    <row r="23" spans="2:13">
      <c r="B23" s="2">
        <v>14</v>
      </c>
      <c r="C23" s="49" t="s">
        <v>86</v>
      </c>
      <c r="D23" s="147"/>
      <c r="E23" s="147"/>
      <c r="F23" s="147"/>
      <c r="G23" s="147">
        <v>0</v>
      </c>
      <c r="H23" s="237">
        <v>0</v>
      </c>
      <c r="I23" s="3"/>
      <c r="J23" s="3"/>
      <c r="K23" s="3"/>
      <c r="L23" s="3"/>
      <c r="M23" s="3"/>
    </row>
    <row r="24" spans="2:13">
      <c r="B24" s="2">
        <v>15</v>
      </c>
      <c r="C24" s="49" t="s">
        <v>87</v>
      </c>
      <c r="D24" s="147"/>
      <c r="E24" s="147"/>
      <c r="F24" s="147"/>
      <c r="G24" s="144">
        <v>0</v>
      </c>
      <c r="H24" s="237">
        <v>0</v>
      </c>
      <c r="I24" s="3"/>
      <c r="J24" s="3"/>
      <c r="K24" s="3"/>
      <c r="L24" s="3"/>
      <c r="M24" s="3"/>
    </row>
    <row r="25" spans="2:13">
      <c r="B25" s="2">
        <v>16</v>
      </c>
      <c r="C25" s="49" t="s">
        <v>88</v>
      </c>
      <c r="D25" s="147"/>
      <c r="E25" s="147"/>
      <c r="F25" s="147"/>
      <c r="G25" s="161">
        <v>0.14247945000000001</v>
      </c>
      <c r="H25" s="237">
        <v>0</v>
      </c>
      <c r="I25" s="3"/>
      <c r="J25" s="3"/>
      <c r="K25" s="3"/>
      <c r="L25" s="3"/>
      <c r="M25" s="3"/>
    </row>
    <row r="26" spans="2:13" ht="15">
      <c r="B26" s="2">
        <v>17</v>
      </c>
      <c r="C26" s="49" t="s">
        <v>89</v>
      </c>
      <c r="D26" s="147"/>
      <c r="E26" s="147"/>
      <c r="F26" s="147"/>
      <c r="G26" s="161">
        <v>180.32779598189413</v>
      </c>
      <c r="H26" s="238">
        <v>185.94378037110798</v>
      </c>
      <c r="I26" s="3"/>
      <c r="J26" s="3"/>
      <c r="K26" s="3"/>
      <c r="L26" s="3"/>
      <c r="M26" s="3"/>
    </row>
    <row r="27" spans="2:13">
      <c r="B27" s="2">
        <v>18</v>
      </c>
      <c r="C27" s="49" t="s">
        <v>90</v>
      </c>
      <c r="D27" s="147"/>
      <c r="E27" s="147"/>
      <c r="F27" s="147"/>
      <c r="G27" s="161">
        <v>0</v>
      </c>
      <c r="H27" s="237">
        <v>0</v>
      </c>
      <c r="I27" s="3"/>
      <c r="J27" s="3"/>
      <c r="K27" s="3"/>
      <c r="L27" s="3"/>
      <c r="M27" s="3"/>
    </row>
    <row r="28" spans="2:13">
      <c r="B28" s="2">
        <f>+B27+0.1</f>
        <v>18.100000000000001</v>
      </c>
      <c r="C28" s="49" t="s">
        <v>91</v>
      </c>
      <c r="D28" s="147"/>
      <c r="E28" s="147"/>
      <c r="F28" s="147"/>
      <c r="G28" s="161">
        <v>11.506666945674171</v>
      </c>
      <c r="H28" s="237">
        <v>12.553009820706416</v>
      </c>
      <c r="I28" s="3"/>
      <c r="J28" s="3"/>
      <c r="K28" s="3"/>
      <c r="L28" s="3"/>
      <c r="M28" s="3"/>
    </row>
    <row r="29" spans="2:13">
      <c r="B29" s="2">
        <f>+B28+0.1</f>
        <v>18.200000000000003</v>
      </c>
      <c r="C29" s="49" t="s">
        <v>92</v>
      </c>
      <c r="D29" s="147"/>
      <c r="E29" s="147"/>
      <c r="F29" s="147"/>
      <c r="G29" s="161">
        <v>0</v>
      </c>
      <c r="H29" s="237">
        <v>0</v>
      </c>
      <c r="I29" s="3"/>
      <c r="J29" s="3"/>
      <c r="K29" s="3"/>
      <c r="L29" s="3"/>
      <c r="M29" s="3"/>
    </row>
    <row r="30" spans="2:13">
      <c r="B30" s="2">
        <f>+B29+0.1</f>
        <v>18.300000000000004</v>
      </c>
      <c r="C30" s="49" t="s">
        <v>93</v>
      </c>
      <c r="D30" s="147"/>
      <c r="E30" s="147"/>
      <c r="F30" s="147"/>
      <c r="G30" s="161">
        <v>0</v>
      </c>
      <c r="H30" s="237">
        <v>0</v>
      </c>
      <c r="I30" s="3"/>
      <c r="J30" s="3"/>
      <c r="K30" s="3"/>
      <c r="L30" s="3"/>
      <c r="M30" s="3"/>
    </row>
    <row r="31" spans="2:13">
      <c r="B31" s="2">
        <f>+B30+0.1</f>
        <v>18.400000000000006</v>
      </c>
      <c r="C31" s="49" t="s">
        <v>94</v>
      </c>
      <c r="D31" s="147"/>
      <c r="E31" s="147"/>
      <c r="F31" s="147"/>
      <c r="G31" s="144">
        <v>16.594376903471833</v>
      </c>
      <c r="H31" s="237">
        <v>30.73231087192687</v>
      </c>
      <c r="I31" s="3"/>
      <c r="J31" s="3"/>
      <c r="K31" s="3"/>
      <c r="L31" s="3"/>
      <c r="M31" s="3"/>
    </row>
    <row r="32" spans="2:13">
      <c r="B32" s="2">
        <v>19</v>
      </c>
      <c r="C32" s="53" t="s">
        <v>411</v>
      </c>
      <c r="D32" s="147"/>
      <c r="E32" s="147"/>
      <c r="F32" s="147"/>
      <c r="G32" s="144">
        <v>0</v>
      </c>
      <c r="H32" s="237">
        <v>0</v>
      </c>
      <c r="I32" s="3"/>
      <c r="J32" s="3"/>
      <c r="K32" s="3"/>
      <c r="L32" s="3"/>
      <c r="M32" s="3"/>
    </row>
    <row r="33" spans="2:13">
      <c r="B33" s="2">
        <v>20</v>
      </c>
      <c r="C33" s="49" t="s">
        <v>95</v>
      </c>
      <c r="D33" s="147"/>
      <c r="E33" s="147"/>
      <c r="F33" s="147"/>
      <c r="G33" s="144">
        <v>0</v>
      </c>
      <c r="H33" s="237">
        <v>0</v>
      </c>
      <c r="I33" s="144">
        <v>220.93559167164267</v>
      </c>
      <c r="J33" s="144">
        <v>233.74985598859794</v>
      </c>
      <c r="K33" s="144">
        <v>247.30734763593662</v>
      </c>
      <c r="L33" s="144">
        <v>261.65117379882093</v>
      </c>
      <c r="M33" s="144">
        <v>276.82694187915257</v>
      </c>
    </row>
    <row r="34" spans="2:13" ht="15">
      <c r="B34" s="20">
        <v>21</v>
      </c>
      <c r="C34" s="50" t="s">
        <v>96</v>
      </c>
      <c r="D34" s="146">
        <f>SUM(D26:D33)</f>
        <v>0</v>
      </c>
      <c r="E34" s="146">
        <f t="shared" ref="E34:G34" si="0">SUM(E26:E33)</f>
        <v>0</v>
      </c>
      <c r="F34" s="146">
        <f t="shared" si="0"/>
        <v>0</v>
      </c>
      <c r="G34" s="146">
        <f t="shared" si="0"/>
        <v>208.42883983104014</v>
      </c>
      <c r="H34" s="238">
        <f t="shared" ref="H34" si="1">H26+H28+H31</f>
        <v>229.22910106374127</v>
      </c>
      <c r="I34" s="146">
        <f t="shared" ref="I34:M34" si="2">SUM(I10:I33)</f>
        <v>220.93559167164267</v>
      </c>
      <c r="J34" s="146">
        <f t="shared" si="2"/>
        <v>233.74985598859794</v>
      </c>
      <c r="K34" s="146">
        <f t="shared" si="2"/>
        <v>247.30734763593662</v>
      </c>
      <c r="L34" s="146">
        <f t="shared" si="2"/>
        <v>261.65117379882093</v>
      </c>
      <c r="M34" s="146">
        <f t="shared" si="2"/>
        <v>276.82694187915257</v>
      </c>
    </row>
    <row r="35" spans="2:13">
      <c r="B35" s="2">
        <v>22</v>
      </c>
      <c r="C35" s="49" t="s">
        <v>17</v>
      </c>
      <c r="D35" s="147"/>
      <c r="E35" s="147"/>
      <c r="F35" s="147"/>
      <c r="G35" s="144">
        <v>0</v>
      </c>
      <c r="H35" s="237">
        <v>0</v>
      </c>
      <c r="I35" s="144"/>
      <c r="J35" s="144"/>
      <c r="K35" s="144"/>
      <c r="L35" s="144"/>
      <c r="M35" s="144"/>
    </row>
    <row r="36" spans="2:13" ht="15">
      <c r="B36" s="20">
        <v>23</v>
      </c>
      <c r="C36" s="25" t="s">
        <v>97</v>
      </c>
      <c r="D36" s="132">
        <v>144.01</v>
      </c>
      <c r="E36" s="132">
        <v>181.16</v>
      </c>
      <c r="F36" s="132">
        <v>169.95</v>
      </c>
      <c r="G36" s="132">
        <f t="shared" ref="G36:M36" si="3">G34-G35</f>
        <v>208.42883983104014</v>
      </c>
      <c r="H36" s="238">
        <f t="shared" si="3"/>
        <v>229.22910106374127</v>
      </c>
      <c r="I36" s="132">
        <f t="shared" si="3"/>
        <v>220.93559167164267</v>
      </c>
      <c r="J36" s="132">
        <f t="shared" si="3"/>
        <v>233.74985598859794</v>
      </c>
      <c r="K36" s="132">
        <f t="shared" si="3"/>
        <v>247.30734763593662</v>
      </c>
      <c r="L36" s="132">
        <f t="shared" si="3"/>
        <v>261.65117379882093</v>
      </c>
      <c r="M36" s="132">
        <f t="shared" si="3"/>
        <v>276.82694187915257</v>
      </c>
    </row>
    <row r="38" spans="2:13" ht="15">
      <c r="B38" s="51"/>
    </row>
    <row r="39" spans="2:13">
      <c r="B39" s="52"/>
    </row>
  </sheetData>
  <mergeCells count="6">
    <mergeCell ref="I7:M7"/>
    <mergeCell ref="B7:B9"/>
    <mergeCell ref="C7:C9"/>
    <mergeCell ref="B2:M2"/>
    <mergeCell ref="B3:M3"/>
    <mergeCell ref="B4:M4"/>
  </mergeCells>
  <pageMargins left="0" right="0" top="1" bottom="1" header="0.5" footer="0.5"/>
  <pageSetup paperSize="9" scale="70" fitToHeight="0" orientation="landscape" r:id="rId1"/>
  <headerFooter alignWithMargins="0"/>
  <rowBreaks count="1" manualBreakCount="1">
    <brk id="37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B2:N40"/>
  <sheetViews>
    <sheetView showGridLines="0" zoomScale="80" zoomScaleNormal="80" zoomScaleSheetLayoutView="70" workbookViewId="0">
      <selection activeCell="K25" sqref="K25"/>
    </sheetView>
  </sheetViews>
  <sheetFormatPr defaultColWidth="9.28515625" defaultRowHeight="14.25"/>
  <cols>
    <col min="1" max="1" width="2" style="19" customWidth="1"/>
    <col min="2" max="2" width="7" style="19" customWidth="1"/>
    <col min="3" max="3" width="50.28515625" style="19" customWidth="1"/>
    <col min="4" max="8" width="15.710937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4">
      <c r="C2" s="5"/>
      <c r="D2" s="5"/>
      <c r="E2" s="5"/>
      <c r="F2" s="5"/>
      <c r="G2" s="5"/>
      <c r="H2" s="5"/>
      <c r="I2" s="5"/>
      <c r="J2" s="5"/>
    </row>
    <row r="3" spans="2:14" ht="15.75">
      <c r="B3" s="292" t="s">
        <v>517</v>
      </c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69"/>
    </row>
    <row r="4" spans="2:14" s="4" customFormat="1" ht="15.75">
      <c r="B4" s="292" t="s">
        <v>518</v>
      </c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69"/>
    </row>
    <row r="5" spans="2:14" ht="15.75">
      <c r="B5" s="292" t="s">
        <v>524</v>
      </c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69"/>
    </row>
    <row r="6" spans="2:14" ht="15">
      <c r="M6" s="32" t="s">
        <v>4</v>
      </c>
    </row>
    <row r="7" spans="2:14" ht="12.75" customHeight="1">
      <c r="B7" s="301" t="s">
        <v>200</v>
      </c>
      <c r="C7" s="299" t="s">
        <v>18</v>
      </c>
      <c r="D7" s="21" t="s">
        <v>492</v>
      </c>
      <c r="E7" s="21" t="s">
        <v>493</v>
      </c>
      <c r="F7" s="21" t="s">
        <v>494</v>
      </c>
      <c r="G7" s="21" t="s">
        <v>467</v>
      </c>
      <c r="H7" s="21" t="s">
        <v>468</v>
      </c>
      <c r="I7" s="309" t="s">
        <v>238</v>
      </c>
      <c r="J7" s="309"/>
      <c r="K7" s="309"/>
      <c r="L7" s="309"/>
      <c r="M7" s="309"/>
    </row>
    <row r="8" spans="2:14" ht="15">
      <c r="B8" s="301"/>
      <c r="C8" s="299"/>
      <c r="D8" s="21" t="s">
        <v>256</v>
      </c>
      <c r="E8" s="21" t="s">
        <v>256</v>
      </c>
      <c r="F8" s="21" t="s">
        <v>256</v>
      </c>
      <c r="G8" s="21" t="s">
        <v>256</v>
      </c>
      <c r="H8" s="21" t="s">
        <v>255</v>
      </c>
      <c r="I8" s="21" t="s">
        <v>469</v>
      </c>
      <c r="J8" s="21" t="s">
        <v>470</v>
      </c>
      <c r="K8" s="21" t="s">
        <v>471</v>
      </c>
      <c r="L8" s="21" t="s">
        <v>472</v>
      </c>
      <c r="M8" s="21" t="s">
        <v>473</v>
      </c>
    </row>
    <row r="9" spans="2:14" ht="15">
      <c r="B9" s="301"/>
      <c r="C9" s="299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4">
      <c r="B10" s="3">
        <v>1</v>
      </c>
      <c r="C10" s="59" t="s">
        <v>98</v>
      </c>
      <c r="D10" s="144">
        <v>0.79040612285001766</v>
      </c>
      <c r="E10" s="144">
        <v>2.3179669220385239</v>
      </c>
      <c r="F10" s="144">
        <v>1.8803515057002604</v>
      </c>
      <c r="G10" s="144">
        <v>1.0598648895441913</v>
      </c>
      <c r="H10" s="239">
        <v>2.0765693106718301</v>
      </c>
      <c r="I10" s="3"/>
      <c r="J10" s="3"/>
      <c r="K10" s="3"/>
      <c r="L10" s="3"/>
      <c r="M10" s="3"/>
    </row>
    <row r="11" spans="2:14">
      <c r="B11" s="3">
        <v>2</v>
      </c>
      <c r="C11" s="60" t="s">
        <v>99</v>
      </c>
      <c r="D11" s="144">
        <v>2.5979816208668716</v>
      </c>
      <c r="E11" s="144">
        <v>2.7813196348086295</v>
      </c>
      <c r="F11" s="144">
        <v>2.8435601803084216</v>
      </c>
      <c r="G11" s="144">
        <v>2.6561029016537634</v>
      </c>
      <c r="H11" s="239">
        <v>2.6478724990662426</v>
      </c>
      <c r="I11" s="3"/>
      <c r="J11" s="3"/>
      <c r="K11" s="3"/>
      <c r="L11" s="3"/>
      <c r="M11" s="3"/>
    </row>
    <row r="12" spans="2:14">
      <c r="B12" s="3">
        <v>3</v>
      </c>
      <c r="C12" s="60" t="s">
        <v>100</v>
      </c>
      <c r="D12" s="144">
        <v>9.7889173913991823E-2</v>
      </c>
      <c r="E12" s="144">
        <v>7.2943424410499197E-2</v>
      </c>
      <c r="F12" s="144">
        <v>7.0298771404854798E-2</v>
      </c>
      <c r="G12" s="144">
        <v>0.13849784620159461</v>
      </c>
      <c r="H12" s="239">
        <v>0.13879866864520468</v>
      </c>
      <c r="I12" s="3"/>
      <c r="J12" s="3"/>
      <c r="K12" s="3"/>
      <c r="L12" s="3"/>
      <c r="M12" s="3"/>
    </row>
    <row r="13" spans="2:14">
      <c r="B13" s="3">
        <v>4</v>
      </c>
      <c r="C13" s="60" t="s">
        <v>101</v>
      </c>
      <c r="D13" s="144">
        <v>0.13856650298503326</v>
      </c>
      <c r="E13" s="144">
        <v>0.1403898686394445</v>
      </c>
      <c r="F13" s="144">
        <v>8.2438307912958975E-2</v>
      </c>
      <c r="G13" s="144">
        <v>0.13063258177443982</v>
      </c>
      <c r="H13" s="239">
        <v>8.8456600043791606E-2</v>
      </c>
      <c r="I13" s="3"/>
      <c r="J13" s="3"/>
      <c r="K13" s="3"/>
      <c r="L13" s="3"/>
      <c r="M13" s="3"/>
    </row>
    <row r="14" spans="2:14">
      <c r="B14" s="3">
        <v>5</v>
      </c>
      <c r="C14" s="60" t="s">
        <v>102</v>
      </c>
      <c r="D14" s="144">
        <v>7.0538996158363079E-2</v>
      </c>
      <c r="E14" s="144">
        <v>4.9574696616627847E-2</v>
      </c>
      <c r="F14" s="144">
        <v>0.14183565851903829</v>
      </c>
      <c r="G14" s="144">
        <v>0.11675236587347901</v>
      </c>
      <c r="H14" s="239">
        <v>4.2651298096298376E-2</v>
      </c>
      <c r="I14" s="3"/>
      <c r="J14" s="3"/>
      <c r="K14" s="3"/>
      <c r="L14" s="3"/>
      <c r="M14" s="3"/>
    </row>
    <row r="15" spans="2:14">
      <c r="B15" s="3">
        <v>6</v>
      </c>
      <c r="C15" s="60" t="s">
        <v>103</v>
      </c>
      <c r="D15" s="144">
        <v>0.12193245780483969</v>
      </c>
      <c r="E15" s="144">
        <v>2.9091115604999766E-2</v>
      </c>
      <c r="F15" s="144">
        <v>3.4533022084110854E-2</v>
      </c>
      <c r="G15" s="144">
        <v>8.1035758399218102E-2</v>
      </c>
      <c r="H15" s="239">
        <v>6.6430954764495176E-2</v>
      </c>
      <c r="I15" s="3"/>
      <c r="J15" s="3"/>
      <c r="K15" s="3"/>
      <c r="L15" s="3"/>
      <c r="M15" s="3"/>
    </row>
    <row r="16" spans="2:14">
      <c r="B16" s="3">
        <v>7</v>
      </c>
      <c r="C16" s="60" t="s">
        <v>104</v>
      </c>
      <c r="D16" s="144">
        <v>0.23649719918774165</v>
      </c>
      <c r="E16" s="144">
        <v>0.72972847815492803</v>
      </c>
      <c r="F16" s="144">
        <v>1.4941035657727124</v>
      </c>
      <c r="G16" s="144">
        <v>0.82754928984701492</v>
      </c>
      <c r="H16" s="239">
        <v>0.79181015099918894</v>
      </c>
      <c r="I16" s="3"/>
      <c r="J16" s="3"/>
      <c r="K16" s="3"/>
      <c r="L16" s="3"/>
      <c r="M16" s="3"/>
    </row>
    <row r="17" spans="2:13">
      <c r="B17" s="3">
        <v>8</v>
      </c>
      <c r="C17" s="60" t="s">
        <v>105</v>
      </c>
      <c r="D17" s="144">
        <v>7.3600665087969214E-3</v>
      </c>
      <c r="E17" s="144">
        <v>9.6907133383711437E-3</v>
      </c>
      <c r="F17" s="144">
        <v>3.7259997224064279E-3</v>
      </c>
      <c r="G17" s="144">
        <v>1.9438478324568572E-3</v>
      </c>
      <c r="H17" s="239">
        <v>1.6927220342746474E-3</v>
      </c>
      <c r="I17" s="3"/>
      <c r="J17" s="3"/>
      <c r="K17" s="3"/>
      <c r="L17" s="3"/>
      <c r="M17" s="3"/>
    </row>
    <row r="18" spans="2:13">
      <c r="B18" s="3">
        <v>9</v>
      </c>
      <c r="C18" s="60" t="s">
        <v>106</v>
      </c>
      <c r="D18" s="144">
        <v>4.6100508027834906</v>
      </c>
      <c r="E18" s="144">
        <v>4.8690656208593222</v>
      </c>
      <c r="F18" s="144">
        <v>6.8889015118304986</v>
      </c>
      <c r="G18" s="144">
        <v>5.7692571512288611</v>
      </c>
      <c r="H18" s="239">
        <v>6.3946341657378891</v>
      </c>
      <c r="I18" s="3"/>
      <c r="J18" s="3"/>
      <c r="K18" s="3"/>
      <c r="L18" s="3"/>
      <c r="M18" s="3"/>
    </row>
    <row r="19" spans="2:13">
      <c r="B19" s="3">
        <v>10</v>
      </c>
      <c r="C19" s="60" t="s">
        <v>107</v>
      </c>
      <c r="D19" s="144">
        <v>2.6065899950049026E-2</v>
      </c>
      <c r="E19" s="144">
        <v>0.12971882855512545</v>
      </c>
      <c r="F19" s="144">
        <v>2.3457119504032814E-2</v>
      </c>
      <c r="G19" s="144">
        <v>3.7619586141912E-2</v>
      </c>
      <c r="H19" s="239">
        <v>1.9575020577432517E-2</v>
      </c>
      <c r="I19" s="3"/>
      <c r="J19" s="3"/>
      <c r="K19" s="3"/>
      <c r="L19" s="3"/>
      <c r="M19" s="3"/>
    </row>
    <row r="20" spans="2:13">
      <c r="B20" s="3">
        <v>11</v>
      </c>
      <c r="C20" s="60" t="s">
        <v>108</v>
      </c>
      <c r="D20" s="144">
        <v>6.4939999999999996E-4</v>
      </c>
      <c r="E20" s="144">
        <v>1.13385E-3</v>
      </c>
      <c r="F20" s="144">
        <v>1.6171E-3</v>
      </c>
      <c r="G20" s="144">
        <v>2.1836687768918774E-3</v>
      </c>
      <c r="H20" s="239">
        <v>1.3012340137480995E-3</v>
      </c>
      <c r="I20" s="3"/>
      <c r="J20" s="3"/>
      <c r="K20" s="3"/>
      <c r="L20" s="3"/>
      <c r="M20" s="3"/>
    </row>
    <row r="21" spans="2:13">
      <c r="B21" s="3">
        <v>12</v>
      </c>
      <c r="C21" s="60" t="s">
        <v>109</v>
      </c>
      <c r="D21" s="144">
        <v>0</v>
      </c>
      <c r="E21" s="144">
        <v>0</v>
      </c>
      <c r="F21" s="144">
        <v>0</v>
      </c>
      <c r="G21" s="144">
        <v>0</v>
      </c>
      <c r="H21" s="239">
        <v>0</v>
      </c>
      <c r="I21" s="3"/>
      <c r="J21" s="3"/>
      <c r="K21" s="3"/>
      <c r="L21" s="3"/>
      <c r="M21" s="3"/>
    </row>
    <row r="22" spans="2:13">
      <c r="B22" s="3">
        <v>13</v>
      </c>
      <c r="C22" s="60" t="s">
        <v>110</v>
      </c>
      <c r="D22" s="144">
        <v>0.10731870959215956</v>
      </c>
      <c r="E22" s="144">
        <v>9.4658924119334409E-2</v>
      </c>
      <c r="F22" s="144">
        <v>0.13361822709883872</v>
      </c>
      <c r="G22" s="144">
        <v>0.10845044838810666</v>
      </c>
      <c r="H22" s="239">
        <v>5.501038942185818E-2</v>
      </c>
      <c r="I22" s="3"/>
      <c r="J22" s="3"/>
      <c r="K22" s="3"/>
      <c r="L22" s="3"/>
      <c r="M22" s="3"/>
    </row>
    <row r="23" spans="2:13">
      <c r="B23" s="3">
        <v>14</v>
      </c>
      <c r="C23" s="60" t="s">
        <v>111</v>
      </c>
      <c r="D23" s="144">
        <v>0.6944546283277524</v>
      </c>
      <c r="E23" s="144">
        <v>7.137865778659222E-2</v>
      </c>
      <c r="F23" s="144">
        <v>0.10373185044644756</v>
      </c>
      <c r="G23" s="144">
        <v>6.2130102233764625E-2</v>
      </c>
      <c r="H23" s="239">
        <v>8.2203982398215331E-2</v>
      </c>
      <c r="I23" s="3"/>
      <c r="J23" s="3"/>
      <c r="K23" s="3"/>
      <c r="L23" s="3"/>
      <c r="M23" s="3"/>
    </row>
    <row r="24" spans="2:13">
      <c r="B24" s="3">
        <v>15</v>
      </c>
      <c r="C24" s="60" t="s">
        <v>112</v>
      </c>
      <c r="D24" s="144">
        <v>0</v>
      </c>
      <c r="E24" s="144">
        <v>0</v>
      </c>
      <c r="F24" s="144">
        <v>0</v>
      </c>
      <c r="G24" s="144">
        <v>0</v>
      </c>
      <c r="H24" s="239">
        <v>0</v>
      </c>
      <c r="I24" s="3"/>
      <c r="J24" s="3"/>
      <c r="K24" s="3"/>
      <c r="L24" s="3"/>
      <c r="M24" s="3"/>
    </row>
    <row r="25" spans="2:13">
      <c r="B25" s="3">
        <v>16</v>
      </c>
      <c r="C25" s="59" t="s">
        <v>113</v>
      </c>
      <c r="D25" s="144">
        <v>0</v>
      </c>
      <c r="E25" s="144">
        <v>0</v>
      </c>
      <c r="F25" s="144">
        <v>0</v>
      </c>
      <c r="G25" s="144">
        <v>0</v>
      </c>
      <c r="H25" s="239">
        <v>0</v>
      </c>
      <c r="I25" s="3"/>
      <c r="J25" s="3"/>
      <c r="K25" s="3"/>
      <c r="L25" s="3"/>
      <c r="M25" s="3"/>
    </row>
    <row r="26" spans="2:13">
      <c r="B26" s="3">
        <v>17</v>
      </c>
      <c r="C26" s="59" t="s">
        <v>114</v>
      </c>
      <c r="D26" s="144">
        <v>0</v>
      </c>
      <c r="E26" s="144">
        <v>0</v>
      </c>
      <c r="F26" s="144">
        <v>0</v>
      </c>
      <c r="G26" s="144">
        <v>0</v>
      </c>
      <c r="H26" s="239">
        <v>0</v>
      </c>
      <c r="I26" s="3"/>
      <c r="J26" s="3"/>
      <c r="K26" s="3"/>
      <c r="L26" s="3"/>
      <c r="M26" s="3"/>
    </row>
    <row r="27" spans="2:13">
      <c r="B27" s="3">
        <v>18</v>
      </c>
      <c r="C27" s="60" t="s">
        <v>115</v>
      </c>
      <c r="D27" s="144">
        <v>2.863881745694041E-2</v>
      </c>
      <c r="E27" s="144">
        <v>1.5106566321730948E-2</v>
      </c>
      <c r="F27" s="144">
        <v>1.9924157966164428E-2</v>
      </c>
      <c r="G27" s="144">
        <v>2.6630248214919112E-2</v>
      </c>
      <c r="H27" s="239">
        <v>0.10576607466063659</v>
      </c>
      <c r="I27" s="3"/>
      <c r="J27" s="3"/>
      <c r="K27" s="3"/>
      <c r="L27" s="3"/>
      <c r="M27" s="3"/>
    </row>
    <row r="28" spans="2:13">
      <c r="B28" s="3">
        <v>19</v>
      </c>
      <c r="C28" s="60" t="s">
        <v>116</v>
      </c>
      <c r="D28" s="144">
        <v>1.5349446928257731</v>
      </c>
      <c r="E28" s="144">
        <v>1.3848070444977176</v>
      </c>
      <c r="F28" s="144">
        <v>1.3746563126865272</v>
      </c>
      <c r="G28" s="144">
        <v>1.3303510783777817</v>
      </c>
      <c r="H28" s="239">
        <v>1.3922674480395063</v>
      </c>
      <c r="I28" s="3"/>
      <c r="J28" s="3"/>
      <c r="K28" s="3"/>
      <c r="L28" s="3"/>
      <c r="M28" s="3"/>
    </row>
    <row r="29" spans="2:13">
      <c r="B29" s="3">
        <v>20</v>
      </c>
      <c r="C29" s="60" t="s">
        <v>117</v>
      </c>
      <c r="D29" s="144">
        <v>0</v>
      </c>
      <c r="E29" s="144">
        <v>0</v>
      </c>
      <c r="F29" s="144">
        <v>0</v>
      </c>
      <c r="G29" s="144">
        <v>0</v>
      </c>
      <c r="H29" s="239">
        <v>0</v>
      </c>
      <c r="I29" s="3"/>
      <c r="J29" s="3"/>
      <c r="K29" s="3"/>
      <c r="L29" s="3"/>
      <c r="M29" s="3"/>
    </row>
    <row r="30" spans="2:13">
      <c r="B30" s="3">
        <v>21</v>
      </c>
      <c r="C30" s="60" t="s">
        <v>118</v>
      </c>
      <c r="D30" s="144">
        <v>0</v>
      </c>
      <c r="E30" s="144">
        <v>0</v>
      </c>
      <c r="F30" s="144">
        <v>0</v>
      </c>
      <c r="G30" s="144">
        <v>0</v>
      </c>
      <c r="H30" s="239">
        <v>0</v>
      </c>
      <c r="I30" s="3"/>
      <c r="J30" s="3"/>
      <c r="K30" s="3"/>
      <c r="L30" s="3"/>
      <c r="M30" s="3"/>
    </row>
    <row r="31" spans="2:13">
      <c r="B31" s="3">
        <v>22</v>
      </c>
      <c r="C31" s="60" t="s">
        <v>119</v>
      </c>
      <c r="D31" s="144">
        <v>0</v>
      </c>
      <c r="E31" s="144">
        <v>0</v>
      </c>
      <c r="F31" s="144">
        <v>3.083965E-2</v>
      </c>
      <c r="G31" s="144">
        <v>4.0349099999999999E-2</v>
      </c>
      <c r="H31" s="239">
        <v>3.5342955000000002E-2</v>
      </c>
      <c r="I31" s="3"/>
      <c r="J31" s="3"/>
      <c r="K31" s="3"/>
      <c r="L31" s="3"/>
      <c r="M31" s="3"/>
    </row>
    <row r="32" spans="2:13">
      <c r="B32" s="3">
        <v>23</v>
      </c>
      <c r="C32" s="60" t="s">
        <v>120</v>
      </c>
      <c r="D32" s="144">
        <v>0</v>
      </c>
      <c r="E32" s="144">
        <v>0</v>
      </c>
      <c r="F32" s="144">
        <v>0</v>
      </c>
      <c r="G32" s="144">
        <v>0</v>
      </c>
      <c r="H32" s="239">
        <v>0</v>
      </c>
      <c r="I32" s="3"/>
      <c r="J32" s="3"/>
      <c r="K32" s="3"/>
      <c r="L32" s="3"/>
      <c r="M32" s="3"/>
    </row>
    <row r="33" spans="2:13">
      <c r="B33" s="3">
        <v>24</v>
      </c>
      <c r="C33" s="60" t="s">
        <v>121</v>
      </c>
      <c r="D33" s="144">
        <v>4.8121332878841142E-2</v>
      </c>
      <c r="E33" s="144">
        <v>8.5517925496969606E-3</v>
      </c>
      <c r="F33" s="144">
        <v>4.6935502768224793E-2</v>
      </c>
      <c r="G33" s="144">
        <v>3.7730683859475964E-2</v>
      </c>
      <c r="H33" s="239">
        <v>5.2208955778180056E-2</v>
      </c>
      <c r="I33" s="3"/>
      <c r="J33" s="3"/>
      <c r="K33" s="3"/>
      <c r="L33" s="3"/>
      <c r="M33" s="3"/>
    </row>
    <row r="34" spans="2:13">
      <c r="B34" s="3">
        <v>25</v>
      </c>
      <c r="C34" s="60" t="s">
        <v>122</v>
      </c>
      <c r="D34" s="144">
        <v>0</v>
      </c>
      <c r="E34" s="144">
        <v>0</v>
      </c>
      <c r="F34" s="144">
        <v>0</v>
      </c>
      <c r="G34" s="144">
        <v>0</v>
      </c>
      <c r="H34" s="239">
        <v>0</v>
      </c>
      <c r="I34" s="3"/>
      <c r="J34" s="3"/>
      <c r="K34" s="3"/>
      <c r="L34" s="3"/>
      <c r="M34" s="3"/>
    </row>
    <row r="35" spans="2:13">
      <c r="B35" s="3">
        <v>26</v>
      </c>
      <c r="C35" s="60" t="s">
        <v>123</v>
      </c>
      <c r="D35" s="144">
        <v>0</v>
      </c>
      <c r="E35" s="144">
        <v>0</v>
      </c>
      <c r="F35" s="144">
        <v>0</v>
      </c>
      <c r="G35" s="144">
        <v>0</v>
      </c>
      <c r="H35" s="239">
        <v>0</v>
      </c>
      <c r="I35" s="3"/>
      <c r="J35" s="3"/>
      <c r="K35" s="3"/>
      <c r="L35" s="3"/>
      <c r="M35" s="3"/>
    </row>
    <row r="36" spans="2:13">
      <c r="B36" s="3">
        <v>27</v>
      </c>
      <c r="C36" s="60" t="s">
        <v>124</v>
      </c>
      <c r="D36" s="144">
        <v>2.1482528011396222E-2</v>
      </c>
      <c r="E36" s="144">
        <v>2.4221805650571381E-2</v>
      </c>
      <c r="F36" s="144">
        <v>2.2947928136421818E-2</v>
      </c>
      <c r="G36" s="144">
        <v>2.5044285720694601E-2</v>
      </c>
      <c r="H36" s="239">
        <v>0</v>
      </c>
      <c r="I36" s="144"/>
      <c r="J36" s="144"/>
      <c r="K36" s="144"/>
      <c r="L36" s="144"/>
      <c r="M36" s="144"/>
    </row>
    <row r="37" spans="2:13">
      <c r="B37" s="3">
        <v>28</v>
      </c>
      <c r="C37" s="60" t="s">
        <v>95</v>
      </c>
      <c r="D37" s="144">
        <v>0.16436765348863153</v>
      </c>
      <c r="E37" s="144">
        <v>0.39225458295522264</v>
      </c>
      <c r="F37" s="144">
        <v>3.5810197663970129</v>
      </c>
      <c r="G37" s="144">
        <v>4.1550835396573088E-3</v>
      </c>
      <c r="H37" s="239">
        <v>0.82845072168147449</v>
      </c>
      <c r="I37" s="144">
        <v>16.27007782740338</v>
      </c>
      <c r="J37" s="144">
        <v>17.067311640946144</v>
      </c>
      <c r="K37" s="144">
        <v>17.903609911352504</v>
      </c>
      <c r="L37" s="144">
        <v>18.780886797008776</v>
      </c>
      <c r="M37" s="144">
        <v>19.701150250062206</v>
      </c>
    </row>
    <row r="38" spans="2:13" ht="15">
      <c r="B38" s="3">
        <v>29</v>
      </c>
      <c r="C38" s="61" t="s">
        <v>125</v>
      </c>
      <c r="D38" s="132">
        <f>SUM(D10:D37)</f>
        <v>11.297266605590691</v>
      </c>
      <c r="E38" s="132">
        <f t="shared" ref="E38:G38" si="0">SUM(E10:E37)</f>
        <v>13.12160252690734</v>
      </c>
      <c r="F38" s="132">
        <f t="shared" si="0"/>
        <v>18.77849613825893</v>
      </c>
      <c r="G38" s="132">
        <f t="shared" si="0"/>
        <v>12.456280917608222</v>
      </c>
      <c r="H38" s="240">
        <f t="shared" ref="H38" si="1">SUM(H10:H37)</f>
        <v>14.821043151630267</v>
      </c>
      <c r="I38" s="132">
        <f t="shared" ref="I38:J38" si="2">SUM(I10:I37)</f>
        <v>16.27007782740338</v>
      </c>
      <c r="J38" s="132">
        <f t="shared" si="2"/>
        <v>17.067311640946144</v>
      </c>
      <c r="K38" s="132">
        <f t="shared" ref="K38" si="3">SUM(K10:K37)</f>
        <v>17.903609911352504</v>
      </c>
      <c r="L38" s="132">
        <f t="shared" ref="L38" si="4">SUM(L10:L37)</f>
        <v>18.780886797008776</v>
      </c>
      <c r="M38" s="132">
        <f>SUM(M10:M37)</f>
        <v>19.701150250062206</v>
      </c>
    </row>
    <row r="39" spans="2:13">
      <c r="B39" s="3">
        <v>30</v>
      </c>
      <c r="C39" s="49" t="s">
        <v>17</v>
      </c>
      <c r="D39" s="144">
        <v>0</v>
      </c>
      <c r="E39" s="144">
        <v>0</v>
      </c>
      <c r="F39" s="144">
        <v>0</v>
      </c>
      <c r="G39" s="144">
        <v>0</v>
      </c>
      <c r="H39" s="239">
        <v>0</v>
      </c>
      <c r="I39" s="144"/>
      <c r="J39" s="144"/>
      <c r="K39" s="144"/>
      <c r="L39" s="144"/>
      <c r="M39" s="144"/>
    </row>
    <row r="40" spans="2:13" ht="15">
      <c r="B40" s="3">
        <v>31</v>
      </c>
      <c r="C40" s="25" t="s">
        <v>126</v>
      </c>
      <c r="D40" s="132">
        <f>D38-D39</f>
        <v>11.297266605590691</v>
      </c>
      <c r="E40" s="132">
        <f t="shared" ref="E40:G40" si="5">E38-E39</f>
        <v>13.12160252690734</v>
      </c>
      <c r="F40" s="132">
        <f t="shared" si="5"/>
        <v>18.77849613825893</v>
      </c>
      <c r="G40" s="132">
        <f t="shared" si="5"/>
        <v>12.456280917608222</v>
      </c>
      <c r="H40" s="240">
        <f t="shared" ref="H40" si="6">H38-H39</f>
        <v>14.821043151630267</v>
      </c>
      <c r="I40" s="132">
        <f t="shared" ref="I40:J40" si="7">I38-I39</f>
        <v>16.27007782740338</v>
      </c>
      <c r="J40" s="132">
        <f t="shared" si="7"/>
        <v>17.067311640946144</v>
      </c>
      <c r="K40" s="132">
        <f>K38-K39</f>
        <v>17.903609911352504</v>
      </c>
      <c r="L40" s="132">
        <f t="shared" ref="L40" si="8">L38-L39</f>
        <v>18.780886797008776</v>
      </c>
      <c r="M40" s="132">
        <f t="shared" ref="M40" si="9">M38-M39</f>
        <v>19.701150250062206</v>
      </c>
    </row>
  </sheetData>
  <mergeCells count="6">
    <mergeCell ref="B7:B9"/>
    <mergeCell ref="C7:C9"/>
    <mergeCell ref="I7:M7"/>
    <mergeCell ref="B3:M3"/>
    <mergeCell ref="B4:M4"/>
    <mergeCell ref="B5:M5"/>
  </mergeCells>
  <pageMargins left="0" right="0" top="1" bottom="1" header="0.5" footer="0.5"/>
  <pageSetup paperSize="9" scale="7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N22"/>
  <sheetViews>
    <sheetView showGridLines="0" zoomScale="80" zoomScaleNormal="80" zoomScaleSheetLayoutView="90" workbookViewId="0">
      <selection activeCell="F27" sqref="F27"/>
    </sheetView>
  </sheetViews>
  <sheetFormatPr defaultColWidth="9.28515625" defaultRowHeight="14.25"/>
  <cols>
    <col min="1" max="1" width="4.5703125" style="19" customWidth="1"/>
    <col min="2" max="2" width="8.7109375" style="62" customWidth="1"/>
    <col min="3" max="3" width="45.7109375" style="19" customWidth="1"/>
    <col min="4" max="8" width="15.710937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4" ht="15">
      <c r="B2" s="314" t="s">
        <v>511</v>
      </c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42"/>
    </row>
    <row r="3" spans="2:14" ht="15">
      <c r="B3" s="314" t="s">
        <v>520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9"/>
    </row>
    <row r="4" spans="2:14" s="4" customFormat="1" ht="15">
      <c r="B4" s="306" t="s">
        <v>519</v>
      </c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8"/>
    </row>
    <row r="6" spans="2:14" ht="15">
      <c r="M6" s="32" t="s">
        <v>4</v>
      </c>
    </row>
    <row r="7" spans="2:14" ht="12.75" customHeight="1">
      <c r="B7" s="301" t="s">
        <v>200</v>
      </c>
      <c r="C7" s="299" t="s">
        <v>18</v>
      </c>
      <c r="D7" s="21" t="s">
        <v>492</v>
      </c>
      <c r="E7" s="21" t="s">
        <v>493</v>
      </c>
      <c r="F7" s="21" t="s">
        <v>494</v>
      </c>
      <c r="G7" s="21" t="s">
        <v>467</v>
      </c>
      <c r="H7" s="21" t="s">
        <v>468</v>
      </c>
      <c r="I7" s="309" t="s">
        <v>238</v>
      </c>
      <c r="J7" s="309"/>
      <c r="K7" s="309"/>
      <c r="L7" s="309"/>
      <c r="M7" s="309"/>
    </row>
    <row r="8" spans="2:14" ht="15">
      <c r="B8" s="301"/>
      <c r="C8" s="299"/>
      <c r="D8" s="21" t="s">
        <v>256</v>
      </c>
      <c r="E8" s="21" t="s">
        <v>256</v>
      </c>
      <c r="F8" s="21" t="s">
        <v>256</v>
      </c>
      <c r="G8" s="21" t="s">
        <v>256</v>
      </c>
      <c r="H8" s="21" t="s">
        <v>255</v>
      </c>
      <c r="I8" s="21" t="s">
        <v>469</v>
      </c>
      <c r="J8" s="21" t="s">
        <v>470</v>
      </c>
      <c r="K8" s="21" t="s">
        <v>471</v>
      </c>
      <c r="L8" s="21" t="s">
        <v>472</v>
      </c>
      <c r="M8" s="21" t="s">
        <v>473</v>
      </c>
    </row>
    <row r="9" spans="2:14" ht="15">
      <c r="B9" s="301"/>
      <c r="C9" s="299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4">
      <c r="B10" s="2">
        <v>1</v>
      </c>
      <c r="C10" s="60" t="s">
        <v>127</v>
      </c>
      <c r="D10" s="144">
        <v>20.862982305677811</v>
      </c>
      <c r="E10" s="144">
        <v>17.21419405352249</v>
      </c>
      <c r="F10" s="144">
        <v>34.371236337213759</v>
      </c>
      <c r="G10" s="144">
        <v>20.392596087006428</v>
      </c>
      <c r="H10" s="239">
        <v>23.909043994171601</v>
      </c>
      <c r="I10" s="3"/>
      <c r="J10" s="3"/>
      <c r="K10" s="3"/>
      <c r="L10" s="3"/>
      <c r="M10" s="3"/>
    </row>
    <row r="11" spans="2:14">
      <c r="B11" s="2">
        <v>2</v>
      </c>
      <c r="C11" s="60" t="s">
        <v>128</v>
      </c>
      <c r="D11" s="144">
        <v>0</v>
      </c>
      <c r="E11" s="144">
        <v>2.6908147371343086E-3</v>
      </c>
      <c r="F11" s="144">
        <v>0</v>
      </c>
      <c r="G11" s="144">
        <v>1.7595885446385884E-3</v>
      </c>
      <c r="H11" s="239">
        <v>0</v>
      </c>
      <c r="I11" s="3"/>
      <c r="J11" s="3"/>
      <c r="K11" s="3"/>
      <c r="L11" s="3"/>
      <c r="M11" s="3"/>
    </row>
    <row r="12" spans="2:14">
      <c r="B12" s="2">
        <v>3</v>
      </c>
      <c r="C12" s="60" t="s">
        <v>129</v>
      </c>
      <c r="D12" s="144">
        <v>3.9996419884326921</v>
      </c>
      <c r="E12" s="144">
        <v>1.9473424207017795</v>
      </c>
      <c r="F12" s="144">
        <v>3.5783650994962755</v>
      </c>
      <c r="G12" s="144">
        <v>3.1777867202376204</v>
      </c>
      <c r="H12" s="239">
        <v>3.2336190425048477</v>
      </c>
      <c r="I12" s="3"/>
      <c r="J12" s="3"/>
      <c r="K12" s="3"/>
      <c r="L12" s="3"/>
      <c r="M12" s="3"/>
    </row>
    <row r="13" spans="2:14">
      <c r="B13" s="2">
        <v>4</v>
      </c>
      <c r="C13" s="60" t="s">
        <v>130</v>
      </c>
      <c r="D13" s="144">
        <v>0</v>
      </c>
      <c r="E13" s="144">
        <v>0</v>
      </c>
      <c r="F13" s="144">
        <v>0</v>
      </c>
      <c r="G13" s="144">
        <v>0</v>
      </c>
      <c r="H13" s="239">
        <v>0</v>
      </c>
      <c r="I13" s="3"/>
      <c r="J13" s="3"/>
      <c r="K13" s="3"/>
      <c r="L13" s="3"/>
      <c r="M13" s="3"/>
    </row>
    <row r="14" spans="2:14">
      <c r="B14" s="2">
        <v>5</v>
      </c>
      <c r="C14" s="60" t="s">
        <v>131</v>
      </c>
      <c r="D14" s="144">
        <v>0.84611336668068016</v>
      </c>
      <c r="E14" s="144">
        <v>0.89761637650646176</v>
      </c>
      <c r="F14" s="144">
        <v>1.2349992961443179</v>
      </c>
      <c r="G14" s="144">
        <v>0.93654313006403156</v>
      </c>
      <c r="H14" s="239">
        <v>0.83092809942162693</v>
      </c>
      <c r="I14" s="3"/>
      <c r="J14" s="3"/>
      <c r="K14" s="3"/>
      <c r="L14" s="3"/>
      <c r="M14" s="3"/>
    </row>
    <row r="15" spans="2:14">
      <c r="B15" s="2">
        <v>6</v>
      </c>
      <c r="C15" s="60" t="s">
        <v>132</v>
      </c>
      <c r="D15" s="144">
        <v>2.6609278E-2</v>
      </c>
      <c r="E15" s="144">
        <v>1.1199502E-2</v>
      </c>
      <c r="F15" s="144">
        <v>2.3042693E-2</v>
      </c>
      <c r="G15" s="144">
        <v>1.8009111000000001E-2</v>
      </c>
      <c r="H15" s="239">
        <v>1.7776719783823624E-2</v>
      </c>
      <c r="I15" s="3"/>
      <c r="J15" s="3"/>
      <c r="K15" s="3"/>
      <c r="L15" s="3"/>
      <c r="M15" s="3"/>
    </row>
    <row r="16" spans="2:14">
      <c r="B16" s="2">
        <v>7</v>
      </c>
      <c r="C16" s="60" t="s">
        <v>133</v>
      </c>
      <c r="D16" s="144">
        <v>1.0721092463408766E-4</v>
      </c>
      <c r="E16" s="144">
        <v>5.014419443887543E-4</v>
      </c>
      <c r="F16" s="144">
        <v>0</v>
      </c>
      <c r="G16" s="144">
        <v>0</v>
      </c>
      <c r="H16" s="239">
        <v>0</v>
      </c>
      <c r="I16" s="3"/>
      <c r="J16" s="3"/>
      <c r="K16" s="3"/>
      <c r="L16" s="3"/>
      <c r="M16" s="3"/>
    </row>
    <row r="17" spans="2:13">
      <c r="B17" s="2">
        <v>8</v>
      </c>
      <c r="C17" s="60" t="s">
        <v>134</v>
      </c>
      <c r="D17" s="144">
        <v>0.11993393886707804</v>
      </c>
      <c r="E17" s="144">
        <v>0.31907833109781314</v>
      </c>
      <c r="F17" s="144">
        <v>0.38394269014978488</v>
      </c>
      <c r="G17" s="144">
        <v>0.22430657038958712</v>
      </c>
      <c r="H17" s="239">
        <v>0.24683756636855575</v>
      </c>
      <c r="I17" s="144">
        <v>31.901884235068259</v>
      </c>
      <c r="J17" s="144">
        <v>31.932067569840516</v>
      </c>
      <c r="K17" s="144">
        <v>31.932067569840516</v>
      </c>
      <c r="L17" s="144">
        <v>31.932067569840516</v>
      </c>
      <c r="M17" s="144">
        <v>31.932067569840516</v>
      </c>
    </row>
    <row r="18" spans="2:13" ht="15">
      <c r="B18" s="2">
        <v>9</v>
      </c>
      <c r="C18" s="61" t="s">
        <v>135</v>
      </c>
      <c r="D18" s="132">
        <f>SUM(D10:D17)</f>
        <v>25.855388088582895</v>
      </c>
      <c r="E18" s="132">
        <f t="shared" ref="E18:M18" si="0">SUM(E10:E17)</f>
        <v>20.392622940510073</v>
      </c>
      <c r="F18" s="132">
        <f t="shared" si="0"/>
        <v>39.591586116004137</v>
      </c>
      <c r="G18" s="132">
        <f t="shared" si="0"/>
        <v>24.751001207242304</v>
      </c>
      <c r="H18" s="132">
        <f t="shared" si="0"/>
        <v>28.238205422250456</v>
      </c>
      <c r="I18" s="132">
        <f t="shared" si="0"/>
        <v>31.901884235068259</v>
      </c>
      <c r="J18" s="132">
        <f t="shared" si="0"/>
        <v>31.932067569840516</v>
      </c>
      <c r="K18" s="132">
        <f t="shared" si="0"/>
        <v>31.932067569840516</v>
      </c>
      <c r="L18" s="132">
        <f t="shared" si="0"/>
        <v>31.932067569840516</v>
      </c>
      <c r="M18" s="132">
        <f t="shared" si="0"/>
        <v>31.932067569840516</v>
      </c>
    </row>
    <row r="19" spans="2:13">
      <c r="B19" s="2"/>
      <c r="C19" s="59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2:13" ht="15">
      <c r="B20" s="2">
        <v>10</v>
      </c>
      <c r="C20" s="63" t="s">
        <v>136</v>
      </c>
      <c r="D20" s="144">
        <v>2149.48</v>
      </c>
      <c r="E20" s="3">
        <v>2152.84</v>
      </c>
      <c r="F20" s="3">
        <v>2188.98</v>
      </c>
      <c r="G20" s="132">
        <f>'F4'!F22</f>
        <v>2473.36</v>
      </c>
      <c r="H20" s="132">
        <f>'F4'!F40</f>
        <v>2473.23</v>
      </c>
      <c r="I20" s="132">
        <f>'F4'!F57</f>
        <v>2473.23</v>
      </c>
      <c r="J20" s="132">
        <f>'F4'!F74</f>
        <v>2475.5691448086582</v>
      </c>
      <c r="K20" s="132">
        <f>'F4'!F91</f>
        <v>2475.5691448086582</v>
      </c>
      <c r="L20" s="132">
        <f>'F4'!F108</f>
        <v>2475.5691448086582</v>
      </c>
      <c r="M20" s="132">
        <f>'F4'!F125</f>
        <v>2475.5691448086582</v>
      </c>
    </row>
    <row r="21" spans="2:13" ht="28.5">
      <c r="B21" s="2">
        <v>11</v>
      </c>
      <c r="C21" s="63" t="s">
        <v>137</v>
      </c>
      <c r="D21" s="145">
        <f>IFERROR(D18/D20,0)</f>
        <v>1.2028671161668355E-2</v>
      </c>
      <c r="E21" s="145">
        <f t="shared" ref="E21:M21" si="1">IFERROR(E18/E20,0)</f>
        <v>9.4724284854007124E-3</v>
      </c>
      <c r="F21" s="145">
        <f t="shared" si="1"/>
        <v>1.8086773801498476E-2</v>
      </c>
      <c r="G21" s="145">
        <f t="shared" si="1"/>
        <v>1.0007035452680687E-2</v>
      </c>
      <c r="H21" s="145">
        <f t="shared" si="1"/>
        <v>1.1417541200070538E-2</v>
      </c>
      <c r="I21" s="145">
        <f t="shared" si="1"/>
        <v>1.2898874845876955E-2</v>
      </c>
      <c r="J21" s="145">
        <f t="shared" si="1"/>
        <v>1.2898879288749825E-2</v>
      </c>
      <c r="K21" s="145">
        <f t="shared" si="1"/>
        <v>1.2898879288749825E-2</v>
      </c>
      <c r="L21" s="145">
        <f t="shared" si="1"/>
        <v>1.2898879288749825E-2</v>
      </c>
      <c r="M21" s="145">
        <f t="shared" si="1"/>
        <v>1.2898879288749825E-2</v>
      </c>
    </row>
    <row r="22" spans="2:13">
      <c r="B22" s="2"/>
      <c r="C22" s="59"/>
      <c r="D22" s="3"/>
      <c r="E22" s="3"/>
      <c r="F22" s="3"/>
      <c r="G22" s="3"/>
      <c r="H22" s="3"/>
      <c r="I22" s="3"/>
      <c r="J22" s="3"/>
      <c r="K22" s="3"/>
      <c r="L22" s="3"/>
      <c r="M22" s="3"/>
    </row>
  </sheetData>
  <mergeCells count="6">
    <mergeCell ref="B7:B9"/>
    <mergeCell ref="C7:C9"/>
    <mergeCell ref="I7:M7"/>
    <mergeCell ref="B2:M2"/>
    <mergeCell ref="B3:M3"/>
    <mergeCell ref="B4:M4"/>
  </mergeCells>
  <pageMargins left="0" right="0" top="1" bottom="1" header="0.5" footer="0.5"/>
  <pageSetup paperSize="9" scale="7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6"/>
  <sheetViews>
    <sheetView showGridLines="0" zoomScale="90" zoomScaleNormal="90" zoomScaleSheetLayoutView="90" workbookViewId="0">
      <selection activeCell="I11" sqref="I11"/>
    </sheetView>
  </sheetViews>
  <sheetFormatPr defaultColWidth="9.28515625" defaultRowHeight="14.25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3.7109375" style="4" bestFit="1" customWidth="1"/>
    <col min="8" max="8" width="12.5703125" style="4" customWidth="1"/>
    <col min="9" max="9" width="11.7109375" style="4" bestFit="1" customWidth="1"/>
    <col min="10" max="10" width="13.7109375" style="4" bestFit="1" customWidth="1"/>
    <col min="11" max="16" width="11.7109375" style="4" bestFit="1" customWidth="1"/>
    <col min="17" max="16384" width="9.28515625" style="4"/>
  </cols>
  <sheetData>
    <row r="1" spans="2:14" ht="15">
      <c r="B1" s="64"/>
    </row>
    <row r="2" spans="2:14" ht="15">
      <c r="B2" s="314" t="s">
        <v>511</v>
      </c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42"/>
    </row>
    <row r="3" spans="2:14" ht="15">
      <c r="B3" s="314" t="s">
        <v>500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42"/>
    </row>
    <row r="4" spans="2:14" ht="15">
      <c r="B4" s="306" t="s">
        <v>521</v>
      </c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8"/>
    </row>
    <row r="5" spans="2:14" ht="15">
      <c r="B5" s="42"/>
      <c r="C5" s="65"/>
      <c r="D5" s="65"/>
      <c r="E5" s="65"/>
      <c r="F5" s="65"/>
      <c r="G5" s="65"/>
      <c r="H5" s="65"/>
      <c r="I5" s="65"/>
      <c r="J5" s="65"/>
    </row>
    <row r="6" spans="2:14" ht="15">
      <c r="M6" s="32" t="s">
        <v>4</v>
      </c>
    </row>
    <row r="7" spans="2:14" s="19" customFormat="1" ht="15" customHeight="1">
      <c r="B7" s="296" t="s">
        <v>200</v>
      </c>
      <c r="C7" s="299" t="s">
        <v>18</v>
      </c>
      <c r="D7" s="303" t="s">
        <v>467</v>
      </c>
      <c r="E7" s="304"/>
      <c r="F7" s="305"/>
      <c r="G7" s="303" t="s">
        <v>468</v>
      </c>
      <c r="H7" s="304"/>
      <c r="I7" s="309" t="s">
        <v>238</v>
      </c>
      <c r="J7" s="309"/>
      <c r="K7" s="309"/>
      <c r="L7" s="309"/>
      <c r="M7" s="309"/>
    </row>
    <row r="8" spans="2:14" s="19" customFormat="1" ht="45">
      <c r="B8" s="297"/>
      <c r="C8" s="299"/>
      <c r="D8" s="21" t="s">
        <v>377</v>
      </c>
      <c r="E8" s="21" t="s">
        <v>256</v>
      </c>
      <c r="F8" s="21" t="s">
        <v>216</v>
      </c>
      <c r="G8" s="21" t="s">
        <v>377</v>
      </c>
      <c r="H8" s="21" t="s">
        <v>255</v>
      </c>
      <c r="I8" s="21" t="s">
        <v>469</v>
      </c>
      <c r="J8" s="21" t="s">
        <v>470</v>
      </c>
      <c r="K8" s="21" t="s">
        <v>471</v>
      </c>
      <c r="L8" s="21" t="s">
        <v>472</v>
      </c>
      <c r="M8" s="21" t="s">
        <v>473</v>
      </c>
    </row>
    <row r="9" spans="2:14" s="19" customFormat="1" ht="15">
      <c r="B9" s="298"/>
      <c r="C9" s="300"/>
      <c r="D9" s="21" t="s">
        <v>10</v>
      </c>
      <c r="E9" s="21" t="s">
        <v>12</v>
      </c>
      <c r="F9" s="21" t="s">
        <v>245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4" s="5" customFormat="1">
      <c r="B10" s="68">
        <v>1</v>
      </c>
      <c r="C10" s="33" t="s">
        <v>260</v>
      </c>
      <c r="D10" s="141"/>
      <c r="E10" s="140"/>
      <c r="F10" s="140"/>
      <c r="G10" s="129"/>
      <c r="H10" s="129">
        <f>E13</f>
        <v>3.8471979999999961E-3</v>
      </c>
      <c r="I10" s="129">
        <f>H13</f>
        <v>0</v>
      </c>
      <c r="J10" s="129">
        <f>I13</f>
        <v>0</v>
      </c>
      <c r="K10" s="129">
        <f>J13</f>
        <v>0</v>
      </c>
      <c r="L10" s="129">
        <f>K13</f>
        <v>0</v>
      </c>
      <c r="M10" s="129">
        <f>L13</f>
        <v>0</v>
      </c>
    </row>
    <row r="11" spans="2:14" s="5" customFormat="1">
      <c r="B11" s="26">
        <v>2</v>
      </c>
      <c r="C11" s="33" t="s">
        <v>294</v>
      </c>
      <c r="D11" s="2"/>
      <c r="E11" s="125">
        <f>F3.1!G11</f>
        <v>-0.12615280200000001</v>
      </c>
      <c r="F11" s="125">
        <f>E11</f>
        <v>-0.12615280200000001</v>
      </c>
      <c r="G11" s="27"/>
      <c r="H11" s="129">
        <f>F3.1!G15</f>
        <v>0</v>
      </c>
      <c r="I11" s="129">
        <f>F3.1!G21</f>
        <v>2.3391448086579545</v>
      </c>
      <c r="J11" s="129">
        <f>F3.1!G27</f>
        <v>0</v>
      </c>
      <c r="K11" s="129">
        <f>F3.1!G33</f>
        <v>0</v>
      </c>
      <c r="L11" s="129">
        <f>F3.1!G39</f>
        <v>0</v>
      </c>
      <c r="M11" s="129">
        <f>F3.1!G45</f>
        <v>11.574529999999999</v>
      </c>
    </row>
    <row r="12" spans="2:14" s="5" customFormat="1" ht="15">
      <c r="B12" s="26">
        <v>3</v>
      </c>
      <c r="C12" s="35" t="s">
        <v>233</v>
      </c>
      <c r="D12" s="141"/>
      <c r="E12" s="149">
        <f>F3.1!H11</f>
        <v>-0.13</v>
      </c>
      <c r="F12" s="149">
        <f>E12</f>
        <v>-0.13</v>
      </c>
      <c r="G12" s="141"/>
      <c r="H12" s="128">
        <f>F3.1!H15</f>
        <v>0</v>
      </c>
      <c r="I12" s="128">
        <f>F3.1!H21</f>
        <v>2.3391448086579545</v>
      </c>
      <c r="J12" s="128">
        <f>F3.1!H27</f>
        <v>0</v>
      </c>
      <c r="K12" s="128">
        <f>F3.1!H33</f>
        <v>0</v>
      </c>
      <c r="L12" s="128">
        <f>F3.1!H39</f>
        <v>0</v>
      </c>
      <c r="M12" s="128">
        <f>F3.1!H45</f>
        <v>11.574529999999999</v>
      </c>
    </row>
    <row r="13" spans="2:14" s="5" customFormat="1" ht="15">
      <c r="B13" s="26">
        <v>4</v>
      </c>
      <c r="C13" s="33" t="s">
        <v>261</v>
      </c>
      <c r="D13" s="143">
        <f>D10+D11-D12</f>
        <v>0</v>
      </c>
      <c r="E13" s="143">
        <f>E10+E11-E12</f>
        <v>3.8471979999999961E-3</v>
      </c>
      <c r="F13" s="143">
        <f t="shared" ref="F13:M13" si="0">F10+F11-F12</f>
        <v>3.8471979999999961E-3</v>
      </c>
      <c r="G13" s="143">
        <f t="shared" si="0"/>
        <v>0</v>
      </c>
      <c r="H13" s="142">
        <v>0</v>
      </c>
      <c r="I13" s="143">
        <f t="shared" si="0"/>
        <v>0</v>
      </c>
      <c r="J13" s="143">
        <f t="shared" si="0"/>
        <v>0</v>
      </c>
      <c r="K13" s="143">
        <f t="shared" si="0"/>
        <v>0</v>
      </c>
      <c r="L13" s="143">
        <f t="shared" si="0"/>
        <v>0</v>
      </c>
      <c r="M13" s="143">
        <f t="shared" si="0"/>
        <v>0</v>
      </c>
    </row>
    <row r="14" spans="2:14" s="38" customFormat="1" ht="15">
      <c r="B14" s="69"/>
      <c r="C14" s="56"/>
      <c r="D14" s="66"/>
      <c r="E14" s="66"/>
      <c r="F14" s="66"/>
      <c r="G14" s="67"/>
      <c r="H14" s="30"/>
      <c r="I14" s="30"/>
      <c r="J14" s="30"/>
      <c r="K14" s="30"/>
    </row>
    <row r="16" spans="2:14">
      <c r="B16" s="70"/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0" right="0" top="1" bottom="1" header="0.25" footer="0.25"/>
  <pageSetup paperSize="9" scale="86" orientation="landscape" r:id="rId1"/>
  <headerFooter alignWithMargins="0">
    <oddHeader>&amp;F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46"/>
  <sheetViews>
    <sheetView showGridLines="0" zoomScale="80" zoomScaleNormal="80" zoomScaleSheetLayoutView="90" workbookViewId="0">
      <selection activeCell="F20" sqref="F20"/>
    </sheetView>
  </sheetViews>
  <sheetFormatPr defaultRowHeight="15"/>
  <cols>
    <col min="1" max="1" width="4.28515625" style="5" customWidth="1"/>
    <col min="2" max="2" width="6.28515625" style="5" customWidth="1"/>
    <col min="3" max="3" width="18.28515625" style="5" customWidth="1"/>
    <col min="4" max="4" width="21.28515625" style="38" customWidth="1"/>
    <col min="5" max="5" width="32.28515625" style="5" customWidth="1"/>
    <col min="6" max="7" width="22" style="5" customWidth="1"/>
    <col min="8" max="8" width="17.7109375" style="5" customWidth="1"/>
    <col min="9" max="9" width="35" style="5" customWidth="1"/>
    <col min="10" max="10" width="31.42578125" style="5" customWidth="1"/>
    <col min="11" max="11" width="37" style="5" customWidth="1"/>
    <col min="12" max="12" width="32.28515625" style="5" customWidth="1"/>
    <col min="13" max="13" width="13.28515625" style="5" bestFit="1" customWidth="1"/>
    <col min="14" max="14" width="12.5703125" style="5" customWidth="1"/>
    <col min="15" max="15" width="11.7109375" style="5" bestFit="1" customWidth="1"/>
    <col min="16" max="16" width="13.7109375" style="5" bestFit="1" customWidth="1"/>
    <col min="17" max="22" width="11.7109375" style="5" bestFit="1" customWidth="1"/>
    <col min="23" max="16384" width="9.140625" style="5"/>
  </cols>
  <sheetData>
    <row r="1" spans="2:17">
      <c r="B1" s="30"/>
      <c r="C1"/>
      <c r="D1"/>
      <c r="E1"/>
      <c r="F1"/>
      <c r="G1"/>
      <c r="H1"/>
      <c r="I1"/>
      <c r="J1"/>
      <c r="K1"/>
      <c r="L1"/>
      <c r="M1"/>
      <c r="N1"/>
      <c r="O1"/>
      <c r="P1"/>
      <c r="Q1"/>
    </row>
    <row r="2" spans="2:17">
      <c r="B2"/>
      <c r="C2"/>
      <c r="D2"/>
      <c r="E2"/>
      <c r="F2"/>
      <c r="G2"/>
      <c r="H2" s="39" t="s">
        <v>511</v>
      </c>
      <c r="I2" s="39"/>
      <c r="J2"/>
      <c r="K2"/>
      <c r="L2"/>
      <c r="M2"/>
      <c r="N2"/>
      <c r="O2"/>
      <c r="P2"/>
      <c r="Q2"/>
    </row>
    <row r="3" spans="2:17">
      <c r="B3"/>
      <c r="C3"/>
      <c r="D3"/>
      <c r="E3"/>
      <c r="F3"/>
      <c r="G3"/>
      <c r="H3" s="39" t="s">
        <v>495</v>
      </c>
      <c r="I3" s="39"/>
      <c r="J3"/>
      <c r="K3"/>
      <c r="L3"/>
      <c r="M3"/>
      <c r="N3"/>
      <c r="O3"/>
      <c r="P3"/>
      <c r="Q3"/>
    </row>
    <row r="4" spans="2:17">
      <c r="B4"/>
      <c r="C4"/>
      <c r="D4"/>
      <c r="E4"/>
      <c r="F4"/>
      <c r="G4"/>
      <c r="H4" s="41" t="s">
        <v>292</v>
      </c>
      <c r="I4" s="41"/>
      <c r="J4"/>
      <c r="K4"/>
      <c r="L4"/>
      <c r="M4"/>
      <c r="N4"/>
      <c r="O4"/>
      <c r="P4"/>
      <c r="Q4"/>
    </row>
    <row r="5" spans="2:17">
      <c r="B5"/>
      <c r="C5"/>
      <c r="D5"/>
      <c r="E5"/>
      <c r="F5"/>
      <c r="G5"/>
      <c r="H5"/>
      <c r="I5"/>
      <c r="J5"/>
      <c r="K5" s="41"/>
      <c r="L5"/>
      <c r="M5"/>
      <c r="N5"/>
      <c r="O5"/>
      <c r="P5"/>
      <c r="Q5"/>
    </row>
    <row r="6" spans="2:17" ht="60">
      <c r="B6" s="21" t="s">
        <v>200</v>
      </c>
      <c r="C6" s="29" t="s">
        <v>262</v>
      </c>
      <c r="D6" s="37" t="s">
        <v>264</v>
      </c>
      <c r="E6" s="29" t="s">
        <v>263</v>
      </c>
      <c r="F6" s="37" t="s">
        <v>271</v>
      </c>
      <c r="G6" s="37" t="s">
        <v>274</v>
      </c>
      <c r="H6" s="37" t="s">
        <v>275</v>
      </c>
      <c r="I6" s="37" t="s">
        <v>288</v>
      </c>
      <c r="J6" s="29" t="s">
        <v>265</v>
      </c>
      <c r="K6" s="37" t="s">
        <v>276</v>
      </c>
      <c r="L6" s="37" t="s">
        <v>188</v>
      </c>
      <c r="M6" s="31"/>
      <c r="N6" s="31"/>
      <c r="O6" s="31"/>
      <c r="P6" s="31"/>
      <c r="Q6"/>
    </row>
    <row r="7" spans="2:17" s="38" customFormat="1">
      <c r="B7" s="26"/>
      <c r="C7" s="37" t="s">
        <v>243</v>
      </c>
      <c r="D7" s="45" t="s">
        <v>475</v>
      </c>
      <c r="E7" s="36"/>
      <c r="F7" s="36"/>
      <c r="G7" s="36"/>
      <c r="H7" s="36"/>
      <c r="I7" s="36"/>
      <c r="J7" s="36"/>
      <c r="K7" s="37"/>
      <c r="L7" s="270"/>
      <c r="M7" s="30"/>
      <c r="N7" s="30"/>
      <c r="O7" s="30"/>
      <c r="P7" s="30"/>
      <c r="Q7" s="30"/>
    </row>
    <row r="8" spans="2:17">
      <c r="B8" s="26">
        <v>1</v>
      </c>
      <c r="C8" s="271" t="s">
        <v>496</v>
      </c>
      <c r="D8" s="36"/>
      <c r="E8" s="66"/>
      <c r="F8" s="36"/>
      <c r="G8" s="153">
        <v>-0.23</v>
      </c>
      <c r="H8" s="272">
        <v>-0.23</v>
      </c>
      <c r="I8" s="271" t="s">
        <v>496</v>
      </c>
      <c r="J8" s="33"/>
      <c r="K8" s="33"/>
      <c r="L8" s="33"/>
      <c r="M8"/>
      <c r="N8"/>
      <c r="O8"/>
      <c r="P8"/>
      <c r="Q8"/>
    </row>
    <row r="9" spans="2:17">
      <c r="B9" s="26">
        <v>2</v>
      </c>
      <c r="C9" s="271" t="s">
        <v>476</v>
      </c>
      <c r="D9" s="33"/>
      <c r="E9" s="273" t="s">
        <v>497</v>
      </c>
      <c r="F9" s="33"/>
      <c r="G9" s="274">
        <v>0.103847198</v>
      </c>
      <c r="H9" s="272">
        <v>0.1</v>
      </c>
      <c r="I9" s="273" t="s">
        <v>498</v>
      </c>
      <c r="J9" s="33"/>
      <c r="K9" s="33"/>
      <c r="L9" s="33"/>
      <c r="M9"/>
      <c r="N9"/>
      <c r="O9"/>
      <c r="P9"/>
      <c r="Q9"/>
    </row>
    <row r="10" spans="2:17">
      <c r="B10" s="33"/>
      <c r="C10" s="33" t="s">
        <v>9</v>
      </c>
      <c r="D10" s="45"/>
      <c r="E10" s="33"/>
      <c r="F10" s="140">
        <v>0</v>
      </c>
      <c r="G10" s="140">
        <v>-0.12615280200000001</v>
      </c>
      <c r="H10" s="33">
        <v>-0.13</v>
      </c>
      <c r="I10" s="33"/>
      <c r="J10" s="33"/>
      <c r="K10" s="33"/>
      <c r="L10" s="33"/>
      <c r="M10"/>
      <c r="N10"/>
      <c r="O10"/>
      <c r="P10"/>
      <c r="Q10"/>
    </row>
    <row r="11" spans="2:17">
      <c r="B11" s="33"/>
      <c r="C11" s="29" t="s">
        <v>139</v>
      </c>
      <c r="D11" s="152"/>
      <c r="E11" s="140"/>
      <c r="F11" s="133">
        <v>0</v>
      </c>
      <c r="G11" s="133">
        <v>-0.12615280200000001</v>
      </c>
      <c r="H11" s="133">
        <v>-0.13</v>
      </c>
      <c r="I11" s="33"/>
      <c r="J11" s="33"/>
      <c r="K11" s="33"/>
      <c r="L11" s="33"/>
      <c r="M11"/>
      <c r="N11"/>
      <c r="O11"/>
      <c r="P11"/>
      <c r="Q11"/>
    </row>
    <row r="12" spans="2:17">
      <c r="B12" s="26"/>
      <c r="C12" s="37" t="s">
        <v>242</v>
      </c>
      <c r="D12" s="152" t="s">
        <v>477</v>
      </c>
      <c r="E12" s="140"/>
      <c r="F12" s="140"/>
      <c r="G12"/>
      <c r="H12"/>
      <c r="I12"/>
      <c r="J12" s="33"/>
      <c r="K12" s="33"/>
      <c r="L12" s="33"/>
      <c r="M12"/>
      <c r="N12"/>
      <c r="O12"/>
      <c r="P12"/>
      <c r="Q12"/>
    </row>
    <row r="13" spans="2:17">
      <c r="B13" s="26"/>
      <c r="C13" s="26"/>
      <c r="D13" s="152"/>
      <c r="E13" s="140"/>
      <c r="F13" s="140"/>
      <c r="G13" s="140"/>
      <c r="H13" s="140"/>
      <c r="I13" s="33"/>
      <c r="J13" s="33"/>
      <c r="K13" s="33"/>
      <c r="L13" s="33"/>
      <c r="M13"/>
      <c r="N13"/>
      <c r="O13"/>
      <c r="P13"/>
      <c r="Q13"/>
    </row>
    <row r="14" spans="2:17">
      <c r="B14" s="33"/>
      <c r="C14" s="33" t="s">
        <v>9</v>
      </c>
      <c r="D14" s="152"/>
      <c r="E14" s="140"/>
      <c r="F14" s="140">
        <v>0</v>
      </c>
      <c r="G14" s="140">
        <v>0</v>
      </c>
      <c r="H14" s="140">
        <v>0</v>
      </c>
      <c r="I14" s="33"/>
      <c r="J14" s="33"/>
      <c r="K14" s="33"/>
      <c r="L14" s="33"/>
      <c r="M14"/>
      <c r="N14"/>
      <c r="O14"/>
      <c r="P14"/>
      <c r="Q14"/>
    </row>
    <row r="15" spans="2:17">
      <c r="B15" s="33"/>
      <c r="C15" s="29" t="s">
        <v>139</v>
      </c>
      <c r="D15" s="152"/>
      <c r="E15" s="140"/>
      <c r="F15" s="133">
        <v>0</v>
      </c>
      <c r="G15" s="133">
        <v>0</v>
      </c>
      <c r="H15" s="133">
        <v>0</v>
      </c>
      <c r="I15" s="33"/>
      <c r="J15" s="33"/>
      <c r="K15" s="33"/>
      <c r="L15" s="33"/>
      <c r="M15"/>
      <c r="N15"/>
      <c r="O15"/>
      <c r="P15"/>
      <c r="Q15"/>
    </row>
    <row r="16" spans="2:17">
      <c r="B16" s="26"/>
      <c r="C16" s="37" t="s">
        <v>266</v>
      </c>
      <c r="D16" s="152" t="s">
        <v>478</v>
      </c>
      <c r="E16" s="140"/>
      <c r="F16" s="140"/>
      <c r="G16" s="140"/>
      <c r="H16" s="140"/>
      <c r="I16" s="33"/>
      <c r="J16" s="33"/>
      <c r="K16" s="33"/>
      <c r="L16" s="33"/>
      <c r="M16"/>
      <c r="N16"/>
      <c r="O16"/>
      <c r="P16"/>
      <c r="Q16"/>
    </row>
    <row r="17" spans="2:12">
      <c r="B17" s="26">
        <v>1</v>
      </c>
      <c r="C17" s="26"/>
      <c r="D17" s="152"/>
      <c r="E17" s="140"/>
      <c r="F17" s="140"/>
      <c r="G17" s="140"/>
      <c r="H17" s="140"/>
      <c r="I17" s="33"/>
      <c r="J17" s="33"/>
      <c r="K17" s="33"/>
      <c r="L17" s="33"/>
    </row>
    <row r="18" spans="2:12">
      <c r="B18" s="26">
        <v>2</v>
      </c>
      <c r="C18" s="26"/>
      <c r="D18" s="152"/>
      <c r="E18" s="140"/>
      <c r="F18" s="140"/>
      <c r="G18" s="140"/>
      <c r="H18" s="140"/>
      <c r="I18" s="33"/>
      <c r="J18" s="33"/>
      <c r="K18" s="33"/>
      <c r="L18" s="33"/>
    </row>
    <row r="19" spans="2:12">
      <c r="B19" s="26">
        <v>3</v>
      </c>
      <c r="C19" s="26"/>
      <c r="D19" s="152"/>
      <c r="E19" s="152" t="s">
        <v>507</v>
      </c>
      <c r="F19" s="140">
        <v>2.3391448086579545</v>
      </c>
      <c r="G19" s="140">
        <v>2.3391448086579545</v>
      </c>
      <c r="H19" s="140">
        <v>2.3391448086579545</v>
      </c>
      <c r="I19" s="33"/>
      <c r="J19" s="33"/>
      <c r="K19" s="33"/>
      <c r="L19" s="33"/>
    </row>
    <row r="20" spans="2:12">
      <c r="B20" s="33"/>
      <c r="C20" s="33" t="s">
        <v>9</v>
      </c>
      <c r="D20" s="152"/>
      <c r="E20" s="140"/>
      <c r="F20" s="140">
        <v>2.3391448086579545</v>
      </c>
      <c r="G20" s="140">
        <v>2.3391448086579545</v>
      </c>
      <c r="H20" s="140">
        <v>2.3391448086579545</v>
      </c>
      <c r="I20" s="33"/>
      <c r="J20" s="33"/>
      <c r="K20" s="33"/>
      <c r="L20" s="33"/>
    </row>
    <row r="21" spans="2:12">
      <c r="B21" s="33"/>
      <c r="C21" s="29" t="s">
        <v>139</v>
      </c>
      <c r="D21" s="152"/>
      <c r="E21" s="140"/>
      <c r="F21" s="133">
        <v>2.3391448086579545</v>
      </c>
      <c r="G21" s="133">
        <v>2.3391448086579545</v>
      </c>
      <c r="H21" s="133">
        <v>2.3391448086579545</v>
      </c>
      <c r="I21" s="33"/>
      <c r="J21" s="33"/>
      <c r="K21" s="33"/>
      <c r="L21" s="33"/>
    </row>
    <row r="22" spans="2:12">
      <c r="B22" s="26"/>
      <c r="C22" s="37" t="s">
        <v>267</v>
      </c>
      <c r="D22" s="152" t="s">
        <v>479</v>
      </c>
      <c r="E22" s="140"/>
      <c r="F22" s="140"/>
      <c r="G22" s="140"/>
      <c r="H22" s="140"/>
      <c r="I22" s="33"/>
      <c r="J22" s="33"/>
      <c r="K22" s="33"/>
      <c r="L22" s="33"/>
    </row>
    <row r="23" spans="2:12">
      <c r="B23" s="26">
        <v>1</v>
      </c>
      <c r="C23" s="26"/>
      <c r="D23" s="152"/>
      <c r="E23" s="140"/>
      <c r="F23" s="140"/>
      <c r="G23" s="140"/>
      <c r="H23" s="140"/>
      <c r="I23" s="33"/>
      <c r="J23" s="33"/>
      <c r="K23" s="33"/>
      <c r="L23" s="33"/>
    </row>
    <row r="24" spans="2:12">
      <c r="B24" s="26">
        <v>2</v>
      </c>
      <c r="C24" s="26"/>
      <c r="D24" s="152"/>
      <c r="E24" s="140"/>
      <c r="F24" s="140"/>
      <c r="G24" s="140"/>
      <c r="H24" s="140"/>
      <c r="I24" s="33"/>
      <c r="J24" s="33"/>
      <c r="K24" s="33"/>
      <c r="L24" s="33"/>
    </row>
    <row r="25" spans="2:12">
      <c r="B25" s="26">
        <v>3</v>
      </c>
      <c r="C25" s="26"/>
      <c r="D25" s="152"/>
      <c r="E25" s="140"/>
      <c r="F25" s="140"/>
      <c r="G25" s="140"/>
      <c r="H25" s="140"/>
      <c r="I25" s="33"/>
      <c r="J25" s="33"/>
      <c r="K25" s="33"/>
      <c r="L25" s="33"/>
    </row>
    <row r="26" spans="2:12">
      <c r="B26" s="33"/>
      <c r="C26" s="33" t="s">
        <v>9</v>
      </c>
      <c r="D26" s="152"/>
      <c r="E26" s="140"/>
      <c r="F26" s="140">
        <v>0</v>
      </c>
      <c r="G26" s="140">
        <v>0</v>
      </c>
      <c r="H26" s="140">
        <v>0</v>
      </c>
      <c r="I26" s="33"/>
      <c r="J26" s="33"/>
      <c r="K26" s="33"/>
      <c r="L26" s="33"/>
    </row>
    <row r="27" spans="2:12">
      <c r="B27" s="33"/>
      <c r="C27" s="29" t="s">
        <v>139</v>
      </c>
      <c r="D27" s="152"/>
      <c r="E27" s="140"/>
      <c r="F27" s="133">
        <v>0</v>
      </c>
      <c r="G27" s="133">
        <v>0</v>
      </c>
      <c r="H27" s="133">
        <v>0</v>
      </c>
      <c r="I27" s="33"/>
      <c r="J27" s="33"/>
      <c r="K27" s="33"/>
      <c r="L27" s="33"/>
    </row>
    <row r="28" spans="2:12">
      <c r="B28" s="26"/>
      <c r="C28" s="37" t="s">
        <v>268</v>
      </c>
      <c r="D28" s="152" t="s">
        <v>480</v>
      </c>
      <c r="E28" s="140"/>
      <c r="F28" s="140"/>
      <c r="G28" s="140"/>
      <c r="H28" s="140"/>
      <c r="I28" s="33"/>
      <c r="J28" s="33"/>
      <c r="K28" s="33"/>
      <c r="L28" s="33"/>
    </row>
    <row r="29" spans="2:12">
      <c r="B29" s="26">
        <v>1</v>
      </c>
      <c r="C29" s="26"/>
      <c r="D29" s="152"/>
      <c r="E29" s="140"/>
      <c r="F29" s="140"/>
      <c r="G29" s="140"/>
      <c r="H29" s="140"/>
      <c r="I29" s="33"/>
      <c r="J29" s="33"/>
      <c r="K29" s="33"/>
      <c r="L29" s="33"/>
    </row>
    <row r="30" spans="2:12">
      <c r="B30" s="26">
        <v>2</v>
      </c>
      <c r="C30" s="26"/>
      <c r="D30" s="152"/>
      <c r="E30" s="140"/>
      <c r="F30" s="140"/>
      <c r="G30" s="140"/>
      <c r="H30" s="140"/>
      <c r="I30" s="33"/>
      <c r="J30" s="33"/>
      <c r="K30" s="33"/>
      <c r="L30" s="33"/>
    </row>
    <row r="31" spans="2:12">
      <c r="B31" s="26">
        <v>3</v>
      </c>
      <c r="C31" s="26"/>
      <c r="D31" s="152"/>
      <c r="E31" s="140"/>
      <c r="F31" s="140"/>
      <c r="G31" s="140"/>
      <c r="H31" s="140"/>
      <c r="I31" s="33"/>
      <c r="J31" s="33"/>
      <c r="K31" s="33"/>
      <c r="L31" s="33"/>
    </row>
    <row r="32" spans="2:12">
      <c r="B32" s="33"/>
      <c r="C32" s="33" t="s">
        <v>9</v>
      </c>
      <c r="D32" s="152"/>
      <c r="E32" s="140"/>
      <c r="F32" s="140">
        <v>0</v>
      </c>
      <c r="G32" s="140">
        <v>0</v>
      </c>
      <c r="H32" s="140">
        <v>0</v>
      </c>
      <c r="I32" s="33"/>
      <c r="J32" s="33"/>
      <c r="K32" s="33"/>
      <c r="L32" s="33"/>
    </row>
    <row r="33" spans="2:12">
      <c r="B33" s="33"/>
      <c r="C33" s="29" t="s">
        <v>139</v>
      </c>
      <c r="D33" s="152"/>
      <c r="E33" s="140"/>
      <c r="F33" s="133">
        <v>0</v>
      </c>
      <c r="G33" s="133">
        <v>0</v>
      </c>
      <c r="H33" s="133">
        <v>0</v>
      </c>
      <c r="I33" s="33"/>
      <c r="J33" s="33"/>
      <c r="K33" s="33"/>
      <c r="L33" s="33"/>
    </row>
    <row r="34" spans="2:12">
      <c r="B34" s="26"/>
      <c r="C34" s="37" t="s">
        <v>269</v>
      </c>
      <c r="D34" s="152" t="s">
        <v>481</v>
      </c>
      <c r="E34" s="140"/>
      <c r="F34" s="140"/>
      <c r="G34" s="140"/>
      <c r="H34" s="140"/>
      <c r="I34" s="33"/>
      <c r="J34" s="33"/>
      <c r="K34" s="33"/>
      <c r="L34" s="33"/>
    </row>
    <row r="35" spans="2:12">
      <c r="B35" s="26">
        <v>1</v>
      </c>
      <c r="C35" s="26"/>
      <c r="D35" s="152"/>
      <c r="E35" s="140"/>
      <c r="F35" s="140"/>
      <c r="G35" s="140"/>
      <c r="H35" s="140"/>
      <c r="I35" s="33"/>
      <c r="J35" s="33"/>
      <c r="K35" s="33"/>
      <c r="L35" s="33"/>
    </row>
    <row r="36" spans="2:12">
      <c r="B36" s="26">
        <v>2</v>
      </c>
      <c r="C36" s="26"/>
      <c r="D36" s="152"/>
      <c r="E36" s="140"/>
      <c r="F36" s="140"/>
      <c r="G36" s="140"/>
      <c r="H36" s="140"/>
      <c r="I36" s="33"/>
      <c r="J36" s="33"/>
      <c r="K36" s="33"/>
      <c r="L36" s="33"/>
    </row>
    <row r="37" spans="2:12">
      <c r="B37" s="26">
        <v>3</v>
      </c>
      <c r="C37" s="26"/>
      <c r="D37" s="152"/>
      <c r="E37" s="140"/>
      <c r="F37" s="140"/>
      <c r="G37" s="140"/>
      <c r="H37" s="140"/>
      <c r="I37" s="33"/>
      <c r="J37" s="33"/>
      <c r="K37" s="33"/>
      <c r="L37" s="33"/>
    </row>
    <row r="38" spans="2:12">
      <c r="B38" s="33"/>
      <c r="C38" s="33" t="s">
        <v>9</v>
      </c>
      <c r="D38" s="152"/>
      <c r="E38" s="140"/>
      <c r="F38" s="140">
        <v>0</v>
      </c>
      <c r="G38" s="140">
        <v>0</v>
      </c>
      <c r="H38" s="140">
        <v>0</v>
      </c>
      <c r="I38" s="33"/>
      <c r="J38" s="33"/>
      <c r="K38" s="33"/>
      <c r="L38" s="33"/>
    </row>
    <row r="39" spans="2:12">
      <c r="B39" s="33"/>
      <c r="C39" s="29" t="s">
        <v>139</v>
      </c>
      <c r="D39" s="152"/>
      <c r="E39" s="140"/>
      <c r="F39" s="133">
        <v>0</v>
      </c>
      <c r="G39" s="133">
        <v>0</v>
      </c>
      <c r="H39" s="133">
        <v>0</v>
      </c>
      <c r="I39" s="33"/>
      <c r="J39" s="33"/>
      <c r="K39" s="33"/>
      <c r="L39" s="33"/>
    </row>
    <row r="40" spans="2:12">
      <c r="B40" s="26"/>
      <c r="C40" s="37" t="s">
        <v>270</v>
      </c>
      <c r="D40" s="152" t="s">
        <v>482</v>
      </c>
      <c r="E40" s="140"/>
      <c r="F40" s="140"/>
      <c r="G40" s="140"/>
      <c r="H40" s="140"/>
      <c r="I40" s="33"/>
      <c r="J40" s="33"/>
      <c r="K40" s="33"/>
      <c r="L40" s="33"/>
    </row>
    <row r="41" spans="2:12">
      <c r="B41" s="26">
        <v>1</v>
      </c>
      <c r="C41" s="26"/>
      <c r="D41" s="152"/>
      <c r="E41" s="140"/>
      <c r="F41" s="140"/>
      <c r="G41" s="140"/>
      <c r="H41" s="140"/>
      <c r="I41" s="33"/>
      <c r="J41" s="33"/>
      <c r="K41" s="33"/>
      <c r="L41" s="33"/>
    </row>
    <row r="42" spans="2:12">
      <c r="B42" s="26">
        <v>2</v>
      </c>
      <c r="C42"/>
      <c r="D42" s="152"/>
      <c r="E42" s="140"/>
      <c r="F42" s="140"/>
      <c r="G42" s="140"/>
      <c r="H42" s="140"/>
      <c r="I42" s="33"/>
      <c r="J42" s="33"/>
      <c r="K42" s="33"/>
      <c r="L42" s="33"/>
    </row>
    <row r="43" spans="2:12" ht="45">
      <c r="B43" s="26">
        <v>3</v>
      </c>
      <c r="C43" s="33"/>
      <c r="D43" s="45"/>
      <c r="E43" s="275" t="s">
        <v>512</v>
      </c>
      <c r="F43" s="140">
        <v>11.574529999999999</v>
      </c>
      <c r="G43" s="140">
        <v>11.574529999999999</v>
      </c>
      <c r="H43" s="140">
        <v>11.574529999999999</v>
      </c>
      <c r="I43" s="33"/>
      <c r="J43" s="33"/>
      <c r="K43" s="33"/>
      <c r="L43" s="33"/>
    </row>
    <row r="44" spans="2:12">
      <c r="B44" s="33"/>
      <c r="C44" s="33" t="s">
        <v>9</v>
      </c>
      <c r="D44" s="152"/>
      <c r="E44" s="140"/>
      <c r="F44" s="140">
        <v>11.574529999999999</v>
      </c>
      <c r="G44" s="140">
        <v>11.574529999999999</v>
      </c>
      <c r="H44" s="140">
        <v>11.574529999999999</v>
      </c>
      <c r="I44" s="33"/>
      <c r="J44" s="33"/>
      <c r="K44" s="33"/>
      <c r="L44" s="33"/>
    </row>
    <row r="45" spans="2:12">
      <c r="B45" s="33"/>
      <c r="C45" s="29" t="s">
        <v>139</v>
      </c>
      <c r="D45" s="133"/>
      <c r="E45" s="140"/>
      <c r="F45" s="133">
        <v>11.574529999999999</v>
      </c>
      <c r="G45" s="133">
        <v>11.574529999999999</v>
      </c>
      <c r="H45" s="133">
        <v>11.574529999999999</v>
      </c>
      <c r="I45" s="33"/>
      <c r="J45" s="33"/>
      <c r="K45" s="33"/>
      <c r="L45" s="33"/>
    </row>
    <row r="46" spans="2:12" ht="14.25">
      <c r="B46" s="69" t="s">
        <v>272</v>
      </c>
      <c r="C46" s="57" t="s">
        <v>273</v>
      </c>
      <c r="D46"/>
      <c r="E46"/>
      <c r="F46"/>
      <c r="G46"/>
      <c r="H46"/>
      <c r="I46"/>
      <c r="J46"/>
      <c r="K46"/>
      <c r="L46"/>
    </row>
  </sheetData>
  <pageMargins left="0" right="0" top="0" bottom="0" header="0.25" footer="0.25"/>
  <pageSetup paperSize="9" scale="52" orientation="landscape" r:id="rId1"/>
  <headerFooter alignWithMargins="0">
    <oddHeader>&amp;F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21"/>
  <sheetViews>
    <sheetView showGridLines="0" tabSelected="1" topLeftCell="B1" zoomScale="80" zoomScaleNormal="80" workbookViewId="0">
      <selection activeCell="H25" sqref="H25"/>
    </sheetView>
  </sheetViews>
  <sheetFormatPr defaultColWidth="9.28515625" defaultRowHeight="14.25"/>
  <cols>
    <col min="1" max="1" width="0.140625" style="104" hidden="1" customWidth="1"/>
    <col min="2" max="2" width="9.28515625" style="104"/>
    <col min="3" max="3" width="22" style="104" customWidth="1"/>
    <col min="4" max="4" width="16.28515625" style="104" customWidth="1"/>
    <col min="5" max="5" width="12.5703125" style="104" customWidth="1"/>
    <col min="6" max="6" width="16.28515625" style="104" customWidth="1"/>
    <col min="7" max="10" width="15.7109375" style="104" customWidth="1"/>
    <col min="11" max="16384" width="9.28515625" style="104"/>
  </cols>
  <sheetData>
    <row r="2" spans="2:10" ht="14.25" customHeight="1">
      <c r="B2" s="314" t="s">
        <v>511</v>
      </c>
      <c r="C2" s="314"/>
      <c r="D2" s="314"/>
      <c r="E2" s="314"/>
      <c r="F2" s="314"/>
      <c r="G2" s="314"/>
      <c r="H2" s="314"/>
      <c r="I2" s="314"/>
      <c r="J2" s="314"/>
    </row>
    <row r="3" spans="2:10" ht="14.25" customHeight="1">
      <c r="B3" s="314" t="s">
        <v>500</v>
      </c>
      <c r="C3" s="314"/>
      <c r="D3" s="314"/>
      <c r="E3" s="314"/>
      <c r="F3" s="314"/>
      <c r="G3" s="314"/>
      <c r="H3" s="314"/>
      <c r="I3" s="314"/>
      <c r="J3" s="314"/>
    </row>
    <row r="4" spans="2:10" ht="14.25" customHeight="1">
      <c r="B4" s="306" t="s">
        <v>322</v>
      </c>
      <c r="C4" s="306"/>
      <c r="D4" s="306"/>
      <c r="E4" s="306"/>
      <c r="F4" s="306"/>
      <c r="G4" s="306"/>
      <c r="H4" s="306"/>
      <c r="I4" s="306"/>
      <c r="J4" s="306"/>
    </row>
    <row r="6" spans="2:10" ht="15" customHeight="1">
      <c r="B6" s="301" t="s">
        <v>200</v>
      </c>
      <c r="C6" s="309" t="s">
        <v>18</v>
      </c>
      <c r="D6" s="301" t="s">
        <v>467</v>
      </c>
      <c r="E6" s="301" t="s">
        <v>468</v>
      </c>
      <c r="F6" s="301" t="s">
        <v>238</v>
      </c>
      <c r="G6" s="301"/>
      <c r="H6" s="301"/>
      <c r="I6" s="301"/>
      <c r="J6" s="301"/>
    </row>
    <row r="7" spans="2:10" ht="15">
      <c r="B7" s="301"/>
      <c r="C7" s="309"/>
      <c r="D7" s="301"/>
      <c r="E7" s="301"/>
      <c r="F7" s="21" t="s">
        <v>469</v>
      </c>
      <c r="G7" s="21" t="s">
        <v>470</v>
      </c>
      <c r="H7" s="21" t="s">
        <v>471</v>
      </c>
      <c r="I7" s="21" t="s">
        <v>472</v>
      </c>
      <c r="J7" s="21" t="s">
        <v>473</v>
      </c>
    </row>
    <row r="8" spans="2:10" ht="15">
      <c r="B8" s="301"/>
      <c r="C8" s="309"/>
      <c r="D8" s="107" t="s">
        <v>3</v>
      </c>
      <c r="E8" s="21" t="s">
        <v>5</v>
      </c>
      <c r="F8" s="21" t="s">
        <v>8</v>
      </c>
      <c r="G8" s="21" t="s">
        <v>8</v>
      </c>
      <c r="H8" s="21" t="s">
        <v>8</v>
      </c>
      <c r="I8" s="21" t="s">
        <v>8</v>
      </c>
      <c r="J8" s="21" t="s">
        <v>8</v>
      </c>
    </row>
    <row r="9" spans="2:10" ht="15">
      <c r="B9" s="108">
        <v>1</v>
      </c>
      <c r="C9" s="34" t="s">
        <v>323</v>
      </c>
      <c r="D9" s="127">
        <f>F3.1!H11</f>
        <v>-0.13</v>
      </c>
      <c r="E9" s="127">
        <f>F3.1!H15</f>
        <v>0</v>
      </c>
      <c r="F9" s="127">
        <f>F3.1!H21</f>
        <v>2.3391448086579545</v>
      </c>
      <c r="G9" s="127">
        <f>F3.1!H27</f>
        <v>0</v>
      </c>
      <c r="H9" s="127">
        <f>F3.1!H33</f>
        <v>0</v>
      </c>
      <c r="I9" s="127">
        <f>F3.1!H39</f>
        <v>0</v>
      </c>
      <c r="J9" s="127">
        <f>F3.1!H45</f>
        <v>11.574529999999999</v>
      </c>
    </row>
    <row r="10" spans="2:10">
      <c r="B10" s="34"/>
      <c r="C10" s="34"/>
      <c r="D10" s="119"/>
      <c r="E10" s="119"/>
      <c r="F10" s="119"/>
      <c r="G10" s="119"/>
      <c r="H10" s="119"/>
      <c r="I10" s="119"/>
      <c r="J10" s="119"/>
    </row>
    <row r="11" spans="2:10" ht="15">
      <c r="B11" s="108">
        <v>2</v>
      </c>
      <c r="C11" s="109" t="s">
        <v>189</v>
      </c>
      <c r="D11" s="119"/>
      <c r="E11" s="119"/>
      <c r="F11" s="119"/>
      <c r="G11" s="119"/>
      <c r="H11" s="119"/>
      <c r="I11" s="119"/>
      <c r="J11" s="119"/>
    </row>
    <row r="12" spans="2:10">
      <c r="B12" s="34"/>
      <c r="C12" s="34" t="s">
        <v>199</v>
      </c>
      <c r="D12" s="119">
        <f>D9*0.7</f>
        <v>-9.0999999999999998E-2</v>
      </c>
      <c r="E12" s="119">
        <f t="shared" ref="E12:H12" si="0">E9*0.7</f>
        <v>0</v>
      </c>
      <c r="F12" s="119">
        <f>F9*0.7</f>
        <v>1.637401366060568</v>
      </c>
      <c r="G12" s="119">
        <f t="shared" si="0"/>
        <v>0</v>
      </c>
      <c r="H12" s="119">
        <f t="shared" si="0"/>
        <v>0</v>
      </c>
      <c r="I12" s="119">
        <f>I9*0.7</f>
        <v>0</v>
      </c>
      <c r="J12" s="119">
        <f>J9*0.7</f>
        <v>8.1021709999999985</v>
      </c>
    </row>
    <row r="13" spans="2:10">
      <c r="B13" s="34"/>
      <c r="C13" s="34" t="s">
        <v>198</v>
      </c>
      <c r="D13" s="119"/>
      <c r="E13" s="119"/>
      <c r="F13" s="119"/>
      <c r="G13" s="119"/>
      <c r="H13" s="119"/>
      <c r="I13" s="119"/>
      <c r="J13" s="119"/>
    </row>
    <row r="14" spans="2:10">
      <c r="B14" s="34"/>
      <c r="C14" s="34" t="s">
        <v>9</v>
      </c>
      <c r="D14" s="119"/>
      <c r="E14" s="119"/>
      <c r="F14" s="119"/>
      <c r="G14" s="119"/>
      <c r="H14" s="119"/>
      <c r="I14" s="119"/>
      <c r="J14" s="119"/>
    </row>
    <row r="15" spans="2:10" ht="15">
      <c r="B15" s="34"/>
      <c r="C15" s="109" t="s">
        <v>187</v>
      </c>
      <c r="D15" s="127">
        <f>SUM(D12:D14)</f>
        <v>-9.0999999999999998E-2</v>
      </c>
      <c r="E15" s="127">
        <f>SUM(E12:E14)</f>
        <v>0</v>
      </c>
      <c r="F15" s="127">
        <f t="shared" ref="F15:J15" si="1">SUM(F12:F14)</f>
        <v>1.637401366060568</v>
      </c>
      <c r="G15" s="127">
        <f t="shared" si="1"/>
        <v>0</v>
      </c>
      <c r="H15" s="127">
        <f t="shared" si="1"/>
        <v>0</v>
      </c>
      <c r="I15" s="127">
        <f t="shared" si="1"/>
        <v>0</v>
      </c>
      <c r="J15" s="127">
        <f t="shared" si="1"/>
        <v>8.1021709999999985</v>
      </c>
    </row>
    <row r="16" spans="2:10">
      <c r="B16" s="34"/>
      <c r="C16" s="34"/>
      <c r="D16" s="119"/>
      <c r="E16" s="119"/>
      <c r="F16" s="119"/>
      <c r="G16" s="119"/>
      <c r="H16" s="119"/>
      <c r="I16" s="119"/>
      <c r="J16" s="119"/>
    </row>
    <row r="17" spans="2:10">
      <c r="B17" s="108">
        <v>3</v>
      </c>
      <c r="C17" s="34" t="s">
        <v>0</v>
      </c>
      <c r="D17" s="119">
        <f>D9*0.3</f>
        <v>-3.9E-2</v>
      </c>
      <c r="E17" s="119">
        <f t="shared" ref="E17:J17" si="2">E9*0.3</f>
        <v>0</v>
      </c>
      <c r="F17" s="119">
        <f t="shared" si="2"/>
        <v>0.7017434425973863</v>
      </c>
      <c r="G17" s="119">
        <f t="shared" si="2"/>
        <v>0</v>
      </c>
      <c r="H17" s="119">
        <f t="shared" si="2"/>
        <v>0</v>
      </c>
      <c r="I17" s="119">
        <f t="shared" si="2"/>
        <v>0</v>
      </c>
      <c r="J17" s="119">
        <f t="shared" si="2"/>
        <v>3.4723589999999995</v>
      </c>
    </row>
    <row r="18" spans="2:10">
      <c r="B18" s="108">
        <v>4</v>
      </c>
      <c r="C18" s="34" t="s">
        <v>190</v>
      </c>
      <c r="D18" s="119"/>
      <c r="E18" s="119"/>
      <c r="F18" s="119"/>
      <c r="G18" s="119"/>
      <c r="H18" s="119"/>
      <c r="I18" s="119"/>
      <c r="J18" s="119"/>
    </row>
    <row r="19" spans="2:10">
      <c r="B19" s="108">
        <v>5</v>
      </c>
      <c r="C19" s="34" t="s">
        <v>324</v>
      </c>
      <c r="D19" s="119"/>
      <c r="E19" s="119"/>
      <c r="F19" s="119"/>
      <c r="G19" s="119"/>
      <c r="H19" s="119"/>
      <c r="I19" s="119"/>
      <c r="J19" s="119"/>
    </row>
    <row r="20" spans="2:10" ht="15">
      <c r="B20" s="34"/>
      <c r="C20" s="34"/>
      <c r="D20" s="123"/>
      <c r="E20" s="123"/>
      <c r="F20" s="123"/>
      <c r="G20" s="123"/>
      <c r="H20" s="123"/>
      <c r="I20" s="123"/>
      <c r="J20" s="123"/>
    </row>
    <row r="21" spans="2:10" ht="15">
      <c r="B21" s="108">
        <v>6</v>
      </c>
      <c r="C21" s="109" t="s">
        <v>325</v>
      </c>
      <c r="D21" s="127">
        <f>D15+D17+D18+D19</f>
        <v>-0.13</v>
      </c>
      <c r="E21" s="127">
        <f>E15+E17+E18+E19</f>
        <v>0</v>
      </c>
      <c r="F21" s="127">
        <f t="shared" ref="F21:J21" si="3">F15+F17+F18+F19</f>
        <v>2.339144808657954</v>
      </c>
      <c r="G21" s="127">
        <f t="shared" si="3"/>
        <v>0</v>
      </c>
      <c r="H21" s="127">
        <f t="shared" si="3"/>
        <v>0</v>
      </c>
      <c r="I21" s="127">
        <f t="shared" si="3"/>
        <v>0</v>
      </c>
      <c r="J21" s="127">
        <f t="shared" si="3"/>
        <v>11.574529999999998</v>
      </c>
    </row>
  </sheetData>
  <mergeCells count="8">
    <mergeCell ref="B2:J2"/>
    <mergeCell ref="B3:J3"/>
    <mergeCell ref="B4:J4"/>
    <mergeCell ref="F6:J6"/>
    <mergeCell ref="D6:D7"/>
    <mergeCell ref="B6:B8"/>
    <mergeCell ref="C6:C8"/>
    <mergeCell ref="E6:E7"/>
  </mergeCells>
  <pageMargins left="0" right="0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</vt:i4>
      </vt:variant>
    </vt:vector>
  </HeadingPairs>
  <TitlesOfParts>
    <vt:vector size="22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F10</vt:lpstr>
      <vt:lpstr>F11</vt:lpstr>
      <vt:lpstr>F11.1</vt:lpstr>
      <vt:lpstr>F12</vt:lpstr>
      <vt:lpstr>F13</vt:lpstr>
      <vt:lpstr>F15</vt:lpstr>
      <vt:lpstr>Checklist!Print_Area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acer</cp:lastModifiedBy>
  <cp:lastPrinted>2024-09-22T11:26:17Z</cp:lastPrinted>
  <dcterms:created xsi:type="dcterms:W3CDTF">2004-07-28T05:30:50Z</dcterms:created>
  <dcterms:modified xsi:type="dcterms:W3CDTF">2024-09-22T12:49:10Z</dcterms:modified>
</cp:coreProperties>
</file>