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ThisWorkbook"/>
  <bookViews>
    <workbookView xWindow="600" yWindow="585" windowWidth="10455" windowHeight="10905" tabRatio="734" activeTab="6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0" sheetId="81" r:id="rId16"/>
    <sheet name="F11" sheetId="115" r:id="rId17"/>
    <sheet name="F11.1" sheetId="107" r:id="rId18"/>
    <sheet name="F12" sheetId="110" r:id="rId19"/>
    <sheet name="F13" sheetId="71" r:id="rId20"/>
    <sheet name="F14" sheetId="72" r:id="rId21"/>
    <sheet name="F15" sheetId="91" r:id="rId22"/>
  </sheets>
  <externalReferences>
    <externalReference r:id="rId23"/>
    <externalReference r:id="rId24"/>
    <externalReference r:id="rId25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ASTNPLF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BSTNPLF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CSTNPLF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_123Graph_XSTNPLF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new" hidden="1">[2]CE!#REF!</definedName>
    <definedName name="_xlnm.Print_Area" localSheetId="0">Checklist!$A$1:$E$41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  <definedName name="xxxx" hidden="1">[3]CE!#REF!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93" l="1"/>
  <c r="G44" i="101"/>
  <c r="H44" i="101"/>
  <c r="G45" i="101" l="1"/>
  <c r="H69" i="101"/>
  <c r="M14" i="103" s="1"/>
  <c r="G69" i="101"/>
  <c r="F69" i="101"/>
  <c r="D69" i="101"/>
  <c r="H63" i="101"/>
  <c r="L14" i="103" s="1"/>
  <c r="G63" i="101"/>
  <c r="F63" i="101"/>
  <c r="H57" i="101"/>
  <c r="K14" i="103" s="1"/>
  <c r="G57" i="101"/>
  <c r="F57" i="101"/>
  <c r="H51" i="101"/>
  <c r="J11" i="105" s="1"/>
  <c r="J12" i="105" s="1"/>
  <c r="G51" i="101"/>
  <c r="F51" i="101"/>
  <c r="H45" i="101"/>
  <c r="I14" i="103" s="1"/>
  <c r="F45" i="101"/>
  <c r="H39" i="101"/>
  <c r="G39" i="101"/>
  <c r="F39" i="101"/>
  <c r="H25" i="101"/>
  <c r="G25" i="101"/>
  <c r="F25" i="101"/>
  <c r="G18" i="110"/>
  <c r="G17" i="110"/>
  <c r="G16" i="110"/>
  <c r="G15" i="110"/>
  <c r="G14" i="110"/>
  <c r="G13" i="110"/>
  <c r="G12" i="110"/>
  <c r="G11" i="110"/>
  <c r="K17" i="110"/>
  <c r="L17" i="110" s="1"/>
  <c r="M17" i="110" s="1"/>
  <c r="N17" i="110" s="1"/>
  <c r="K15" i="110"/>
  <c r="L15" i="110" s="1"/>
  <c r="M15" i="110" s="1"/>
  <c r="N15" i="110" s="1"/>
  <c r="J14" i="103" l="1"/>
  <c r="G124" i="102"/>
  <c r="H124" i="102"/>
  <c r="K124" i="102"/>
  <c r="L124" i="102"/>
  <c r="G107" i="102" l="1"/>
  <c r="H107" i="102"/>
  <c r="K107" i="102"/>
  <c r="L107" i="102"/>
  <c r="G90" i="102"/>
  <c r="H90" i="102"/>
  <c r="K90" i="102"/>
  <c r="L90" i="102"/>
  <c r="G39" i="102"/>
  <c r="H39" i="102"/>
  <c r="K39" i="102"/>
  <c r="L39" i="102"/>
  <c r="G22" i="102"/>
  <c r="H22" i="102"/>
  <c r="K22" i="102"/>
  <c r="L22" i="102"/>
  <c r="F22" i="102"/>
  <c r="D72" i="71"/>
  <c r="E72" i="71"/>
  <c r="F72" i="71"/>
  <c r="G72" i="71"/>
  <c r="H72" i="71"/>
  <c r="I72" i="71"/>
  <c r="J72" i="71"/>
  <c r="K72" i="71"/>
  <c r="L72" i="71"/>
  <c r="M72" i="71"/>
  <c r="N72" i="71"/>
  <c r="C72" i="71"/>
  <c r="D62" i="71"/>
  <c r="E62" i="71"/>
  <c r="F62" i="71"/>
  <c r="G62" i="71"/>
  <c r="H62" i="71"/>
  <c r="I62" i="71"/>
  <c r="J62" i="71"/>
  <c r="K62" i="71"/>
  <c r="L62" i="71"/>
  <c r="M62" i="71"/>
  <c r="N62" i="71"/>
  <c r="C62" i="71"/>
  <c r="D52" i="71"/>
  <c r="E52" i="71"/>
  <c r="F52" i="71"/>
  <c r="G52" i="71"/>
  <c r="H52" i="71"/>
  <c r="I52" i="71"/>
  <c r="J52" i="71"/>
  <c r="K52" i="71"/>
  <c r="L52" i="71"/>
  <c r="M52" i="71"/>
  <c r="N52" i="71"/>
  <c r="C52" i="71"/>
  <c r="D42" i="71"/>
  <c r="E42" i="71"/>
  <c r="F42" i="71"/>
  <c r="G42" i="71"/>
  <c r="H42" i="71"/>
  <c r="I42" i="71"/>
  <c r="J42" i="71"/>
  <c r="K42" i="71"/>
  <c r="L42" i="71"/>
  <c r="M42" i="71"/>
  <c r="N42" i="71"/>
  <c r="C42" i="71"/>
  <c r="D32" i="71"/>
  <c r="E32" i="71"/>
  <c r="F32" i="71"/>
  <c r="G32" i="71"/>
  <c r="H32" i="71"/>
  <c r="I32" i="71"/>
  <c r="J32" i="71"/>
  <c r="K32" i="71"/>
  <c r="L32" i="71"/>
  <c r="M32" i="71"/>
  <c r="N32" i="71"/>
  <c r="C32" i="71"/>
  <c r="D22" i="71"/>
  <c r="E22" i="71"/>
  <c r="F22" i="71"/>
  <c r="G22" i="71"/>
  <c r="H22" i="71"/>
  <c r="I22" i="71"/>
  <c r="J22" i="71"/>
  <c r="K22" i="71"/>
  <c r="C22" i="71"/>
  <c r="D12" i="71"/>
  <c r="E12" i="71"/>
  <c r="F12" i="71"/>
  <c r="G12" i="71"/>
  <c r="H12" i="71"/>
  <c r="I12" i="71"/>
  <c r="J12" i="71"/>
  <c r="K12" i="71"/>
  <c r="L12" i="71"/>
  <c r="M12" i="71"/>
  <c r="N12" i="71"/>
  <c r="C12" i="71"/>
  <c r="K21" i="102"/>
  <c r="K18" i="110"/>
  <c r="L18" i="110"/>
  <c r="M18" i="110"/>
  <c r="N18" i="110"/>
  <c r="J18" i="110"/>
  <c r="P106" i="102" l="1"/>
  <c r="P107" i="102" s="1"/>
  <c r="F18" i="105"/>
  <c r="I17" i="110"/>
  <c r="I19" i="110" s="1"/>
  <c r="I15" i="110"/>
  <c r="F19" i="110"/>
  <c r="F20" i="110"/>
  <c r="I38" i="81"/>
  <c r="N20" i="71"/>
  <c r="M20" i="71"/>
  <c r="L20" i="71"/>
  <c r="N18" i="71"/>
  <c r="M18" i="71"/>
  <c r="L18" i="71"/>
  <c r="H20" i="110"/>
  <c r="G20" i="110"/>
  <c r="H19" i="110"/>
  <c r="G19" i="110"/>
  <c r="E23" i="81"/>
  <c r="F19" i="104"/>
  <c r="O70" i="71"/>
  <c r="O68" i="71"/>
  <c r="O60" i="71"/>
  <c r="O58" i="71"/>
  <c r="O50" i="71"/>
  <c r="O48" i="71"/>
  <c r="O40" i="71"/>
  <c r="O38" i="71"/>
  <c r="O30" i="71"/>
  <c r="O28" i="71"/>
  <c r="O10" i="71"/>
  <c r="O8" i="71"/>
  <c r="B41" i="81"/>
  <c r="B42" i="81" s="1"/>
  <c r="G38" i="81"/>
  <c r="B37" i="81"/>
  <c r="B38" i="81" s="1"/>
  <c r="N34" i="81"/>
  <c r="M34" i="81"/>
  <c r="L34" i="81"/>
  <c r="K34" i="81"/>
  <c r="J34" i="81"/>
  <c r="B33" i="81"/>
  <c r="B34" i="81" s="1"/>
  <c r="N30" i="81"/>
  <c r="N23" i="81" s="1"/>
  <c r="M30" i="81"/>
  <c r="M23" i="81" s="1"/>
  <c r="L30" i="81"/>
  <c r="L23" i="81" s="1"/>
  <c r="K30" i="81"/>
  <c r="K23" i="81" s="1"/>
  <c r="J30" i="81"/>
  <c r="J23" i="81" s="1"/>
  <c r="G30" i="81"/>
  <c r="F30" i="81"/>
  <c r="B27" i="81"/>
  <c r="B28" i="81" s="1"/>
  <c r="B29" i="81" s="1"/>
  <c r="B30" i="81" s="1"/>
  <c r="B23" i="81"/>
  <c r="B24" i="81" s="1"/>
  <c r="B19" i="81"/>
  <c r="B20" i="81" s="1"/>
  <c r="B15" i="81"/>
  <c r="B16" i="81" s="1"/>
  <c r="O72" i="71" l="1"/>
  <c r="O62" i="71"/>
  <c r="N22" i="71"/>
  <c r="F12" i="104"/>
  <c r="E12" i="104" s="1"/>
  <c r="O52" i="71"/>
  <c r="O32" i="71"/>
  <c r="O42" i="71"/>
  <c r="M22" i="71"/>
  <c r="L22" i="71"/>
  <c r="O12" i="71"/>
  <c r="F11" i="104"/>
  <c r="E11" i="104" s="1"/>
  <c r="F10" i="104"/>
  <c r="E10" i="104" s="1"/>
  <c r="O20" i="71"/>
  <c r="O18" i="71"/>
  <c r="O22" i="71" l="1"/>
  <c r="H11" i="104"/>
  <c r="H23" i="81"/>
  <c r="H10" i="104"/>
  <c r="N20" i="110"/>
  <c r="M12" i="104" s="1"/>
  <c r="M20" i="110"/>
  <c r="L12" i="104" s="1"/>
  <c r="L20" i="110"/>
  <c r="K12" i="104" s="1"/>
  <c r="K20" i="110"/>
  <c r="J12" i="104" s="1"/>
  <c r="J20" i="110"/>
  <c r="I12" i="104" s="1"/>
  <c r="I20" i="110"/>
  <c r="H12" i="104" s="1"/>
  <c r="N19" i="110"/>
  <c r="M19" i="110"/>
  <c r="L19" i="110"/>
  <c r="K19" i="110"/>
  <c r="J19" i="110"/>
  <c r="K10" i="104" l="1"/>
  <c r="K11" i="104"/>
  <c r="J10" i="104"/>
  <c r="J11" i="104"/>
  <c r="I10" i="104"/>
  <c r="I11" i="104"/>
  <c r="M11" i="104"/>
  <c r="M10" i="104"/>
  <c r="L11" i="104"/>
  <c r="L10" i="104"/>
  <c r="H30" i="81"/>
  <c r="G12" i="104"/>
  <c r="G11" i="104"/>
  <c r="G10" i="104"/>
  <c r="E20" i="110"/>
  <c r="G20" i="58"/>
  <c r="H20" i="58" s="1"/>
  <c r="F20" i="58"/>
  <c r="E19" i="110" l="1"/>
  <c r="D11" i="104" s="1"/>
  <c r="D12" i="104"/>
  <c r="D10" i="104" l="1"/>
  <c r="J12" i="102"/>
  <c r="J22" i="102" s="1"/>
  <c r="F10" i="93" l="1"/>
  <c r="H14" i="66" l="1"/>
  <c r="E14" i="66"/>
  <c r="E14" i="103"/>
  <c r="L123" i="102" l="1"/>
  <c r="H123" i="102"/>
  <c r="L106" i="102"/>
  <c r="H106" i="102"/>
  <c r="L89" i="102"/>
  <c r="H89" i="102"/>
  <c r="L72" i="102"/>
  <c r="H72" i="102"/>
  <c r="L55" i="102"/>
  <c r="H55" i="102"/>
  <c r="U14" i="115"/>
  <c r="V14" i="115"/>
  <c r="S14" i="115"/>
  <c r="T14" i="115"/>
  <c r="Q14" i="115"/>
  <c r="R14" i="115"/>
  <c r="J14" i="115"/>
  <c r="K14" i="115"/>
  <c r="L14" i="115"/>
  <c r="M14" i="115"/>
  <c r="N14" i="115"/>
  <c r="O14" i="115"/>
  <c r="P14" i="115"/>
  <c r="F14" i="115"/>
  <c r="G14" i="115"/>
  <c r="H14" i="115"/>
  <c r="I14" i="115"/>
  <c r="E14" i="115"/>
  <c r="J37" i="102" l="1"/>
  <c r="M37" i="102" s="1"/>
  <c r="J54" i="102" s="1"/>
  <c r="L38" i="102"/>
  <c r="H38" i="102"/>
  <c r="M38" i="68"/>
  <c r="M40" i="68" s="1"/>
  <c r="I38" i="68"/>
  <c r="I40" i="68" s="1"/>
  <c r="J38" i="68"/>
  <c r="J40" i="68" s="1"/>
  <c r="K38" i="68"/>
  <c r="K40" i="68" s="1"/>
  <c r="L38" i="68"/>
  <c r="L40" i="68" s="1"/>
  <c r="E38" i="68"/>
  <c r="E40" i="68" s="1"/>
  <c r="F38" i="68"/>
  <c r="F40" i="68" s="1"/>
  <c r="G38" i="68"/>
  <c r="G40" i="68" s="1"/>
  <c r="D38" i="68"/>
  <c r="D40" i="68" s="1"/>
  <c r="H38" i="68" l="1"/>
  <c r="H40" i="68" s="1"/>
  <c r="N21" i="110" l="1"/>
  <c r="M17" i="104" s="1"/>
  <c r="M21" i="110"/>
  <c r="L17" i="104" s="1"/>
  <c r="L21" i="110"/>
  <c r="K17" i="104" s="1"/>
  <c r="K21" i="110"/>
  <c r="J17" i="104" s="1"/>
  <c r="J21" i="110"/>
  <c r="I17" i="104" s="1"/>
  <c r="I21" i="110"/>
  <c r="H21" i="110"/>
  <c r="G17" i="104" s="1"/>
  <c r="J19" i="58" l="1"/>
  <c r="H17" i="104"/>
  <c r="G21" i="110"/>
  <c r="F17" i="104" l="1"/>
  <c r="E17" i="104" s="1"/>
  <c r="L21" i="102"/>
  <c r="J21" i="102"/>
  <c r="G21" i="102"/>
  <c r="D11" i="105" s="1"/>
  <c r="D12" i="105" s="1"/>
  <c r="H21" i="102"/>
  <c r="F21" i="102"/>
  <c r="N12" i="102"/>
  <c r="I12" i="102"/>
  <c r="N11" i="102"/>
  <c r="I11" i="102"/>
  <c r="N10" i="102"/>
  <c r="I10" i="102"/>
  <c r="N9" i="102"/>
  <c r="I9" i="102"/>
  <c r="N16" i="102"/>
  <c r="I16" i="102"/>
  <c r="N15" i="102"/>
  <c r="I15" i="102"/>
  <c r="N14" i="102"/>
  <c r="I14" i="102"/>
  <c r="N13" i="102"/>
  <c r="M13" i="102"/>
  <c r="J30" i="102" s="1"/>
  <c r="I13" i="102"/>
  <c r="F30" i="102" l="1"/>
  <c r="F31" i="102"/>
  <c r="F32" i="102"/>
  <c r="F33" i="102"/>
  <c r="D10" i="105"/>
  <c r="E10" i="105" s="1"/>
  <c r="F10" i="105" s="1"/>
  <c r="D10" i="103"/>
  <c r="E10" i="103" s="1"/>
  <c r="F10" i="103" s="1"/>
  <c r="D11" i="103"/>
  <c r="E11" i="103" s="1"/>
  <c r="F11" i="103" s="1"/>
  <c r="M9" i="102"/>
  <c r="F26" i="102"/>
  <c r="M11" i="102"/>
  <c r="F28" i="102"/>
  <c r="M10" i="102"/>
  <c r="J27" i="102" s="1"/>
  <c r="F27" i="102"/>
  <c r="M12" i="102"/>
  <c r="J29" i="102" s="1"/>
  <c r="M29" i="102" s="1"/>
  <c r="J46" i="102" s="1"/>
  <c r="F29" i="102"/>
  <c r="M14" i="102"/>
  <c r="J31" i="102" s="1"/>
  <c r="M16" i="102"/>
  <c r="M15" i="102"/>
  <c r="O13" i="102"/>
  <c r="J26" i="102" l="1"/>
  <c r="N26" i="102" s="1"/>
  <c r="O10" i="102"/>
  <c r="O12" i="102"/>
  <c r="O16" i="102"/>
  <c r="J33" i="102"/>
  <c r="N33" i="102" s="1"/>
  <c r="O11" i="102"/>
  <c r="J28" i="102"/>
  <c r="N28" i="102" s="1"/>
  <c r="O15" i="102"/>
  <c r="J32" i="102"/>
  <c r="N32" i="102" s="1"/>
  <c r="O9" i="102"/>
  <c r="O14" i="102"/>
  <c r="N30" i="102"/>
  <c r="I30" i="102"/>
  <c r="I27" i="102"/>
  <c r="N27" i="102"/>
  <c r="I32" i="102"/>
  <c r="I26" i="102"/>
  <c r="I28" i="102"/>
  <c r="I33" i="102"/>
  <c r="N29" i="102"/>
  <c r="I29" i="102"/>
  <c r="I31" i="102"/>
  <c r="N31" i="102"/>
  <c r="E21" i="110"/>
  <c r="F21" i="110"/>
  <c r="Q19" i="91"/>
  <c r="Q15" i="91"/>
  <c r="Q14" i="91"/>
  <c r="M31" i="102" l="1"/>
  <c r="J48" i="102" s="1"/>
  <c r="F49" i="102"/>
  <c r="F44" i="102"/>
  <c r="I44" i="102" s="1"/>
  <c r="F61" i="102" s="1"/>
  <c r="F47" i="102"/>
  <c r="D17" i="104"/>
  <c r="M33" i="102"/>
  <c r="M28" i="102"/>
  <c r="M32" i="102"/>
  <c r="M27" i="102"/>
  <c r="O29" i="102"/>
  <c r="F46" i="102"/>
  <c r="F50" i="102"/>
  <c r="I47" i="102"/>
  <c r="F64" i="102" s="1"/>
  <c r="M30" i="102"/>
  <c r="F48" i="102"/>
  <c r="F45" i="102"/>
  <c r="F43" i="102"/>
  <c r="I43" i="102" s="1"/>
  <c r="I49" i="102"/>
  <c r="H34" i="67"/>
  <c r="E34" i="67"/>
  <c r="F34" i="67"/>
  <c r="G34" i="67"/>
  <c r="O31" i="102" l="1"/>
  <c r="O33" i="102"/>
  <c r="J50" i="102"/>
  <c r="N50" i="102" s="1"/>
  <c r="O30" i="102"/>
  <c r="J47" i="102"/>
  <c r="N47" i="102" s="1"/>
  <c r="O28" i="102"/>
  <c r="J45" i="102"/>
  <c r="N45" i="102" s="1"/>
  <c r="O32" i="102"/>
  <c r="J49" i="102"/>
  <c r="N49" i="102" s="1"/>
  <c r="O27" i="102"/>
  <c r="J44" i="102"/>
  <c r="N44" i="102" s="1"/>
  <c r="M26" i="102"/>
  <c r="F66" i="102"/>
  <c r="F60" i="102"/>
  <c r="I48" i="102"/>
  <c r="M48" i="102" s="1"/>
  <c r="J65" i="102" s="1"/>
  <c r="N48" i="102"/>
  <c r="N46" i="102"/>
  <c r="I46" i="102"/>
  <c r="I64" i="102"/>
  <c r="F81" i="102" s="1"/>
  <c r="I61" i="102"/>
  <c r="I45" i="102"/>
  <c r="F62" i="102" s="1"/>
  <c r="I50" i="102"/>
  <c r="I20" i="58"/>
  <c r="J20" i="58"/>
  <c r="K20" i="58"/>
  <c r="L20" i="58"/>
  <c r="M20" i="58"/>
  <c r="N20" i="58"/>
  <c r="O20" i="58"/>
  <c r="M50" i="102" l="1"/>
  <c r="J67" i="102" s="1"/>
  <c r="M47" i="102"/>
  <c r="J64" i="102" s="1"/>
  <c r="M49" i="102"/>
  <c r="J66" i="102" s="1"/>
  <c r="N66" i="102" s="1"/>
  <c r="O26" i="102"/>
  <c r="J43" i="102"/>
  <c r="M44" i="102"/>
  <c r="F63" i="102"/>
  <c r="I66" i="102"/>
  <c r="I62" i="102"/>
  <c r="F79" i="102" s="1"/>
  <c r="F67" i="102"/>
  <c r="F65" i="102"/>
  <c r="O48" i="102"/>
  <c r="I60" i="102"/>
  <c r="F77" i="102" s="1"/>
  <c r="F78" i="102"/>
  <c r="I81" i="102"/>
  <c r="F98" i="102" s="1"/>
  <c r="M45" i="102"/>
  <c r="O50" i="102" l="1"/>
  <c r="N64" i="102"/>
  <c r="M64" i="102"/>
  <c r="J81" i="102" s="1"/>
  <c r="O49" i="102"/>
  <c r="O47" i="102"/>
  <c r="I63" i="102"/>
  <c r="F80" i="102" s="1"/>
  <c r="N43" i="102"/>
  <c r="O45" i="102"/>
  <c r="J62" i="102"/>
  <c r="N62" i="102" s="1"/>
  <c r="O44" i="102"/>
  <c r="J61" i="102"/>
  <c r="M43" i="102"/>
  <c r="M66" i="102"/>
  <c r="J83" i="102" s="1"/>
  <c r="M46" i="102"/>
  <c r="J63" i="102" s="1"/>
  <c r="N63" i="102" s="1"/>
  <c r="I98" i="102"/>
  <c r="F115" i="102" s="1"/>
  <c r="I79" i="102"/>
  <c r="F96" i="102" s="1"/>
  <c r="N67" i="102"/>
  <c r="I67" i="102"/>
  <c r="F84" i="102" s="1"/>
  <c r="F83" i="102"/>
  <c r="I78" i="102"/>
  <c r="F95" i="102" s="1"/>
  <c r="I77" i="102"/>
  <c r="N65" i="102"/>
  <c r="I65" i="102"/>
  <c r="F82" i="102" s="1"/>
  <c r="N81" i="102" l="1"/>
  <c r="M81" i="102"/>
  <c r="J98" i="102" s="1"/>
  <c r="O64" i="102"/>
  <c r="F94" i="102"/>
  <c r="O43" i="102"/>
  <c r="J60" i="102"/>
  <c r="N61" i="102"/>
  <c r="M61" i="102"/>
  <c r="M62" i="102"/>
  <c r="O66" i="102"/>
  <c r="M63" i="102"/>
  <c r="M67" i="102"/>
  <c r="O46" i="102"/>
  <c r="M65" i="102"/>
  <c r="I115" i="102"/>
  <c r="I80" i="102"/>
  <c r="I95" i="102"/>
  <c r="N83" i="102"/>
  <c r="I83" i="102"/>
  <c r="F100" i="102" s="1"/>
  <c r="I82" i="102"/>
  <c r="I94" i="102"/>
  <c r="I84" i="102"/>
  <c r="I96" i="102"/>
  <c r="F113" i="102" s="1"/>
  <c r="Q22" i="91"/>
  <c r="Q23" i="91"/>
  <c r="Q24" i="91"/>
  <c r="Q21" i="91"/>
  <c r="F25" i="91"/>
  <c r="G25" i="91"/>
  <c r="H25" i="91"/>
  <c r="I25" i="91"/>
  <c r="J25" i="91"/>
  <c r="K25" i="91"/>
  <c r="L25" i="91"/>
  <c r="M25" i="91"/>
  <c r="N25" i="91"/>
  <c r="O25" i="91"/>
  <c r="P25" i="91"/>
  <c r="E25" i="91"/>
  <c r="N98" i="102" l="1"/>
  <c r="M98" i="102"/>
  <c r="O98" i="102" s="1"/>
  <c r="O81" i="102"/>
  <c r="F111" i="102"/>
  <c r="J80" i="102"/>
  <c r="N80" i="102" s="1"/>
  <c r="F97" i="102"/>
  <c r="I97" i="102" s="1"/>
  <c r="O65" i="102"/>
  <c r="J82" i="102"/>
  <c r="N82" i="102" s="1"/>
  <c r="O67" i="102"/>
  <c r="J84" i="102"/>
  <c r="N84" i="102" s="1"/>
  <c r="J78" i="102"/>
  <c r="O61" i="102"/>
  <c r="N60" i="102"/>
  <c r="M60" i="102"/>
  <c r="O62" i="102"/>
  <c r="J79" i="102"/>
  <c r="O63" i="102"/>
  <c r="I100" i="102"/>
  <c r="F112" i="102"/>
  <c r="I113" i="102"/>
  <c r="F101" i="102"/>
  <c r="I111" i="102"/>
  <c r="F99" i="102"/>
  <c r="M83" i="102"/>
  <c r="Q25" i="91"/>
  <c r="Q30" i="91" s="1"/>
  <c r="B51" i="115"/>
  <c r="B52" i="115" s="1"/>
  <c r="B53" i="115" s="1"/>
  <c r="V31" i="115"/>
  <c r="U31" i="115"/>
  <c r="T31" i="115"/>
  <c r="S31" i="115"/>
  <c r="R31" i="115"/>
  <c r="Q31" i="115"/>
  <c r="P31" i="115"/>
  <c r="O31" i="115"/>
  <c r="N31" i="115"/>
  <c r="M31" i="115"/>
  <c r="L31" i="115"/>
  <c r="K31" i="115"/>
  <c r="J31" i="115"/>
  <c r="I31" i="115"/>
  <c r="H31" i="115"/>
  <c r="G31" i="115"/>
  <c r="F31" i="115"/>
  <c r="E31" i="115"/>
  <c r="V21" i="115"/>
  <c r="U21" i="115"/>
  <c r="U32" i="115" s="1"/>
  <c r="T21" i="115"/>
  <c r="S21" i="115"/>
  <c r="R21" i="115"/>
  <c r="Q21" i="115"/>
  <c r="Q32" i="115" s="1"/>
  <c r="P21" i="115"/>
  <c r="O21" i="115"/>
  <c r="N21" i="115"/>
  <c r="M21" i="115"/>
  <c r="M32" i="115" s="1"/>
  <c r="L21" i="115"/>
  <c r="K21" i="115"/>
  <c r="J21" i="115"/>
  <c r="I21" i="115"/>
  <c r="I32" i="115" s="1"/>
  <c r="H21" i="115"/>
  <c r="G21" i="115"/>
  <c r="F21" i="115"/>
  <c r="E21" i="115"/>
  <c r="V16" i="115"/>
  <c r="U16" i="115"/>
  <c r="T16" i="115"/>
  <c r="S16" i="115"/>
  <c r="R16" i="115"/>
  <c r="Q16" i="115"/>
  <c r="P16" i="115"/>
  <c r="O16" i="115"/>
  <c r="N16" i="115"/>
  <c r="M16" i="115"/>
  <c r="L16" i="115"/>
  <c r="K16" i="115"/>
  <c r="J16" i="115"/>
  <c r="I16" i="115"/>
  <c r="H16" i="115"/>
  <c r="G16" i="115"/>
  <c r="F16" i="115"/>
  <c r="E16" i="115"/>
  <c r="B10" i="115"/>
  <c r="B12" i="115" s="1"/>
  <c r="B13" i="115" s="1"/>
  <c r="B14" i="115" s="1"/>
  <c r="B15" i="115" s="1"/>
  <c r="B16" i="115" s="1"/>
  <c r="B18" i="115" s="1"/>
  <c r="B19" i="115" s="1"/>
  <c r="B20" i="115" s="1"/>
  <c r="B21" i="115" s="1"/>
  <c r="B23" i="115" s="1"/>
  <c r="B28" i="115" s="1"/>
  <c r="B29" i="115" s="1"/>
  <c r="B30" i="115" s="1"/>
  <c r="B31" i="115" s="1"/>
  <c r="B32" i="115" s="1"/>
  <c r="B34" i="115" s="1"/>
  <c r="B35" i="115" s="1"/>
  <c r="B36" i="115" s="1"/>
  <c r="B38" i="115" s="1"/>
  <c r="B39" i="115" s="1"/>
  <c r="B40" i="115" s="1"/>
  <c r="B41" i="115" s="1"/>
  <c r="B42" i="115" s="1"/>
  <c r="B43" i="115" s="1"/>
  <c r="B44" i="115" s="1"/>
  <c r="B45" i="115" s="1"/>
  <c r="B46" i="115" s="1"/>
  <c r="B47" i="115" s="1"/>
  <c r="J115" i="102" l="1"/>
  <c r="N115" i="102" s="1"/>
  <c r="M80" i="102"/>
  <c r="J97" i="102" s="1"/>
  <c r="N97" i="102" s="1"/>
  <c r="F117" i="102"/>
  <c r="O60" i="102"/>
  <c r="J77" i="102"/>
  <c r="N78" i="102"/>
  <c r="M78" i="102"/>
  <c r="O83" i="102"/>
  <c r="J100" i="102"/>
  <c r="N100" i="102" s="1"/>
  <c r="N79" i="102"/>
  <c r="M79" i="102"/>
  <c r="M84" i="102"/>
  <c r="M82" i="102"/>
  <c r="I34" i="115"/>
  <c r="M34" i="115"/>
  <c r="Q34" i="115"/>
  <c r="U34" i="115"/>
  <c r="I117" i="102"/>
  <c r="I99" i="102"/>
  <c r="F114" i="102"/>
  <c r="I101" i="102"/>
  <c r="I112" i="102"/>
  <c r="O32" i="115"/>
  <c r="O34" i="115" s="1"/>
  <c r="S32" i="115"/>
  <c r="S34" i="115" s="1"/>
  <c r="E32" i="115"/>
  <c r="E34" i="115" s="1"/>
  <c r="G32" i="115"/>
  <c r="G34" i="115" s="1"/>
  <c r="K32" i="115"/>
  <c r="K34" i="115" s="1"/>
  <c r="H32" i="115"/>
  <c r="H34" i="115" s="1"/>
  <c r="L32" i="115"/>
  <c r="L34" i="115" s="1"/>
  <c r="P32" i="115"/>
  <c r="P34" i="115" s="1"/>
  <c r="T32" i="115"/>
  <c r="T34" i="115" s="1"/>
  <c r="F32" i="115"/>
  <c r="F34" i="115" s="1"/>
  <c r="J32" i="115"/>
  <c r="J34" i="115" s="1"/>
  <c r="N32" i="115"/>
  <c r="N34" i="115" s="1"/>
  <c r="R32" i="115"/>
  <c r="R34" i="115" s="1"/>
  <c r="V32" i="115"/>
  <c r="V34" i="115" s="1"/>
  <c r="O80" i="102" l="1"/>
  <c r="M100" i="102"/>
  <c r="O100" i="102" s="1"/>
  <c r="M115" i="102"/>
  <c r="O115" i="102" s="1"/>
  <c r="M97" i="102"/>
  <c r="J99" i="102"/>
  <c r="N99" i="102" s="1"/>
  <c r="O82" i="102"/>
  <c r="N77" i="102"/>
  <c r="M77" i="102"/>
  <c r="J101" i="102"/>
  <c r="N101" i="102" s="1"/>
  <c r="O84" i="102"/>
  <c r="O79" i="102"/>
  <c r="J96" i="102"/>
  <c r="O78" i="102"/>
  <c r="J95" i="102"/>
  <c r="I114" i="102"/>
  <c r="F118" i="102"/>
  <c r="F116" i="102"/>
  <c r="G12" i="105"/>
  <c r="J117" i="102" l="1"/>
  <c r="J114" i="102"/>
  <c r="N114" i="102" s="1"/>
  <c r="M101" i="102"/>
  <c r="J118" i="102" s="1"/>
  <c r="N118" i="102" s="1"/>
  <c r="M99" i="102"/>
  <c r="O97" i="102"/>
  <c r="N95" i="102"/>
  <c r="M95" i="102"/>
  <c r="N96" i="102"/>
  <c r="M96" i="102"/>
  <c r="J94" i="102"/>
  <c r="O77" i="102"/>
  <c r="I116" i="102"/>
  <c r="I118" i="102"/>
  <c r="N117" i="102" l="1"/>
  <c r="M117" i="102"/>
  <c r="O117" i="102" s="1"/>
  <c r="M114" i="102"/>
  <c r="J116" i="102"/>
  <c r="N116" i="102" s="1"/>
  <c r="O99" i="102"/>
  <c r="O101" i="102"/>
  <c r="M118" i="102"/>
  <c r="O118" i="102" s="1"/>
  <c r="O96" i="102"/>
  <c r="J113" i="102"/>
  <c r="O95" i="102"/>
  <c r="J112" i="102"/>
  <c r="N94" i="102"/>
  <c r="M94" i="102"/>
  <c r="D18" i="69"/>
  <c r="D21" i="69" s="1"/>
  <c r="G15" i="103"/>
  <c r="D14" i="105"/>
  <c r="G12" i="103"/>
  <c r="D12" i="103"/>
  <c r="N17" i="102"/>
  <c r="I17" i="102"/>
  <c r="E31" i="107"/>
  <c r="E21" i="107"/>
  <c r="E14" i="107"/>
  <c r="E16" i="107" s="1"/>
  <c r="N18" i="72"/>
  <c r="J18" i="72"/>
  <c r="G18" i="72"/>
  <c r="C18" i="72"/>
  <c r="E30" i="91"/>
  <c r="E16" i="91"/>
  <c r="E17" i="91" s="1"/>
  <c r="O114" i="102" l="1"/>
  <c r="F34" i="102"/>
  <c r="M116" i="102"/>
  <c r="O116" i="102" s="1"/>
  <c r="N113" i="102"/>
  <c r="M113" i="102"/>
  <c r="O113" i="102" s="1"/>
  <c r="J111" i="102"/>
  <c r="O94" i="102"/>
  <c r="N112" i="102"/>
  <c r="M112" i="102"/>
  <c r="O112" i="102" s="1"/>
  <c r="E32" i="107"/>
  <c r="E34" i="107" s="1"/>
  <c r="N111" i="102" l="1"/>
  <c r="M111" i="102"/>
  <c r="M17" i="102"/>
  <c r="M34" i="67"/>
  <c r="M36" i="67" s="1"/>
  <c r="N11" i="66" s="1"/>
  <c r="L34" i="67"/>
  <c r="L36" i="67" s="1"/>
  <c r="M11" i="66" s="1"/>
  <c r="K34" i="67"/>
  <c r="K36" i="67" s="1"/>
  <c r="L11" i="66" s="1"/>
  <c r="J34" i="67"/>
  <c r="J36" i="67" s="1"/>
  <c r="K11" i="66" s="1"/>
  <c r="I34" i="67"/>
  <c r="I36" i="67" s="1"/>
  <c r="J11" i="66" s="1"/>
  <c r="H36" i="67"/>
  <c r="I11" i="66" s="1"/>
  <c r="G36" i="67"/>
  <c r="F11" i="66" s="1"/>
  <c r="G11" i="66" s="1"/>
  <c r="N12" i="66"/>
  <c r="L12" i="66"/>
  <c r="K12" i="66"/>
  <c r="J12" i="66"/>
  <c r="I12" i="66"/>
  <c r="F12" i="66"/>
  <c r="G12" i="66" s="1"/>
  <c r="M18" i="69"/>
  <c r="N13" i="66" s="1"/>
  <c r="L18" i="69"/>
  <c r="M13" i="66" s="1"/>
  <c r="K18" i="69"/>
  <c r="L13" i="66" s="1"/>
  <c r="J18" i="69"/>
  <c r="K13" i="66" s="1"/>
  <c r="I18" i="69"/>
  <c r="J13" i="66" s="1"/>
  <c r="H18" i="69"/>
  <c r="I13" i="66" s="1"/>
  <c r="G18" i="69"/>
  <c r="F13" i="66" s="1"/>
  <c r="G13" i="66" s="1"/>
  <c r="F18" i="69"/>
  <c r="F21" i="69" s="1"/>
  <c r="E18" i="69"/>
  <c r="E21" i="69" s="1"/>
  <c r="D13" i="93"/>
  <c r="E11" i="93"/>
  <c r="M11" i="93"/>
  <c r="L11" i="93"/>
  <c r="K11" i="93"/>
  <c r="J11" i="93"/>
  <c r="I11" i="93"/>
  <c r="H11" i="93"/>
  <c r="H13" i="93" s="1"/>
  <c r="G17" i="103"/>
  <c r="F12" i="103"/>
  <c r="E12" i="103"/>
  <c r="D18" i="105"/>
  <c r="M18" i="105"/>
  <c r="L18" i="105"/>
  <c r="K18" i="105"/>
  <c r="J18" i="105"/>
  <c r="I18" i="105"/>
  <c r="H18" i="105"/>
  <c r="G18" i="105"/>
  <c r="E18" i="105"/>
  <c r="G14" i="105"/>
  <c r="I20" i="102"/>
  <c r="N19" i="102"/>
  <c r="I19" i="102"/>
  <c r="N18" i="102"/>
  <c r="I18" i="102"/>
  <c r="I22" i="102" l="1"/>
  <c r="N21" i="102"/>
  <c r="N22" i="102"/>
  <c r="J34" i="102"/>
  <c r="O111" i="102"/>
  <c r="F35" i="102"/>
  <c r="F36" i="102"/>
  <c r="I36" i="102" s="1"/>
  <c r="F53" i="102" s="1"/>
  <c r="I53" i="102" s="1"/>
  <c r="F70" i="102" s="1"/>
  <c r="I70" i="102" s="1"/>
  <c r="F87" i="102" s="1"/>
  <c r="F37" i="102"/>
  <c r="O17" i="102"/>
  <c r="I21" i="102"/>
  <c r="F38" i="102" s="1"/>
  <c r="L14" i="66"/>
  <c r="M11" i="58" s="1"/>
  <c r="K13" i="104" s="1"/>
  <c r="I14" i="66"/>
  <c r="G9" i="109"/>
  <c r="J12" i="93"/>
  <c r="G72" i="102" s="1"/>
  <c r="D9" i="109"/>
  <c r="E12" i="93"/>
  <c r="F12" i="93" s="1"/>
  <c r="E11" i="105"/>
  <c r="E12" i="105" s="1"/>
  <c r="F14" i="66"/>
  <c r="F9" i="109"/>
  <c r="I11" i="105"/>
  <c r="I12" i="105" s="1"/>
  <c r="I12" i="93"/>
  <c r="G55" i="102" s="1"/>
  <c r="J9" i="109"/>
  <c r="M11" i="105"/>
  <c r="M12" i="105" s="1"/>
  <c r="M12" i="93"/>
  <c r="G123" i="102" s="1"/>
  <c r="D20" i="105"/>
  <c r="D21" i="105" s="1"/>
  <c r="E9" i="109"/>
  <c r="H12" i="93"/>
  <c r="G38" i="102" s="1"/>
  <c r="I9" i="109"/>
  <c r="L12" i="93"/>
  <c r="G106" i="102" s="1"/>
  <c r="L11" i="105"/>
  <c r="L12" i="105" s="1"/>
  <c r="M12" i="66"/>
  <c r="M14" i="66" s="1"/>
  <c r="G14" i="66"/>
  <c r="H9" i="109"/>
  <c r="K11" i="105"/>
  <c r="K12" i="105" s="1"/>
  <c r="K12" i="93"/>
  <c r="G89" i="102" s="1"/>
  <c r="F11" i="93"/>
  <c r="J14" i="66"/>
  <c r="N14" i="66"/>
  <c r="K14" i="66"/>
  <c r="I35" i="102"/>
  <c r="I11" i="58"/>
  <c r="M19" i="102"/>
  <c r="G20" i="69"/>
  <c r="F11" i="58"/>
  <c r="I10" i="93"/>
  <c r="I13" i="93" s="1"/>
  <c r="F13" i="58"/>
  <c r="G16" i="103"/>
  <c r="G18" i="103" s="1"/>
  <c r="G20" i="103" s="1"/>
  <c r="I13" i="58" s="1"/>
  <c r="E20" i="105"/>
  <c r="F20" i="105"/>
  <c r="G20" i="105"/>
  <c r="N34" i="102"/>
  <c r="I34" i="102"/>
  <c r="O20" i="102"/>
  <c r="N37" i="102" l="1"/>
  <c r="I37" i="102"/>
  <c r="F39" i="102"/>
  <c r="H14" i="103"/>
  <c r="H11" i="105"/>
  <c r="H12" i="105" s="1"/>
  <c r="D13" i="104"/>
  <c r="D14" i="104"/>
  <c r="G13" i="104"/>
  <c r="G14" i="104"/>
  <c r="H17" i="109"/>
  <c r="H12" i="109"/>
  <c r="H15" i="109" s="1"/>
  <c r="I17" i="109"/>
  <c r="I12" i="109"/>
  <c r="I15" i="109" s="1"/>
  <c r="J17" i="109"/>
  <c r="J12" i="109"/>
  <c r="J15" i="109" s="1"/>
  <c r="I38" i="102"/>
  <c r="G17" i="109"/>
  <c r="G12" i="109"/>
  <c r="G15" i="109" s="1"/>
  <c r="F12" i="109"/>
  <c r="F15" i="109" s="1"/>
  <c r="F17" i="109"/>
  <c r="O19" i="102"/>
  <c r="J36" i="102"/>
  <c r="M18" i="102"/>
  <c r="D15" i="103"/>
  <c r="F13" i="93"/>
  <c r="J10" i="93"/>
  <c r="E17" i="109"/>
  <c r="E12" i="109"/>
  <c r="E15" i="109" s="1"/>
  <c r="E21" i="109" s="1"/>
  <c r="D12" i="109"/>
  <c r="D15" i="109" s="1"/>
  <c r="D17" i="109"/>
  <c r="J11" i="58"/>
  <c r="H11" i="58"/>
  <c r="N11" i="58"/>
  <c r="L13" i="104" s="1"/>
  <c r="F19" i="103"/>
  <c r="F14" i="103"/>
  <c r="G11" i="58"/>
  <c r="E13" i="93"/>
  <c r="H10" i="93" s="1"/>
  <c r="E14" i="105"/>
  <c r="E21" i="105" s="1"/>
  <c r="E22" i="105" s="1"/>
  <c r="G15" i="58" s="1"/>
  <c r="F11" i="105"/>
  <c r="I87" i="102"/>
  <c r="F104" i="102" s="1"/>
  <c r="G21" i="69"/>
  <c r="L11" i="58"/>
  <c r="J13" i="104" s="1"/>
  <c r="K11" i="58"/>
  <c r="F51" i="102"/>
  <c r="F52" i="102"/>
  <c r="O11" i="58"/>
  <c r="M13" i="104" s="1"/>
  <c r="G21" i="105"/>
  <c r="I15" i="58" s="1"/>
  <c r="F15" i="58"/>
  <c r="J13" i="93" l="1"/>
  <c r="K10" i="93" s="1"/>
  <c r="K13" i="93" s="1"/>
  <c r="L10" i="93" s="1"/>
  <c r="L13" i="93" s="1"/>
  <c r="I13" i="104"/>
  <c r="Q11" i="58"/>
  <c r="J35" i="102"/>
  <c r="M22" i="102"/>
  <c r="F55" i="102"/>
  <c r="O37" i="102"/>
  <c r="I39" i="102"/>
  <c r="F13" i="104"/>
  <c r="E13" i="104" s="1"/>
  <c r="F14" i="104"/>
  <c r="E14" i="104" s="1"/>
  <c r="H13" i="104"/>
  <c r="H14" i="104"/>
  <c r="H10" i="105"/>
  <c r="H10" i="103"/>
  <c r="I10" i="103" s="1"/>
  <c r="J10" i="103" s="1"/>
  <c r="K10" i="103" s="1"/>
  <c r="L10" i="103" s="1"/>
  <c r="M10" i="103" s="1"/>
  <c r="E15" i="103"/>
  <c r="D17" i="103"/>
  <c r="D16" i="103"/>
  <c r="D18" i="103" s="1"/>
  <c r="D20" i="103" s="1"/>
  <c r="M36" i="102"/>
  <c r="J53" i="102" s="1"/>
  <c r="N36" i="102"/>
  <c r="M34" i="102"/>
  <c r="O18" i="102"/>
  <c r="M21" i="102"/>
  <c r="J38" i="102" s="1"/>
  <c r="F12" i="105"/>
  <c r="F14" i="105" s="1"/>
  <c r="F21" i="105" s="1"/>
  <c r="F22" i="105" s="1"/>
  <c r="H15" i="58" s="1"/>
  <c r="I21" i="109"/>
  <c r="G21" i="109"/>
  <c r="F21" i="109"/>
  <c r="H21" i="109"/>
  <c r="D21" i="109"/>
  <c r="J21" i="109"/>
  <c r="H20" i="69"/>
  <c r="H21" i="69" s="1"/>
  <c r="E21" i="102"/>
  <c r="H12" i="58"/>
  <c r="I104" i="102"/>
  <c r="F121" i="102" s="1"/>
  <c r="I52" i="102"/>
  <c r="F69" i="102" s="1"/>
  <c r="I51" i="102"/>
  <c r="F54" i="102"/>
  <c r="O36" i="102" l="1"/>
  <c r="H11" i="103"/>
  <c r="H12" i="103" s="1"/>
  <c r="O21" i="102"/>
  <c r="O22" i="102"/>
  <c r="I55" i="102"/>
  <c r="N35" i="102"/>
  <c r="N39" i="102" s="1"/>
  <c r="J39" i="102"/>
  <c r="M35" i="102"/>
  <c r="I14" i="104"/>
  <c r="I10" i="105"/>
  <c r="H20" i="105"/>
  <c r="H14" i="105"/>
  <c r="E17" i="103"/>
  <c r="E16" i="103"/>
  <c r="E18" i="103" s="1"/>
  <c r="E20" i="103" s="1"/>
  <c r="E22" i="103" s="1"/>
  <c r="G13" i="58" s="1"/>
  <c r="F15" i="103"/>
  <c r="F16" i="103" s="1"/>
  <c r="F18" i="103" s="1"/>
  <c r="F20" i="103" s="1"/>
  <c r="F22" i="103" s="1"/>
  <c r="H13" i="58" s="1"/>
  <c r="G12" i="58"/>
  <c r="J51" i="102"/>
  <c r="N53" i="102"/>
  <c r="M53" i="102"/>
  <c r="O34" i="102"/>
  <c r="E38" i="102"/>
  <c r="M10" i="93"/>
  <c r="M13" i="93" s="1"/>
  <c r="J12" i="58"/>
  <c r="H15" i="103" s="1"/>
  <c r="F68" i="102"/>
  <c r="I69" i="102"/>
  <c r="F86" i="102" s="1"/>
  <c r="N54" i="102"/>
  <c r="I54" i="102"/>
  <c r="I121" i="102"/>
  <c r="I11" i="103" l="1"/>
  <c r="I12" i="103" s="1"/>
  <c r="O35" i="102"/>
  <c r="O39" i="102" s="1"/>
  <c r="J52" i="102"/>
  <c r="M39" i="102"/>
  <c r="F72" i="102"/>
  <c r="J55" i="102"/>
  <c r="H21" i="105"/>
  <c r="H22" i="105" s="1"/>
  <c r="J15" i="58" s="1"/>
  <c r="F17" i="103"/>
  <c r="J10" i="105"/>
  <c r="I20" i="105"/>
  <c r="I14" i="105"/>
  <c r="N51" i="102"/>
  <c r="O53" i="102"/>
  <c r="J70" i="102"/>
  <c r="I20" i="69"/>
  <c r="I21" i="69" s="1"/>
  <c r="H16" i="103"/>
  <c r="H18" i="103" s="1"/>
  <c r="H20" i="103" s="1"/>
  <c r="H22" i="103" s="1"/>
  <c r="J13" i="58" s="1"/>
  <c r="H17" i="103"/>
  <c r="M51" i="102"/>
  <c r="J68" i="102" s="1"/>
  <c r="I86" i="102"/>
  <c r="I68" i="102"/>
  <c r="F71" i="102"/>
  <c r="M54" i="102"/>
  <c r="M22" i="106"/>
  <c r="O16" i="58" s="1"/>
  <c r="L22" i="106"/>
  <c r="N16" i="58" s="1"/>
  <c r="K22" i="106"/>
  <c r="M16" i="58" s="1"/>
  <c r="J22" i="106"/>
  <c r="L16" i="58" s="1"/>
  <c r="I22" i="106"/>
  <c r="K16" i="58" s="1"/>
  <c r="H22" i="106"/>
  <c r="J16" i="58" s="1"/>
  <c r="F22" i="106"/>
  <c r="H16" i="58" s="1"/>
  <c r="E22" i="106"/>
  <c r="G16" i="58" s="1"/>
  <c r="V31" i="107"/>
  <c r="U31" i="107"/>
  <c r="T31" i="107"/>
  <c r="S31" i="107"/>
  <c r="R31" i="107"/>
  <c r="Q31" i="107"/>
  <c r="P31" i="107"/>
  <c r="O31" i="107"/>
  <c r="N31" i="107"/>
  <c r="M31" i="107"/>
  <c r="L31" i="107"/>
  <c r="K31" i="107"/>
  <c r="J31" i="107"/>
  <c r="I31" i="107"/>
  <c r="H31" i="107"/>
  <c r="G31" i="107"/>
  <c r="F31" i="107"/>
  <c r="V21" i="107"/>
  <c r="U21" i="107"/>
  <c r="T21" i="107"/>
  <c r="S21" i="107"/>
  <c r="R21" i="107"/>
  <c r="Q21" i="107"/>
  <c r="P21" i="107"/>
  <c r="O21" i="107"/>
  <c r="N21" i="107"/>
  <c r="M21" i="107"/>
  <c r="L21" i="107"/>
  <c r="K21" i="107"/>
  <c r="J21" i="107"/>
  <c r="I21" i="107"/>
  <c r="H21" i="107"/>
  <c r="G21" i="107"/>
  <c r="F21" i="107"/>
  <c r="V14" i="107"/>
  <c r="V16" i="107" s="1"/>
  <c r="U14" i="107"/>
  <c r="U16" i="107" s="1"/>
  <c r="T14" i="107"/>
  <c r="T16" i="107" s="1"/>
  <c r="S14" i="107"/>
  <c r="S16" i="107" s="1"/>
  <c r="R14" i="107"/>
  <c r="R16" i="107" s="1"/>
  <c r="Q14" i="107"/>
  <c r="Q16" i="107" s="1"/>
  <c r="P14" i="107"/>
  <c r="P16" i="107" s="1"/>
  <c r="O14" i="107"/>
  <c r="O16" i="107" s="1"/>
  <c r="N14" i="107"/>
  <c r="N16" i="107" s="1"/>
  <c r="M14" i="107"/>
  <c r="M16" i="107" s="1"/>
  <c r="L14" i="107"/>
  <c r="L16" i="107" s="1"/>
  <c r="K14" i="107"/>
  <c r="K16" i="107" s="1"/>
  <c r="J14" i="107"/>
  <c r="J16" i="107" s="1"/>
  <c r="I14" i="107"/>
  <c r="I16" i="107" s="1"/>
  <c r="H14" i="107"/>
  <c r="H16" i="107" s="1"/>
  <c r="G14" i="107"/>
  <c r="G16" i="107" s="1"/>
  <c r="F14" i="107"/>
  <c r="F16" i="107" s="1"/>
  <c r="O19" i="58"/>
  <c r="O21" i="58" s="1"/>
  <c r="N19" i="58"/>
  <c r="N21" i="58" s="1"/>
  <c r="M19" i="58"/>
  <c r="M21" i="58" s="1"/>
  <c r="L19" i="58"/>
  <c r="L21" i="58" s="1"/>
  <c r="K19" i="58"/>
  <c r="K21" i="58" s="1"/>
  <c r="J21" i="58"/>
  <c r="I19" i="58"/>
  <c r="I21" i="58" s="1"/>
  <c r="H19" i="58"/>
  <c r="H21" i="58" s="1"/>
  <c r="G19" i="58"/>
  <c r="G21" i="58" s="1"/>
  <c r="F19" i="58"/>
  <c r="M18" i="72"/>
  <c r="L18" i="72"/>
  <c r="K18" i="72"/>
  <c r="F18" i="72"/>
  <c r="E18" i="72"/>
  <c r="D18" i="72"/>
  <c r="Q16" i="91"/>
  <c r="P16" i="91"/>
  <c r="P17" i="91" s="1"/>
  <c r="O16" i="91"/>
  <c r="O17" i="91" s="1"/>
  <c r="N16" i="91"/>
  <c r="N17" i="91" s="1"/>
  <c r="M16" i="91"/>
  <c r="M17" i="91" s="1"/>
  <c r="L16" i="91"/>
  <c r="L17" i="91" s="1"/>
  <c r="K16" i="91"/>
  <c r="K17" i="91" s="1"/>
  <c r="J16" i="91"/>
  <c r="J17" i="91" s="1"/>
  <c r="I16" i="91"/>
  <c r="I17" i="91" s="1"/>
  <c r="H16" i="91"/>
  <c r="H17" i="91" s="1"/>
  <c r="G16" i="91"/>
  <c r="G17" i="91" s="1"/>
  <c r="F16" i="91"/>
  <c r="F17" i="91" s="1"/>
  <c r="P30" i="91"/>
  <c r="O30" i="91"/>
  <c r="N30" i="91"/>
  <c r="M30" i="91"/>
  <c r="L30" i="91"/>
  <c r="K30" i="91"/>
  <c r="J30" i="91"/>
  <c r="I30" i="91"/>
  <c r="H30" i="91"/>
  <c r="G30" i="91"/>
  <c r="F30" i="91"/>
  <c r="Q16" i="58" l="1"/>
  <c r="G32" i="107"/>
  <c r="G34" i="107" s="1"/>
  <c r="K32" i="107"/>
  <c r="K34" i="107" s="1"/>
  <c r="O32" i="107"/>
  <c r="O34" i="107" s="1"/>
  <c r="S32" i="107"/>
  <c r="S34" i="107" s="1"/>
  <c r="J14" i="104"/>
  <c r="M55" i="102"/>
  <c r="N55" i="102"/>
  <c r="I72" i="102"/>
  <c r="N52" i="102"/>
  <c r="M52" i="102"/>
  <c r="I21" i="105"/>
  <c r="I22" i="105" s="1"/>
  <c r="K15" i="58" s="1"/>
  <c r="O54" i="102"/>
  <c r="J71" i="102"/>
  <c r="N71" i="102" s="1"/>
  <c r="J14" i="105"/>
  <c r="K10" i="105"/>
  <c r="J20" i="105"/>
  <c r="N68" i="102"/>
  <c r="M70" i="102"/>
  <c r="N70" i="102"/>
  <c r="Q17" i="91"/>
  <c r="T32" i="107"/>
  <c r="T34" i="107" s="1"/>
  <c r="J20" i="69"/>
  <c r="J21" i="69" s="1"/>
  <c r="F21" i="58"/>
  <c r="H32" i="107"/>
  <c r="H34" i="107" s="1"/>
  <c r="L32" i="107"/>
  <c r="L34" i="107" s="1"/>
  <c r="P32" i="107"/>
  <c r="P34" i="107" s="1"/>
  <c r="O51" i="102"/>
  <c r="F103" i="102"/>
  <c r="I71" i="102"/>
  <c r="F32" i="107"/>
  <c r="F34" i="107" s="1"/>
  <c r="J32" i="107"/>
  <c r="J34" i="107" s="1"/>
  <c r="N32" i="107"/>
  <c r="N34" i="107" s="1"/>
  <c r="R32" i="107"/>
  <c r="R34" i="107" s="1"/>
  <c r="V32" i="107"/>
  <c r="V34" i="107" s="1"/>
  <c r="I32" i="107"/>
  <c r="I34" i="107" s="1"/>
  <c r="M32" i="107"/>
  <c r="M34" i="107" s="1"/>
  <c r="Q32" i="107"/>
  <c r="Q34" i="107" s="1"/>
  <c r="U32" i="107"/>
  <c r="U34" i="107" s="1"/>
  <c r="F85" i="102"/>
  <c r="F88" i="102" l="1"/>
  <c r="F90" i="102" s="1"/>
  <c r="O52" i="102"/>
  <c r="J69" i="102"/>
  <c r="F89" i="102"/>
  <c r="J72" i="102"/>
  <c r="O55" i="102"/>
  <c r="L10" i="105"/>
  <c r="K20" i="105"/>
  <c r="J21" i="105"/>
  <c r="J22" i="105" s="1"/>
  <c r="L15" i="58" s="1"/>
  <c r="O70" i="102"/>
  <c r="J87" i="102"/>
  <c r="M68" i="102"/>
  <c r="E55" i="102"/>
  <c r="K12" i="58"/>
  <c r="M71" i="102"/>
  <c r="I85" i="102"/>
  <c r="I103" i="102"/>
  <c r="F120" i="102" s="1"/>
  <c r="I15" i="103" l="1"/>
  <c r="J11" i="103" s="1"/>
  <c r="J12" i="103" s="1"/>
  <c r="I88" i="102"/>
  <c r="F105" i="102" s="1"/>
  <c r="I105" i="102" s="1"/>
  <c r="J85" i="102"/>
  <c r="N85" i="102" s="1"/>
  <c r="M72" i="102"/>
  <c r="N72" i="102"/>
  <c r="I89" i="102"/>
  <c r="K14" i="104"/>
  <c r="N69" i="102"/>
  <c r="M69" i="102"/>
  <c r="O71" i="102"/>
  <c r="J88" i="102"/>
  <c r="N88" i="102" s="1"/>
  <c r="K14" i="105"/>
  <c r="K21" i="105" s="1"/>
  <c r="K22" i="105" s="1"/>
  <c r="M15" i="58" s="1"/>
  <c r="M10" i="105"/>
  <c r="M20" i="105" s="1"/>
  <c r="L20" i="105"/>
  <c r="N87" i="102"/>
  <c r="M87" i="102"/>
  <c r="O68" i="102"/>
  <c r="L12" i="58"/>
  <c r="K20" i="69"/>
  <c r="K21" i="69" s="1"/>
  <c r="F102" i="102"/>
  <c r="I120" i="102"/>
  <c r="B20" i="58"/>
  <c r="B21" i="58" s="1"/>
  <c r="M88" i="102" l="1"/>
  <c r="O88" i="102" s="1"/>
  <c r="I16" i="103"/>
  <c r="I18" i="103" s="1"/>
  <c r="I20" i="103" s="1"/>
  <c r="I22" i="103" s="1"/>
  <c r="K13" i="58" s="1"/>
  <c r="I17" i="103"/>
  <c r="J15" i="103"/>
  <c r="K11" i="103" s="1"/>
  <c r="I90" i="102"/>
  <c r="F107" i="102"/>
  <c r="O69" i="102"/>
  <c r="J86" i="102"/>
  <c r="J90" i="102" s="1"/>
  <c r="F106" i="102"/>
  <c r="J89" i="102"/>
  <c r="O72" i="102"/>
  <c r="J105" i="102"/>
  <c r="N105" i="102" s="1"/>
  <c r="K12" i="103"/>
  <c r="O87" i="102"/>
  <c r="J104" i="102"/>
  <c r="E72" i="102"/>
  <c r="M85" i="102"/>
  <c r="F122" i="102"/>
  <c r="I102" i="102"/>
  <c r="I107" i="102" s="1"/>
  <c r="J16" i="103" l="1"/>
  <c r="J18" i="103" s="1"/>
  <c r="J20" i="103" s="1"/>
  <c r="J22" i="103" s="1"/>
  <c r="L13" i="58" s="1"/>
  <c r="J17" i="103"/>
  <c r="M105" i="102"/>
  <c r="O105" i="102" s="1"/>
  <c r="M89" i="102"/>
  <c r="N89" i="102"/>
  <c r="I106" i="102"/>
  <c r="L14" i="104"/>
  <c r="N86" i="102"/>
  <c r="N90" i="102" s="1"/>
  <c r="M86" i="102"/>
  <c r="J102" i="102"/>
  <c r="N104" i="102"/>
  <c r="M104" i="102"/>
  <c r="L20" i="69"/>
  <c r="L21" i="69" s="1"/>
  <c r="E89" i="102"/>
  <c r="M12" i="58"/>
  <c r="F119" i="102"/>
  <c r="I122" i="102"/>
  <c r="O85" i="102"/>
  <c r="B51" i="107"/>
  <c r="B52" i="107" s="1"/>
  <c r="B53" i="107" s="1"/>
  <c r="B10" i="107"/>
  <c r="B12" i="107" s="1"/>
  <c r="B13" i="107" s="1"/>
  <c r="B14" i="107" s="1"/>
  <c r="B15" i="107" s="1"/>
  <c r="B16" i="107" s="1"/>
  <c r="B18" i="107" s="1"/>
  <c r="B19" i="107" s="1"/>
  <c r="B20" i="107" s="1"/>
  <c r="B21" i="107" s="1"/>
  <c r="B23" i="107" s="1"/>
  <c r="B28" i="107" s="1"/>
  <c r="B29" i="107" s="1"/>
  <c r="B30" i="107" s="1"/>
  <c r="B31" i="107" s="1"/>
  <c r="B32" i="107" s="1"/>
  <c r="B34" i="107" s="1"/>
  <c r="B35" i="107" s="1"/>
  <c r="B36" i="107" s="1"/>
  <c r="B38" i="107" s="1"/>
  <c r="B39" i="107" s="1"/>
  <c r="B40" i="107" s="1"/>
  <c r="B41" i="107" s="1"/>
  <c r="B42" i="107" s="1"/>
  <c r="B43" i="107" s="1"/>
  <c r="B44" i="107" s="1"/>
  <c r="B45" i="107" s="1"/>
  <c r="B46" i="107" s="1"/>
  <c r="B47" i="107" s="1"/>
  <c r="J122" i="102" l="1"/>
  <c r="N122" i="102" s="1"/>
  <c r="K15" i="103"/>
  <c r="L11" i="103" s="1"/>
  <c r="L12" i="103" s="1"/>
  <c r="F124" i="102"/>
  <c r="O86" i="102"/>
  <c r="O90" i="102" s="1"/>
  <c r="J103" i="102"/>
  <c r="M90" i="102"/>
  <c r="F123" i="102"/>
  <c r="J106" i="102"/>
  <c r="O89" i="102"/>
  <c r="L14" i="105"/>
  <c r="L21" i="105" s="1"/>
  <c r="L22" i="105" s="1"/>
  <c r="N15" i="58" s="1"/>
  <c r="N102" i="102"/>
  <c r="O104" i="102"/>
  <c r="J121" i="102"/>
  <c r="M102" i="102"/>
  <c r="N12" i="58"/>
  <c r="E106" i="102"/>
  <c r="I119" i="102"/>
  <c r="I124" i="102" s="1"/>
  <c r="B11" i="106"/>
  <c r="B12" i="106" s="1"/>
  <c r="B13" i="106" s="1"/>
  <c r="B14" i="106" s="1"/>
  <c r="B15" i="106" s="1"/>
  <c r="B16" i="106" s="1"/>
  <c r="B17" i="106" s="1"/>
  <c r="B18" i="106" s="1"/>
  <c r="B19" i="106" s="1"/>
  <c r="B20" i="106" s="1"/>
  <c r="B21" i="106" s="1"/>
  <c r="B11" i="105"/>
  <c r="B12" i="105" s="1"/>
  <c r="B13" i="105" s="1"/>
  <c r="B14" i="105" s="1"/>
  <c r="B16" i="105" s="1"/>
  <c r="B17" i="105" s="1"/>
  <c r="B18" i="105" s="1"/>
  <c r="B20" i="105" s="1"/>
  <c r="B11" i="104"/>
  <c r="B12" i="104" s="1"/>
  <c r="B13" i="104" s="1"/>
  <c r="B14" i="104" s="1"/>
  <c r="B15" i="104" s="1"/>
  <c r="B17" i="104" s="1"/>
  <c r="B18" i="104" s="1"/>
  <c r="B19" i="104" s="1"/>
  <c r="B20" i="104" s="1"/>
  <c r="B11" i="103"/>
  <c r="B12" i="103" s="1"/>
  <c r="B13" i="103" s="1"/>
  <c r="B14" i="103" s="1"/>
  <c r="B15" i="103" s="1"/>
  <c r="B16" i="103" s="1"/>
  <c r="B17" i="103" s="1"/>
  <c r="B18" i="103" s="1"/>
  <c r="B19" i="103" s="1"/>
  <c r="B20" i="103" s="1"/>
  <c r="B21" i="103" s="1"/>
  <c r="B22" i="103" s="1"/>
  <c r="K17" i="103" l="1"/>
  <c r="K16" i="103"/>
  <c r="K18" i="103" s="1"/>
  <c r="K20" i="103" s="1"/>
  <c r="K22" i="103" s="1"/>
  <c r="M13" i="58" s="1"/>
  <c r="M122" i="102"/>
  <c r="O122" i="102" s="1"/>
  <c r="L15" i="103"/>
  <c r="M11" i="103" s="1"/>
  <c r="M12" i="103" s="1"/>
  <c r="M106" i="102"/>
  <c r="N106" i="102"/>
  <c r="I123" i="102"/>
  <c r="M14" i="104"/>
  <c r="N103" i="102"/>
  <c r="N107" i="102" s="1"/>
  <c r="M103" i="102"/>
  <c r="J107" i="102"/>
  <c r="J119" i="102"/>
  <c r="N121" i="102"/>
  <c r="M121" i="102"/>
  <c r="O121" i="102" s="1"/>
  <c r="O102" i="102"/>
  <c r="L16" i="103"/>
  <c r="L18" i="103" s="1"/>
  <c r="L20" i="103" s="1"/>
  <c r="L22" i="103" s="1"/>
  <c r="N13" i="58" s="1"/>
  <c r="M20" i="69"/>
  <c r="M21" i="69" s="1"/>
  <c r="B21" i="105"/>
  <c r="B22" i="105" s="1"/>
  <c r="B12" i="58"/>
  <c r="B13" i="58" s="1"/>
  <c r="B14" i="58" s="1"/>
  <c r="B15" i="58" s="1"/>
  <c r="B16" i="58" s="1"/>
  <c r="B17" i="58" s="1"/>
  <c r="L17" i="103" l="1"/>
  <c r="O103" i="102"/>
  <c r="O107" i="102" s="1"/>
  <c r="J120" i="102"/>
  <c r="M107" i="102"/>
  <c r="J123" i="102"/>
  <c r="O106" i="102"/>
  <c r="M14" i="105"/>
  <c r="M21" i="105" s="1"/>
  <c r="M22" i="105" s="1"/>
  <c r="O15" i="58" s="1"/>
  <c r="Q15" i="58" s="1"/>
  <c r="N119" i="102"/>
  <c r="M119" i="102"/>
  <c r="B9" i="91"/>
  <c r="B10" i="91" s="1"/>
  <c r="B11" i="91" s="1"/>
  <c r="B12" i="91" s="1"/>
  <c r="B13" i="91" s="1"/>
  <c r="B14" i="91" s="1"/>
  <c r="B15" i="91" s="1"/>
  <c r="B16" i="91" s="1"/>
  <c r="B17" i="91" s="1"/>
  <c r="B18" i="91" s="1"/>
  <c r="B19" i="91" s="1"/>
  <c r="B20" i="91" s="1"/>
  <c r="B21" i="91" s="1"/>
  <c r="B22" i="91" s="1"/>
  <c r="B23" i="91" s="1"/>
  <c r="B24" i="91" s="1"/>
  <c r="B25" i="91" s="1"/>
  <c r="B26" i="91" s="1"/>
  <c r="B30" i="91" s="1"/>
  <c r="B31" i="91" s="1"/>
  <c r="M123" i="102" l="1"/>
  <c r="O123" i="102" s="1"/>
  <c r="N123" i="102"/>
  <c r="N120" i="102"/>
  <c r="N124" i="102" s="1"/>
  <c r="M120" i="102"/>
  <c r="J124" i="102"/>
  <c r="E123" i="102"/>
  <c r="O12" i="58"/>
  <c r="O119" i="102"/>
  <c r="B9" i="57"/>
  <c r="B10" i="57" s="1"/>
  <c r="B11" i="57" s="1"/>
  <c r="B12" i="57" s="1"/>
  <c r="M15" i="103" l="1"/>
  <c r="M17" i="103" s="1"/>
  <c r="Q12" i="58"/>
  <c r="O120" i="102"/>
  <c r="O124" i="102" s="1"/>
  <c r="M124" i="102"/>
  <c r="B13" i="57"/>
  <c r="B14" i="57" s="1"/>
  <c r="B15" i="57" s="1"/>
  <c r="B12" i="66"/>
  <c r="B13" i="66" s="1"/>
  <c r="B14" i="66" s="1"/>
  <c r="B28" i="67"/>
  <c r="B29" i="67" s="1"/>
  <c r="B30" i="67" s="1"/>
  <c r="B31" i="67" s="1"/>
  <c r="M16" i="103" l="1"/>
  <c r="M18" i="103" s="1"/>
  <c r="M20" i="103" s="1"/>
  <c r="M22" i="103" s="1"/>
  <c r="O13" i="58" s="1"/>
  <c r="Q13" i="58" s="1"/>
  <c r="B16" i="57"/>
  <c r="B17" i="57" s="1"/>
  <c r="B18" i="57" s="1"/>
  <c r="B19" i="57" s="1"/>
  <c r="B20" i="57" s="1"/>
  <c r="B21" i="57" s="1"/>
  <c r="B22" i="57" s="1"/>
  <c r="B23" i="57" l="1"/>
  <c r="B24" i="57" s="1"/>
  <c r="B25" i="57" s="1"/>
  <c r="B26" i="57" s="1"/>
  <c r="B27" i="57" s="1"/>
  <c r="B28" i="57" s="1"/>
  <c r="B30" i="57" s="1"/>
  <c r="B31" i="57" s="1"/>
  <c r="B32" i="57" s="1"/>
  <c r="B33" i="57" l="1"/>
  <c r="B34" i="57" s="1"/>
  <c r="B35" i="57" s="1"/>
  <c r="B36" i="57" s="1"/>
  <c r="B37" i="57" s="1"/>
  <c r="B38" i="57" s="1"/>
  <c r="B39" i="57" s="1"/>
  <c r="I14" i="58"/>
  <c r="I17" i="58" s="1"/>
  <c r="F14" i="58"/>
  <c r="I22" i="58" l="1"/>
  <c r="G15" i="104" s="1"/>
  <c r="G18" i="104" s="1"/>
  <c r="I23" i="58"/>
  <c r="F17" i="58"/>
  <c r="F22" i="58" l="1"/>
  <c r="D15" i="104" s="1"/>
  <c r="D18" i="104" s="1"/>
  <c r="F23" i="58"/>
  <c r="J23" i="58" l="1"/>
  <c r="H23" i="58"/>
  <c r="O23" i="58"/>
  <c r="G23" i="58"/>
  <c r="G22" i="58"/>
  <c r="M23" i="58"/>
  <c r="L23" i="58"/>
  <c r="Q14" i="58"/>
  <c r="N23" i="58"/>
  <c r="E15" i="104"/>
  <c r="E18" i="104"/>
  <c r="E20" i="104"/>
  <c r="G14" i="58"/>
  <c r="G17" i="58"/>
  <c r="Q17" i="58"/>
  <c r="K22" i="58"/>
  <c r="I15" i="104"/>
  <c r="I18" i="104"/>
  <c r="I20" i="104"/>
  <c r="K14" i="58"/>
  <c r="K17" i="58"/>
  <c r="K23" i="58"/>
  <c r="M22" i="58"/>
  <c r="K15" i="104"/>
  <c r="K18" i="104"/>
  <c r="K20" i="104"/>
  <c r="M14" i="58"/>
  <c r="M17" i="58"/>
  <c r="J17" i="58"/>
  <c r="J22" i="58"/>
  <c r="H15" i="104"/>
  <c r="H18" i="104"/>
  <c r="H20" i="104"/>
  <c r="J14" i="58"/>
  <c r="F18" i="104"/>
  <c r="F20" i="104"/>
  <c r="H14" i="58"/>
  <c r="H17" i="58"/>
  <c r="H22" i="58"/>
  <c r="F15" i="104"/>
  <c r="O17" i="58"/>
  <c r="O22" i="58"/>
  <c r="M15" i="104"/>
  <c r="M18" i="104"/>
  <c r="M20" i="104"/>
  <c r="O14" i="58"/>
  <c r="L14" i="58"/>
  <c r="L17" i="58"/>
  <c r="L22" i="58"/>
  <c r="J15" i="104"/>
  <c r="J18" i="104"/>
  <c r="J20" i="104"/>
  <c r="L18" i="104"/>
  <c r="L20" i="104"/>
  <c r="N14" i="58"/>
  <c r="N17" i="58"/>
  <c r="N22" i="58"/>
  <c r="L15" i="104"/>
</calcChain>
</file>

<file path=xl/sharedStrings.xml><?xml version="1.0" encoding="utf-8"?>
<sst xmlns="http://schemas.openxmlformats.org/spreadsheetml/2006/main" count="1582" uniqueCount="573">
  <si>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</si>
  <si>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</si>
  <si>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</si>
  <si>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</si>
  <si>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</si>
  <si>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</si>
  <si>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</si>
  <si>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</si>
  <si>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</si>
  <si>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</si>
  <si>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</si>
  <si>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</si>
  <si>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</si>
  <si>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</si>
  <si>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</si>
  <si>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</si>
  <si>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</si>
  <si>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</si>
  <si>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</si>
  <si>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</si>
  <si>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</si>
  <si>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</si>
  <si>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</si>
  <si>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</si>
  <si>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</si>
  <si>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</si>
  <si>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</si>
  <si>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</si>
  <si>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</si>
  <si>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</si>
  <si>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</si>
  <si>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</si>
  <si>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</si>
  <si>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</si>
  <si>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</si>
  <si>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</si>
  <si>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</si>
  <si>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</si>
  <si>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</si>
  <si>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</si>
  <si>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MW</t>
  </si>
  <si>
    <t>Target Availability for full recovery of AFC</t>
  </si>
  <si>
    <t>%</t>
  </si>
  <si>
    <t>Target PLF for Incentive</t>
  </si>
  <si>
    <t>Scheduled Generation</t>
  </si>
  <si>
    <t>MU</t>
  </si>
  <si>
    <t>Normative Auxiliary Energy Consumption</t>
  </si>
  <si>
    <t>Net Generation</t>
  </si>
  <si>
    <t>Normative Gross Station Heat Rate</t>
  </si>
  <si>
    <t>kcal/kWh</t>
  </si>
  <si>
    <t>Normative Secondary Fuel Oil Consumption</t>
  </si>
  <si>
    <t>ml/kWh</t>
  </si>
  <si>
    <t>Normative Transit Loss</t>
  </si>
  <si>
    <t>Transit Loss</t>
  </si>
  <si>
    <t xml:space="preserve">Note: </t>
  </si>
  <si>
    <t>Total Working Capital requirement</t>
  </si>
  <si>
    <t>Gross Generation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</si>
  <si>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</si>
  <si>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</si>
  <si>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</si>
  <si>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</si>
  <si>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</si>
  <si>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</si>
  <si>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</si>
  <si>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</si>
  <si>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</si>
  <si>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</si>
  <si>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</si>
  <si>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</si>
  <si>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</si>
  <si>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</si>
  <si>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</si>
  <si>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</si>
  <si>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</si>
  <si>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</si>
  <si>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</si>
  <si>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</si>
  <si>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</si>
  <si>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</si>
  <si>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</si>
  <si>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</si>
  <si>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</si>
  <si>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</si>
  <si>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</si>
  <si>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</si>
  <si>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</si>
  <si>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</si>
  <si>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</si>
  <si>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</si>
  <si>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</si>
  <si>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</si>
  <si>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</si>
  <si>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</si>
  <si>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</si>
  <si>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</si>
  <si>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</si>
  <si>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</si>
  <si>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</si>
  <si>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</si>
  <si>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</si>
  <si>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</si>
  <si>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</si>
  <si>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</si>
  <si>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</si>
  <si>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</si>
  <si>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</si>
  <si>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</si>
  <si>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</si>
  <si>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</si>
  <si>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</si>
  <si>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</si>
  <si>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</si>
  <si>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</si>
  <si>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</si>
  <si>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</si>
  <si>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</si>
  <si>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</si>
  <si>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</si>
  <si>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</si>
  <si>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</si>
  <si>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</si>
  <si>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</si>
  <si>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</si>
  <si>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</si>
  <si>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</si>
  <si>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</si>
  <si>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</si>
  <si>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</si>
  <si>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</si>
  <si>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</si>
  <si>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</si>
  <si>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</si>
  <si>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</si>
  <si>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</si>
  <si>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</si>
  <si>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</si>
  <si>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</si>
  <si>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</si>
  <si>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</si>
  <si>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</si>
  <si>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</si>
  <si>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</si>
  <si>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</si>
  <si>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</si>
  <si>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</si>
  <si>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</si>
  <si>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</si>
  <si>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</si>
  <si>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</si>
  <si>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</si>
  <si>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</si>
  <si>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</si>
  <si>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</si>
  <si>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</si>
  <si>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</si>
  <si>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 xml:space="preserve">Components of tariff </t>
  </si>
  <si>
    <t>Relevant sales &amp; load/demand data for revenue calculation</t>
  </si>
  <si>
    <t>Full year revenue (Rs. Crore)</t>
  </si>
  <si>
    <t>Sales in MU</t>
  </si>
  <si>
    <t>Item 3 (specify)</t>
  </si>
  <si>
    <t xml:space="preserve">Revenue from Fixed / Capacity Charges </t>
  </si>
  <si>
    <t>Revenue from Energy Charges</t>
  </si>
  <si>
    <t>Income from sale of ash/rejected coal</t>
  </si>
  <si>
    <t>Revenue from sale of electricity</t>
  </si>
  <si>
    <t>Non-Tariff Income</t>
  </si>
  <si>
    <t>Actual/Projected Availability</t>
  </si>
  <si>
    <t>Actual/Projected PLF</t>
  </si>
  <si>
    <t>Actual/Projected Gross Generation</t>
  </si>
  <si>
    <t>Actual/Projected Auxiliary Energy Consumption</t>
  </si>
  <si>
    <t>Actual/Projected Gross Station Heat Rate</t>
  </si>
  <si>
    <t>Actual/Projected Secondary Fuel Oil Consumption</t>
  </si>
  <si>
    <t>Actual/Projected Transit Loss</t>
  </si>
  <si>
    <t>Form 12</t>
  </si>
  <si>
    <t>Income from sale of tender documents</t>
  </si>
  <si>
    <t>Unit 1 / Station 1</t>
  </si>
  <si>
    <t>Unit 2 / Station 2</t>
  </si>
  <si>
    <t xml:space="preserve">Depreciation </t>
  </si>
  <si>
    <t>Addition of Loan during the year</t>
  </si>
  <si>
    <t>Energy Charges (Rs./kWh)</t>
  </si>
  <si>
    <t>Fuel surcharge per unit, if any (Rs./kWh)</t>
  </si>
  <si>
    <t>Fixed / Capacity Charges (Rs. Crore / year)</t>
  </si>
  <si>
    <t>Form 13</t>
  </si>
  <si>
    <t>Total Revenue</t>
  </si>
  <si>
    <t>Auxiliary Consumption</t>
  </si>
  <si>
    <t>Normative Availability (%)</t>
  </si>
  <si>
    <t>Availability</t>
  </si>
  <si>
    <t>Plant Load Factor (PLF)</t>
  </si>
  <si>
    <t>Secondary Fuel Oil Consumption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</si>
  <si>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</si>
  <si>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</si>
  <si>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</si>
  <si>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</si>
  <si>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</si>
  <si>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</si>
  <si>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</si>
  <si>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</si>
  <si>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</si>
  <si>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</si>
  <si>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</si>
  <si>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</si>
  <si>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</si>
  <si>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Total Cost</t>
  </si>
  <si>
    <t>Project Schedule</t>
  </si>
  <si>
    <t>Abstract of Capital Cost</t>
  </si>
  <si>
    <t>Breakup of Capital Cost</t>
  </si>
  <si>
    <t>Breakup of Construction/Supply/Services/Packages</t>
  </si>
  <si>
    <t>Details of Loans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</si>
  <si>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</si>
  <si>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</si>
  <si>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</si>
  <si>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</si>
  <si>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</si>
  <si>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</si>
  <si>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</si>
  <si>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</si>
  <si>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</si>
  <si>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</si>
  <si>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</si>
  <si>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</si>
  <si>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</si>
  <si>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</si>
  <si>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</si>
  <si>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</si>
  <si>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</si>
  <si>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Financial Package</t>
  </si>
  <si>
    <t>Gross Station Heat Rate</t>
  </si>
  <si>
    <t>True-Up requirement</t>
  </si>
  <si>
    <t>Legend</t>
  </si>
  <si>
    <t xml:space="preserve">Details of outages should be submitted for each Unit of each station separately </t>
  </si>
  <si>
    <t>R &amp; M Expenses</t>
  </si>
  <si>
    <t>Installed Capacity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</si>
  <si>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</si>
  <si>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</si>
  <si>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</si>
  <si>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</si>
  <si>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</si>
  <si>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</si>
  <si>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</si>
  <si>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</si>
  <si>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Type of Thermal Generating Station (Pithead/Non-Pithead)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</si>
  <si>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</si>
  <si>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</si>
  <si>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</si>
  <si>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</si>
  <si>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</si>
  <si>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</si>
  <si>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Capital Cost Approval*</t>
  </si>
  <si>
    <t>Revenue from Sale of Electricity</t>
  </si>
  <si>
    <t xml:space="preserve">Any Other Charges (specify part name and unit) </t>
  </si>
  <si>
    <t>Share of Capacity (MW/%)</t>
  </si>
  <si>
    <t>Revenue from Any Other Charge (specify part name)</t>
  </si>
  <si>
    <t>Revenue from Fuel Surcharge</t>
  </si>
  <si>
    <t>Control Period</t>
  </si>
  <si>
    <t>n+3</t>
  </si>
  <si>
    <t>n+4</t>
  </si>
  <si>
    <t>n+5</t>
  </si>
  <si>
    <t>Current Year 'n'</t>
  </si>
  <si>
    <t>Year (n-1)</t>
  </si>
  <si>
    <t xml:space="preserve">April-March     </t>
  </si>
  <si>
    <t>Claimed</t>
  </si>
  <si>
    <t>Apr-Sep</t>
  </si>
  <si>
    <t xml:space="preserve">Oct-Mar        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</si>
  <si>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</si>
  <si>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</si>
  <si>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</si>
  <si>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</si>
  <si>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</si>
  <si>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</si>
  <si>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</si>
  <si>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</si>
  <si>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</si>
  <si>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</si>
  <si>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</si>
  <si>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</si>
  <si>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</si>
  <si>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</si>
  <si>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</si>
  <si>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</si>
  <si>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</si>
  <si>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</si>
  <si>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Year (n+1)</t>
  </si>
  <si>
    <t>Year (n+2)</t>
  </si>
  <si>
    <t>Year (n+3)</t>
  </si>
  <si>
    <t>Year (n+4)</t>
  </si>
  <si>
    <t>Year (n+5)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</si>
  <si>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</si>
  <si>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</si>
  <si>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</si>
  <si>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</si>
  <si>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</si>
  <si>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</si>
  <si>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</si>
  <si>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</si>
  <si>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</si>
  <si>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</si>
  <si>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</si>
  <si>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</si>
  <si>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</si>
  <si>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</si>
  <si>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</si>
  <si>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</si>
  <si>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</si>
  <si>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</si>
  <si>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</si>
  <si>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</si>
  <si>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</si>
  <si>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3.1:  Statement of Additional Capitalisation after COD</t>
  </si>
  <si>
    <t>Form 4:  Fixed Assets &amp; Depreciation</t>
  </si>
  <si>
    <t>Capital Expenditure during the year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</si>
  <si>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</si>
  <si>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</si>
  <si>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</si>
  <si>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</si>
  <si>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</si>
  <si>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</si>
  <si>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</si>
  <si>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</si>
  <si>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</si>
  <si>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</si>
  <si>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</si>
  <si>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</si>
  <si>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</si>
  <si>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</si>
  <si>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Rate of Return on Equity</t>
  </si>
  <si>
    <t>Base rate of Return on Equity</t>
  </si>
  <si>
    <t>Effective Income Tax rate</t>
  </si>
  <si>
    <t>Income from rent of land or buildings</t>
  </si>
  <si>
    <t>Net income from sale of de-capitalised assets</t>
  </si>
  <si>
    <t>Income from sale of scrap</t>
  </si>
  <si>
    <t>Income from statutory investments</t>
  </si>
  <si>
    <t>Interest income on advances to suppliers/ contractors</t>
  </si>
  <si>
    <t>Income from rental from staff quarters</t>
  </si>
  <si>
    <t>Income from rental from contractors</t>
  </si>
  <si>
    <t>Income from hire charges from contactors and others</t>
  </si>
  <si>
    <t>Income from advertisements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</si>
  <si>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</si>
  <si>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</si>
  <si>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</si>
  <si>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</si>
  <si>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</si>
  <si>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</si>
  <si>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t>Opening Quantity</t>
  </si>
  <si>
    <t>Value ot stock</t>
  </si>
  <si>
    <t>MT</t>
  </si>
  <si>
    <t>Procurement</t>
  </si>
  <si>
    <t>Normative transit and handling loss</t>
  </si>
  <si>
    <t>Price</t>
  </si>
  <si>
    <t>Handling, sampling and such other similar charges</t>
  </si>
  <si>
    <t>Total amount charged (8+9+10)</t>
  </si>
  <si>
    <t>D</t>
  </si>
  <si>
    <t>Transportation</t>
  </si>
  <si>
    <t>Transportation charges</t>
  </si>
  <si>
    <t>By rail</t>
  </si>
  <si>
    <t>By road</t>
  </si>
  <si>
    <t>By ship</t>
  </si>
  <si>
    <t>Demurrage charges, if any</t>
  </si>
  <si>
    <t>Total Transportation charges (12+13+14+15)</t>
  </si>
  <si>
    <t>E</t>
  </si>
  <si>
    <t>Rs./MT</t>
  </si>
  <si>
    <t>Blending Ratio (Domestic/Imported)</t>
  </si>
  <si>
    <t>F</t>
  </si>
  <si>
    <t>Quality</t>
  </si>
  <si>
    <t>kcal/kg</t>
  </si>
  <si>
    <t>Similar details to be furnished for secondary fuel oil for coal based thermal plants with appropriate units.</t>
  </si>
  <si>
    <t>As billed and as received GCV, quantity of coal, and price should be submitted as certified by statutory auditor.</t>
  </si>
  <si>
    <t>Details to be provided for each source separately. In case of more than one source, add additional column.</t>
  </si>
  <si>
    <t>Break up of the amount charged by the Coal Company is to be provided separately.</t>
  </si>
  <si>
    <t>COD</t>
  </si>
  <si>
    <t>Form 11: Fuel Details for computation of Energy Charge Rate</t>
  </si>
  <si>
    <t>Secondary Fuel oil consumption</t>
  </si>
  <si>
    <t>Calorific Value of Secondary Fuel</t>
  </si>
  <si>
    <t>Landed Price of Secondary Fuel</t>
  </si>
  <si>
    <t>Landed Price of Coal</t>
  </si>
  <si>
    <t>Specific Coal Consumption</t>
  </si>
  <si>
    <t>ECR</t>
  </si>
  <si>
    <t>AUX</t>
  </si>
  <si>
    <t>SFC</t>
  </si>
  <si>
    <t>CVSF</t>
  </si>
  <si>
    <t>kcal/ml</t>
  </si>
  <si>
    <t>LPSF</t>
  </si>
  <si>
    <t>Rs./ml</t>
  </si>
  <si>
    <t>CVPF</t>
  </si>
  <si>
    <t>LPPF</t>
  </si>
  <si>
    <t>Rs./kg</t>
  </si>
  <si>
    <t>kg/kWh</t>
  </si>
  <si>
    <t>GSHR</t>
  </si>
  <si>
    <t>Gross Calorific Value of Coal</t>
  </si>
  <si>
    <r>
      <t xml:space="preserve">              </t>
    </r>
    <r>
      <rPr>
        <b/>
        <sz val="11"/>
        <rFont val="Arial"/>
        <family val="2"/>
      </rPr>
      <t xml:space="preserve">               </t>
    </r>
  </si>
  <si>
    <t>Form 13: Sales</t>
  </si>
  <si>
    <t>Beneficiary</t>
  </si>
  <si>
    <t>Beneficiary 1</t>
  </si>
  <si>
    <t>Beneficiary 2</t>
  </si>
  <si>
    <t>Beneficiary 3</t>
  </si>
  <si>
    <t>Form 14: Revenue from Sale of Electricity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</si>
  <si>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</si>
  <si>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</si>
  <si>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</si>
  <si>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</si>
  <si>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</si>
  <si>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</si>
  <si>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</si>
  <si>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</si>
  <si>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</si>
  <si>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</si>
  <si>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</si>
  <si>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</si>
  <si>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</si>
  <si>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</si>
  <si>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</si>
  <si>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</si>
  <si>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</si>
  <si>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</si>
  <si>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</si>
  <si>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</si>
  <si>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</si>
  <si>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</si>
  <si>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Phasing of Expenditure, Debt and Equity upto COD</t>
  </si>
  <si>
    <t>Interest During Construction and Finance Charges upto COD</t>
  </si>
  <si>
    <r>
      <rPr>
        <b/>
        <sz val="12"/>
        <rFont val="Arial"/>
        <family val="2"/>
      </rPr>
      <t>Note</t>
    </r>
    <r>
      <rPr>
        <sz val="12"/>
        <rFont val="Arial"/>
        <family val="2"/>
      </rPr>
      <t>: * Applicable only for new Generating Station/Unit for which Provisional/Final tariff approval is being sought</t>
    </r>
  </si>
  <si>
    <t>Form 19.1</t>
  </si>
  <si>
    <t>Form 19.2</t>
  </si>
  <si>
    <t>Form 17</t>
  </si>
  <si>
    <t>Form 18</t>
  </si>
  <si>
    <t>Form 19.3</t>
  </si>
  <si>
    <t>Form 19.4</t>
  </si>
  <si>
    <t>Form 19.5</t>
  </si>
  <si>
    <t>Form 19.6</t>
  </si>
  <si>
    <t>Form 19.7</t>
  </si>
  <si>
    <t>Form 19.8</t>
  </si>
  <si>
    <t>Plant Characteristics (Thermal)</t>
  </si>
  <si>
    <t>Plant Characteristics (Hydel)</t>
  </si>
  <si>
    <t>Unfunded past liabilities of pension &amp; gratuity</t>
  </si>
  <si>
    <t>AFC +Energy Charges</t>
  </si>
  <si>
    <t>MYT/ Tariff Order</t>
  </si>
  <si>
    <t>1 In case actual availability is less or more than normative value, the modification in the formula need to be done accordingly.</t>
  </si>
  <si>
    <t>1 In case actual loan is more than 75%, the modification in the formula need to be done accordingly.</t>
  </si>
  <si>
    <t>Opening quantity of oil</t>
  </si>
  <si>
    <t>Quantity of oil suppllied by the oil company</t>
  </si>
  <si>
    <t>Adjustment in oil quantity supplied by the oil company</t>
  </si>
  <si>
    <t>oil supplied by oil company (3+4)</t>
  </si>
  <si>
    <t>Net oil supplied</t>
  </si>
  <si>
    <t>Amount charged by oil company</t>
  </si>
  <si>
    <t>Adjustment in amount charged by the oil company</t>
  </si>
  <si>
    <t>Adjustment in amount charged by the oil transporter</t>
  </si>
  <si>
    <t>Cost of diesel in transporting oil through MGR system, if
applicable</t>
  </si>
  <si>
    <t>Total amount charged for oil supplied including transportation (11+16)</t>
  </si>
  <si>
    <t>Landed cost of oil (2+17)/(1+7)</t>
  </si>
  <si>
    <t>Weighted average cost of oil for preceding three months</t>
  </si>
  <si>
    <t>GCV of Domestic oil of the opening oil stock as per bill
of oil Company</t>
  </si>
  <si>
    <t>GCV of Domestic oil supplied as per bill of oil Company</t>
  </si>
  <si>
    <t>GCV of Imported oil of the opening stock as per bill oil
Company</t>
  </si>
  <si>
    <t>GCV of Imported oil supplied as per bill oil Company</t>
  </si>
  <si>
    <t>Weighted average GCV of oil as Billed</t>
  </si>
  <si>
    <t>GCV of Domestic oil of the opening stock as received at
Station</t>
  </si>
  <si>
    <t>GCV of Domestic oil supplied as received at Station</t>
  </si>
  <si>
    <t>GCV of Imported oil of opening stock as received at
Station</t>
  </si>
  <si>
    <t>GCV of Imported oil of opening stock as received at Station</t>
  </si>
  <si>
    <t>Weighted average GCV of oil as Received</t>
  </si>
  <si>
    <t>Opening quantity of coal</t>
  </si>
  <si>
    <t>Quantity of coal suppllied by the coal company</t>
  </si>
  <si>
    <t>Adjustment in coal quantity supplied by the coal company (-/+)</t>
  </si>
  <si>
    <t>Coal supplied by coal company (3+4)</t>
  </si>
  <si>
    <t>Net coal supplied</t>
  </si>
  <si>
    <t>Amount charged by coal company</t>
  </si>
  <si>
    <t>Adjustment in amount charged by the coal company</t>
  </si>
  <si>
    <t>Adjustment in amount charged by the coal transporter</t>
  </si>
  <si>
    <t>Cost of diesel in transporting coal through MGR system, if applicable</t>
  </si>
  <si>
    <t>Total amount charged for coal supplied including transportation (11+16)</t>
  </si>
  <si>
    <t>Landed cost of coal (2+17)/(1+7)</t>
  </si>
  <si>
    <t>Weighted average cost of coal for preceding three months</t>
  </si>
  <si>
    <t>GCV of Domestic Coal of the opening coal stock as per bill of Coal Company</t>
  </si>
  <si>
    <t>GCV of Domestic Coal supplied as per bill of Coal Company</t>
  </si>
  <si>
    <t>GCV of Imported Coal of the opening stock as per bill Coal Company</t>
  </si>
  <si>
    <t>GCV of Imported Coal supplied as per bill Coal Company</t>
  </si>
  <si>
    <t>Weighted average GCV of coal as Billed</t>
  </si>
  <si>
    <t>GCV of Domestic Coal of the opening stock as received at Station</t>
  </si>
  <si>
    <t>GCV of Domestic Coal supplied as received at Station</t>
  </si>
  <si>
    <t>GCV of Imported Coal of opening stock as received at Station</t>
  </si>
  <si>
    <t>Weighted average GCV of coal as Received</t>
  </si>
  <si>
    <t>Water Charges</t>
  </si>
  <si>
    <t>Fuel (savings)/charge year end adjustment</t>
  </si>
  <si>
    <t>Difference bill issued after MTR order</t>
  </si>
  <si>
    <t>TSSPDCL (70.55%)</t>
  </si>
  <si>
    <t>TSNPDCL (29.45%)</t>
  </si>
  <si>
    <t>FY 2022-23</t>
  </si>
  <si>
    <t>FY 2023-24</t>
  </si>
  <si>
    <t>FY 2024-25</t>
  </si>
  <si>
    <t>FY 2025-26</t>
  </si>
  <si>
    <t>FY 2026-27</t>
  </si>
  <si>
    <t>FY 2027-28</t>
  </si>
  <si>
    <t>FY 2028-29</t>
  </si>
  <si>
    <t>Rs.in Crs</t>
  </si>
  <si>
    <t>Year (2022-23)</t>
  </si>
  <si>
    <t>CWIP PLANT AND MACHINERY</t>
  </si>
  <si>
    <t>2023-24</t>
  </si>
  <si>
    <t>2024-25</t>
  </si>
  <si>
    <t>2025-26</t>
  </si>
  <si>
    <t>2026-27</t>
  </si>
  <si>
    <t>2027-28</t>
  </si>
  <si>
    <t>2028-29</t>
  </si>
  <si>
    <t>Land &amp; Land Rights</t>
  </si>
  <si>
    <t>Lines and Cable Network</t>
  </si>
  <si>
    <t>Capital Spares</t>
  </si>
  <si>
    <t>Hydralic Works</t>
  </si>
  <si>
    <t>Other Civil Works</t>
  </si>
  <si>
    <t>Furniture&amp; Fixtures</t>
  </si>
  <si>
    <t>Computers</t>
  </si>
  <si>
    <t>FY 2019-20</t>
  </si>
  <si>
    <t>FY 2020-21</t>
  </si>
  <si>
    <t>FY 2021-22</t>
  </si>
  <si>
    <t>BUILDINGS</t>
  </si>
  <si>
    <t>PLANT AND MACHINERY</t>
  </si>
  <si>
    <t>4x270</t>
  </si>
  <si>
    <t>05.06.2020   07.12.2020   27.03.2021   09.01.2022</t>
  </si>
  <si>
    <t>Non-Pit Head</t>
  </si>
  <si>
    <t>KL</t>
  </si>
  <si>
    <t>Rs./KL</t>
  </si>
  <si>
    <t>.8.5</t>
  </si>
  <si>
    <t>&lt;BTPS&gt;</t>
  </si>
  <si>
    <t>BTPS</t>
  </si>
  <si>
    <t>Year (n-1) (FY 2022-23)</t>
  </si>
  <si>
    <t>Current Year 'n' (FY 2023-24)</t>
  </si>
  <si>
    <t xml:space="preserve"> (FY 2022-23)</t>
  </si>
  <si>
    <t>Previous Year (n-1)  FY 2022-23</t>
  </si>
  <si>
    <t>Intangible assets</t>
  </si>
  <si>
    <t>Lines &amp; Cables</t>
  </si>
  <si>
    <t>LAND</t>
  </si>
  <si>
    <t>LINES &amp; CABLES</t>
  </si>
  <si>
    <t>PLANT &amp; MACHINERY</t>
  </si>
  <si>
    <t>CAPITAL SPARES</t>
  </si>
  <si>
    <t>VEHICLES</t>
  </si>
  <si>
    <t>FURNITURE</t>
  </si>
  <si>
    <t>OFFICE EQUIPMENT</t>
  </si>
  <si>
    <t>CWIP BUILDINGS</t>
  </si>
  <si>
    <t>OTHER CIVIL WORKS</t>
  </si>
  <si>
    <t>Power House Building</t>
  </si>
  <si>
    <t>HYDRAULIC WORKS</t>
  </si>
  <si>
    <t>CWIP LINES AND CABLE NETWORK</t>
  </si>
  <si>
    <t>CWIP OTHER CIVIL WORKS</t>
  </si>
  <si>
    <t>CWIP OTH.FIXED ASSETS &amp; CAPITAL SPARES</t>
  </si>
  <si>
    <t>CWIP CAPITAL WORK IN PROGRESS - OTHERS</t>
  </si>
  <si>
    <t>CWIP PROVISIONS</t>
  </si>
  <si>
    <t>PROVISIONS</t>
  </si>
  <si>
    <t xml:space="preserve"> Actual</t>
  </si>
  <si>
    <t>Cosl Cost/kwh</t>
  </si>
  <si>
    <t>Rs/kwh</t>
  </si>
  <si>
    <t>Oil Cost/kwh</t>
  </si>
  <si>
    <t>Addition of Normative Loan due to capitalisation during the year1</t>
  </si>
  <si>
    <t>Receivables1</t>
  </si>
  <si>
    <t>Payables for Fuels2</t>
  </si>
  <si>
    <t>&lt;TGGENCO&gt;</t>
  </si>
  <si>
    <t>TGGENCO</t>
  </si>
  <si>
    <t>Current Year 'n'                     ( FY 2023-24)</t>
  </si>
  <si>
    <t>Form 2.3: Repair &amp; Maintenance Expenses</t>
  </si>
  <si>
    <t>Form 3:  Summary of Capital Expenditure and Capitalisation</t>
  </si>
  <si>
    <t>40% MTL-Flexibilization for       3-Units</t>
  </si>
  <si>
    <t xml:space="preserve">IT Initiatives &amp; Up grading ECC to s4 HANA software </t>
  </si>
  <si>
    <t xml:space="preserve">The Expenditure proposed is in Original Project cost and the details are enclosed as Annexure </t>
  </si>
  <si>
    <t>40% MTL-Flexibilization for 1 Unit</t>
  </si>
  <si>
    <t>2022-23</t>
  </si>
  <si>
    <t>Loan 1-PFC</t>
  </si>
  <si>
    <t>Loan 2-PFC for FGD</t>
  </si>
  <si>
    <t>* Energy Charges provisionally computed for next control period FY 2024-25 to FY 2028-29 based on actual weighted average cost of primary fuel and secondary fuel during January-24, February-24 and March-24 with 2% escalation year on year. However, actual energy charges shall be claimed as per TGERC regulation 2 of 2023.</t>
  </si>
  <si>
    <t>Form 1: Summary Sheet</t>
  </si>
  <si>
    <t>Form  2.1:  Employee Expenses</t>
  </si>
  <si>
    <t>Form 2.2 :  Administration &amp; General Expenses</t>
  </si>
  <si>
    <t>Form  5: Interest and finance charges on loan</t>
  </si>
  <si>
    <t>Form  6 :Interest on working capital</t>
  </si>
  <si>
    <t>Form  7: Return on Equity</t>
  </si>
  <si>
    <t>Form  8: Non-Tariff Income</t>
  </si>
  <si>
    <t>Form  10: Operational parameters</t>
  </si>
  <si>
    <t>Form 11.1: Fuel Details for computation of Energy Charge Rate</t>
  </si>
  <si>
    <t>Form 12: Energy Charge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</si>
</sst>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_ * #,##0.00_ ;_ * \-#,##0.00_ ;_ * &quot;-&quot;??_ ;_ @_ 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"/>
    <numFmt numFmtId="169" formatCode="0.000%"/>
    <numFmt numFmtId="170" formatCode="0.000000"/>
    <numFmt numFmtId="171" formatCode="0.00000000"/>
    <numFmt numFmtId="172" formatCode="0.0000"/>
    <numFmt numFmtId="173" formatCode="0.0"/>
    <numFmt numFmtId="174" formatCode="0.0000000"/>
  </numFmts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3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vertAlign val="superscript"/>
      <sz val="10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29">
    <xf numFmtId="0" fontId="0" fillId="0" borderId="0"/>
    <xf numFmtId="0" fontId="9" fillId="0" borderId="0" applyNumberFormat="0" applyFill="0" applyBorder="0" applyAlignment="0" applyProtection="0"/>
    <xf numFmtId="0" fontId="10" fillId="0" borderId="1"/>
    <xf numFmtId="0" fontId="10" fillId="0" borderId="1"/>
    <xf numFmtId="38" fontId="11" fillId="2" borderId="0" applyNumberFormat="0" applyBorder="0" applyAlignment="0" applyProtection="0"/>
    <xf numFmtId="0" fontId="12" fillId="0" borderId="2" applyNumberFormat="0" applyAlignment="0" applyProtection="0">
      <alignment horizontal="left" vertical="center"/>
    </xf>
    <xf numFmtId="0" fontId="12" fillId="0" borderId="3">
      <alignment horizontal="left" vertical="center"/>
    </xf>
    <xf numFmtId="10" fontId="11" fillId="3" borderId="4" applyNumberFormat="0" applyBorder="0" applyAlignment="0" applyProtection="0"/>
    <xf numFmtId="37" fontId="13" fillId="0" borderId="0"/>
    <xf numFmtId="166" fontId="14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>
      <alignment vertical="center"/>
    </xf>
    <xf numFmtId="167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0" fontId="8" fillId="0" borderId="0"/>
    <xf numFmtId="0" fontId="16" fillId="0" borderId="0"/>
    <xf numFmtId="43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18" fillId="0" borderId="0"/>
    <xf numFmtId="9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/>
    <xf numFmtId="0" fontId="8" fillId="0" borderId="0"/>
    <xf numFmtId="0" fontId="6" fillId="0" borderId="0"/>
    <xf numFmtId="0" fontId="8" fillId="0" borderId="0" applyBorder="0" applyProtection="0"/>
    <xf numFmtId="167" fontId="1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" fillId="0" borderId="0"/>
    <xf numFmtId="0" fontId="1" fillId="0" borderId="0"/>
    <xf numFmtId="164" fontId="8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" fillId="0" borderId="0"/>
    <xf numFmtId="0" fontId="1" fillId="0" borderId="0"/>
    <xf numFmtId="164" fontId="8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363">
    <xf numFmtId="0" fontId="0" fillId="0" borderId="0" xfId="0"/>
    <xf numFmtId="0" fontId="7" fillId="0" borderId="0" xfId="10" applyFont="1" applyAlignment="1">
      <alignment horizontal="center" vertical="center"/>
    </xf>
    <xf numFmtId="0" fontId="15" fillId="0" borderId="4" xfId="14" applyFont="1" applyBorder="1" applyAlignment="1">
      <alignment horizontal="center" vertical="center"/>
    </xf>
    <xf numFmtId="0" fontId="15" fillId="0" borderId="4" xfId="14" applyFont="1" applyBorder="1">
      <alignment vertical="center"/>
    </xf>
    <xf numFmtId="0" fontId="15" fillId="0" borderId="0" xfId="10" applyFont="1"/>
    <xf numFmtId="0" fontId="15" fillId="0" borderId="0" xfId="10" applyFont="1" applyAlignment="1">
      <alignment vertical="center"/>
    </xf>
    <xf numFmtId="0" fontId="7" fillId="0" borderId="0" xfId="14" applyFont="1">
      <alignment vertical="center"/>
    </xf>
    <xf numFmtId="0" fontId="12" fillId="0" borderId="0" xfId="14" applyFont="1" applyAlignment="1">
      <alignment horizontal="right" vertical="center"/>
    </xf>
    <xf numFmtId="0" fontId="7" fillId="0" borderId="4" xfId="14" applyFont="1" applyBorder="1" applyAlignment="1">
      <alignment horizontal="center" vertical="center"/>
    </xf>
    <xf numFmtId="0" fontId="7" fillId="0" borderId="4" xfId="14" applyFont="1" applyBorder="1">
      <alignment vertical="center"/>
    </xf>
    <xf numFmtId="0" fontId="7" fillId="0" borderId="4" xfId="14" applyFont="1" applyBorder="1" applyAlignment="1">
      <alignment horizontal="left" vertical="center"/>
    </xf>
    <xf numFmtId="0" fontId="7" fillId="0" borderId="4" xfId="14" applyFont="1" applyBorder="1" applyAlignment="1">
      <alignment vertical="top" wrapText="1"/>
    </xf>
    <xf numFmtId="0" fontId="7" fillId="6" borderId="4" xfId="14" applyFont="1" applyFill="1" applyBorder="1" applyAlignment="1">
      <alignment horizontal="center" vertical="center"/>
    </xf>
    <xf numFmtId="0" fontId="12" fillId="6" borderId="4" xfId="14" applyFont="1" applyFill="1" applyBorder="1">
      <alignment vertical="center"/>
    </xf>
    <xf numFmtId="0" fontId="7" fillId="6" borderId="4" xfId="14" applyFont="1" applyFill="1" applyBorder="1" applyAlignment="1">
      <alignment horizontal="left" vertical="center"/>
    </xf>
    <xf numFmtId="0" fontId="7" fillId="0" borderId="0" xfId="10" applyFont="1"/>
    <xf numFmtId="0" fontId="7" fillId="5" borderId="0" xfId="14" applyFont="1" applyFill="1">
      <alignment vertical="center"/>
    </xf>
    <xf numFmtId="0" fontId="12" fillId="0" borderId="8" xfId="14" applyFont="1" applyBorder="1" applyAlignment="1">
      <alignment horizontal="center" vertical="center"/>
    </xf>
    <xf numFmtId="0" fontId="12" fillId="0" borderId="4" xfId="14" applyFont="1" applyBorder="1" applyAlignment="1">
      <alignment horizontal="center" vertical="center"/>
    </xf>
    <xf numFmtId="0" fontId="15" fillId="0" borderId="0" xfId="14" applyFont="1">
      <alignment vertical="center"/>
    </xf>
    <xf numFmtId="0" fontId="20" fillId="0" borderId="4" xfId="14" applyFont="1" applyBorder="1" applyAlignment="1">
      <alignment horizontal="center" vertical="center"/>
    </xf>
    <xf numFmtId="0" fontId="20" fillId="0" borderId="4" xfId="14" applyFont="1" applyBorder="1" applyAlignment="1">
      <alignment horizontal="center" vertical="center" wrapText="1"/>
    </xf>
    <xf numFmtId="0" fontId="20" fillId="0" borderId="4" xfId="14" applyFont="1" applyBorder="1">
      <alignment vertical="center"/>
    </xf>
    <xf numFmtId="0" fontId="15" fillId="0" borderId="4" xfId="10" applyFont="1" applyBorder="1" applyAlignment="1">
      <alignment horizontal="center" vertical="center"/>
    </xf>
    <xf numFmtId="0" fontId="15" fillId="0" borderId="4" xfId="10" applyFont="1" applyBorder="1" applyAlignment="1">
      <alignment horizontal="center" vertical="center" wrapText="1"/>
    </xf>
    <xf numFmtId="0" fontId="20" fillId="0" borderId="4" xfId="10" applyFont="1" applyBorder="1" applyAlignment="1">
      <alignment horizontal="center" vertical="center"/>
    </xf>
    <xf numFmtId="0" fontId="20" fillId="0" borderId="0" xfId="10" applyFont="1" applyAlignment="1">
      <alignment horizontal="left" vertical="center"/>
    </xf>
    <xf numFmtId="0" fontId="20" fillId="0" borderId="0" xfId="10" applyFont="1" applyAlignment="1">
      <alignment horizontal="right" vertical="center"/>
    </xf>
    <xf numFmtId="0" fontId="20" fillId="0" borderId="0" xfId="14" applyFont="1" applyAlignment="1">
      <alignment horizontal="right" vertical="center"/>
    </xf>
    <xf numFmtId="0" fontId="15" fillId="0" borderId="4" xfId="1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4" xfId="10" applyFont="1" applyBorder="1" applyAlignment="1">
      <alignment horizontal="left" vertical="center"/>
    </xf>
    <xf numFmtId="0" fontId="20" fillId="0" borderId="4" xfId="10" applyFont="1" applyBorder="1" applyAlignment="1">
      <alignment horizontal="left" vertical="center" wrapText="1"/>
    </xf>
    <xf numFmtId="0" fontId="20" fillId="0" borderId="4" xfId="10" applyFont="1" applyBorder="1" applyAlignment="1">
      <alignment horizontal="center" vertical="center" wrapText="1"/>
    </xf>
    <xf numFmtId="0" fontId="20" fillId="0" borderId="4" xfId="10" applyFont="1" applyBorder="1" applyAlignment="1">
      <alignment horizontal="left" vertical="center"/>
    </xf>
    <xf numFmtId="0" fontId="20" fillId="0" borderId="0" xfId="10" applyFont="1" applyAlignment="1">
      <alignment vertical="center"/>
    </xf>
    <xf numFmtId="0" fontId="20" fillId="0" borderId="0" xfId="14" applyFont="1" applyAlignment="1">
      <alignment horizontal="center" vertical="center"/>
    </xf>
    <xf numFmtId="0" fontId="20" fillId="0" borderId="0" xfId="10" applyFont="1" applyAlignment="1">
      <alignment horizontal="center" vertical="center"/>
    </xf>
    <xf numFmtId="0" fontId="20" fillId="0" borderId="0" xfId="14" applyFont="1">
      <alignment vertical="center"/>
    </xf>
    <xf numFmtId="0" fontId="15" fillId="0" borderId="4" xfId="10" applyFont="1" applyBorder="1" applyAlignment="1">
      <alignment horizontal="left" vertical="center" wrapText="1"/>
    </xf>
    <xf numFmtId="0" fontId="20" fillId="0" borderId="4" xfId="10" applyFont="1" applyBorder="1" applyAlignment="1">
      <alignment vertical="center"/>
    </xf>
    <xf numFmtId="0" fontId="20" fillId="0" borderId="0" xfId="10" applyFont="1" applyAlignment="1">
      <alignment horizontal="centerContinuous"/>
    </xf>
    <xf numFmtId="0" fontId="15" fillId="0" borderId="0" xfId="10" applyFont="1" applyAlignment="1">
      <alignment horizontal="centerContinuous"/>
    </xf>
    <xf numFmtId="0" fontId="15" fillId="0" borderId="4" xfId="10" applyFont="1" applyBorder="1"/>
    <xf numFmtId="0" fontId="20" fillId="0" borderId="4" xfId="10" applyFont="1" applyBorder="1"/>
    <xf numFmtId="0" fontId="20" fillId="0" borderId="0" xfId="10" applyFont="1" applyAlignment="1">
      <alignment horizontal="justify" vertical="top" wrapText="1"/>
    </xf>
    <xf numFmtId="0" fontId="15" fillId="0" borderId="0" xfId="10" applyFont="1" applyAlignment="1">
      <alignment horizontal="left"/>
    </xf>
    <xf numFmtId="0" fontId="15" fillId="0" borderId="4" xfId="10" applyFont="1" applyBorder="1" applyAlignment="1">
      <alignment wrapText="1"/>
    </xf>
    <xf numFmtId="0" fontId="15" fillId="0" borderId="0" xfId="10" applyFont="1" applyAlignment="1">
      <alignment horizontal="left" vertical="center"/>
    </xf>
    <xf numFmtId="0" fontId="15" fillId="0" borderId="0" xfId="10" applyFont="1" applyAlignment="1">
      <alignment horizontal="right" vertical="center"/>
    </xf>
    <xf numFmtId="0" fontId="21" fillId="0" borderId="0" xfId="10" applyFont="1" applyAlignment="1">
      <alignment horizontal="left" vertical="center"/>
    </xf>
    <xf numFmtId="0" fontId="21" fillId="0" borderId="0" xfId="10" applyFont="1" applyAlignment="1">
      <alignment vertical="center"/>
    </xf>
    <xf numFmtId="0" fontId="21" fillId="0" borderId="0" xfId="10" applyFont="1" applyAlignment="1">
      <alignment horizontal="center" vertical="center"/>
    </xf>
    <xf numFmtId="0" fontId="15" fillId="0" borderId="4" xfId="10" quotePrefix="1" applyFont="1" applyBorder="1" applyAlignment="1">
      <alignment horizontal="left" vertical="top" wrapText="1"/>
    </xf>
    <xf numFmtId="0" fontId="15" fillId="0" borderId="4" xfId="10" applyFont="1" applyBorder="1" applyAlignment="1">
      <alignment horizontal="left"/>
    </xf>
    <xf numFmtId="0" fontId="20" fillId="0" borderId="4" xfId="10" applyFont="1" applyBorder="1" applyAlignment="1">
      <alignment horizontal="left"/>
    </xf>
    <xf numFmtId="0" fontId="15" fillId="0" borderId="0" xfId="14" applyFont="1" applyAlignment="1">
      <alignment horizontal="center" vertical="center"/>
    </xf>
    <xf numFmtId="0" fontId="15" fillId="0" borderId="4" xfId="10" applyFont="1" applyBorder="1" applyAlignment="1">
      <alignment horizontal="left" vertical="top" wrapText="1"/>
    </xf>
    <xf numFmtId="0" fontId="20" fillId="0" borderId="0" xfId="10" applyFont="1" applyAlignment="1">
      <alignment horizontal="left"/>
    </xf>
    <xf numFmtId="0" fontId="20" fillId="0" borderId="0" xfId="10" applyFont="1" applyAlignment="1">
      <alignment horizontal="right"/>
    </xf>
    <xf numFmtId="0" fontId="20" fillId="0" borderId="0" xfId="10" applyFont="1" applyAlignment="1">
      <alignment horizontal="left" vertical="center" wrapText="1"/>
    </xf>
    <xf numFmtId="0" fontId="20" fillId="0" borderId="0" xfId="10" applyFont="1" applyAlignment="1">
      <alignment horizontal="center" vertical="center" wrapText="1"/>
    </xf>
    <xf numFmtId="0" fontId="15" fillId="0" borderId="7" xfId="10" applyFont="1" applyBorder="1" applyAlignment="1">
      <alignment horizontal="center" vertical="center"/>
    </xf>
    <xf numFmtId="0" fontId="21" fillId="0" borderId="0" xfId="10" applyFont="1" applyAlignment="1">
      <alignment horizontal="right" vertical="center"/>
    </xf>
    <xf numFmtId="0" fontId="15" fillId="0" borderId="0" xfId="10" applyFont="1" applyAlignment="1">
      <alignment horizontal="center"/>
    </xf>
    <xf numFmtId="0" fontId="15" fillId="4" borderId="4" xfId="68" applyFont="1" applyFill="1" applyBorder="1" applyAlignment="1">
      <alignment horizontal="left" vertical="center" wrapText="1"/>
    </xf>
    <xf numFmtId="0" fontId="20" fillId="4" borderId="4" xfId="68" applyFont="1" applyFill="1" applyBorder="1" applyAlignment="1">
      <alignment horizontal="center" vertical="center"/>
    </xf>
    <xf numFmtId="10" fontId="15" fillId="4" borderId="4" xfId="39" applyNumberFormat="1" applyFont="1" applyFill="1" applyBorder="1" applyAlignment="1">
      <alignment horizontal="center" vertical="center"/>
    </xf>
    <xf numFmtId="2" fontId="15" fillId="4" borderId="4" xfId="68" applyNumberFormat="1" applyFont="1" applyFill="1" applyBorder="1" applyAlignment="1">
      <alignment horizontal="center" vertical="center"/>
    </xf>
    <xf numFmtId="2" fontId="15" fillId="0" borderId="4" xfId="68" applyNumberFormat="1" applyFont="1" applyBorder="1" applyAlignment="1">
      <alignment horizontal="center" vertical="center"/>
    </xf>
    <xf numFmtId="2" fontId="15" fillId="4" borderId="4" xfId="19" applyNumberFormat="1" applyFont="1" applyFill="1" applyBorder="1" applyAlignment="1">
      <alignment horizontal="center" vertical="center"/>
    </xf>
    <xf numFmtId="0" fontId="15" fillId="4" borderId="4" xfId="68" applyFont="1" applyFill="1" applyBorder="1" applyAlignment="1">
      <alignment horizontal="left" vertical="center"/>
    </xf>
    <xf numFmtId="10" fontId="22" fillId="0" borderId="4" xfId="39" applyNumberFormat="1" applyFont="1" applyFill="1" applyBorder="1" applyAlignment="1">
      <alignment horizontal="center" vertical="center"/>
    </xf>
    <xf numFmtId="0" fontId="12" fillId="0" borderId="0" xfId="14" applyFont="1" applyAlignment="1">
      <alignment horizontal="center" vertical="center"/>
    </xf>
    <xf numFmtId="0" fontId="15" fillId="0" borderId="4" xfId="10" applyFont="1" applyBorder="1" applyAlignment="1">
      <alignment vertical="center" wrapText="1"/>
    </xf>
    <xf numFmtId="0" fontId="15" fillId="0" borderId="9" xfId="14" applyFont="1" applyBorder="1">
      <alignment vertical="center"/>
    </xf>
    <xf numFmtId="0" fontId="20" fillId="0" borderId="4" xfId="10" applyFont="1" applyBorder="1" applyAlignment="1">
      <alignment vertical="center" wrapText="1"/>
    </xf>
    <xf numFmtId="0" fontId="20" fillId="4" borderId="4" xfId="14" applyFont="1" applyFill="1" applyBorder="1" applyAlignment="1">
      <alignment horizontal="center" vertical="center" wrapText="1"/>
    </xf>
    <xf numFmtId="0" fontId="20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20" fillId="4" borderId="4" xfId="10" quotePrefix="1" applyFont="1" applyFill="1" applyBorder="1" applyAlignment="1">
      <alignment horizontal="center" vertical="center" wrapText="1"/>
    </xf>
    <xf numFmtId="0" fontId="20" fillId="4" borderId="4" xfId="10" applyFont="1" applyFill="1" applyBorder="1" applyAlignment="1">
      <alignment horizontal="left" vertical="center" wrapText="1"/>
    </xf>
    <xf numFmtId="0" fontId="20" fillId="4" borderId="4" xfId="10" applyFont="1" applyFill="1" applyBorder="1" applyAlignment="1">
      <alignment horizontal="center" vertical="center"/>
    </xf>
    <xf numFmtId="0" fontId="15" fillId="4" borderId="4" xfId="14" applyFont="1" applyFill="1" applyBorder="1">
      <alignment vertical="center"/>
    </xf>
    <xf numFmtId="0" fontId="15" fillId="4" borderId="4" xfId="10" applyFont="1" applyFill="1" applyBorder="1" applyAlignment="1">
      <alignment horizontal="center" vertical="center"/>
    </xf>
    <xf numFmtId="0" fontId="15" fillId="4" borderId="4" xfId="10" applyFont="1" applyFill="1" applyBorder="1" applyAlignment="1">
      <alignment vertical="center" wrapText="1"/>
    </xf>
    <xf numFmtId="0" fontId="20" fillId="4" borderId="4" xfId="10" applyFont="1" applyFill="1" applyBorder="1" applyAlignment="1">
      <alignment vertical="center" wrapText="1"/>
    </xf>
    <xf numFmtId="0" fontId="15" fillId="4" borderId="4" xfId="10" applyFont="1" applyFill="1" applyBorder="1" applyAlignment="1">
      <alignment vertical="center"/>
    </xf>
    <xf numFmtId="0" fontId="20" fillId="4" borderId="0" xfId="10" applyFont="1" applyFill="1" applyAlignment="1">
      <alignment vertical="center"/>
    </xf>
    <xf numFmtId="0" fontId="15" fillId="4" borderId="0" xfId="10" applyFont="1" applyFill="1" applyAlignment="1">
      <alignment vertical="center"/>
    </xf>
    <xf numFmtId="166" fontId="15" fillId="0" borderId="0" xfId="10" applyNumberFormat="1" applyFont="1" applyAlignment="1">
      <alignment vertical="center"/>
    </xf>
    <xf numFmtId="0" fontId="23" fillId="0" borderId="0" xfId="1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center"/>
    </xf>
    <xf numFmtId="0" fontId="15" fillId="0" borderId="4" xfId="0" applyFont="1" applyBorder="1" applyAlignment="1">
      <alignment vertical="center" wrapText="1"/>
    </xf>
    <xf numFmtId="0" fontId="25" fillId="0" borderId="0" xfId="10" applyFont="1" applyAlignment="1">
      <alignment vertical="center"/>
    </xf>
    <xf numFmtId="16" fontId="20" fillId="0" borderId="4" xfId="10" applyNumberFormat="1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2" fontId="15" fillId="0" borderId="4" xfId="0" applyNumberFormat="1" applyFont="1" applyBorder="1" applyAlignment="1">
      <alignment horizontal="center" vertical="center"/>
    </xf>
    <xf numFmtId="2" fontId="15" fillId="0" borderId="4" xfId="0" applyNumberFormat="1" applyFont="1" applyBorder="1" applyAlignment="1">
      <alignment vertical="center"/>
    </xf>
    <xf numFmtId="0" fontId="15" fillId="0" borderId="4" xfId="0" applyFont="1" applyBorder="1" applyAlignment="1">
      <alignment horizontal="center" vertical="center" wrapText="1"/>
    </xf>
    <xf numFmtId="2" fontId="15" fillId="0" borderId="4" xfId="0" applyNumberFormat="1" applyFont="1" applyBorder="1" applyAlignment="1">
      <alignment horizontal="right" vertical="center"/>
    </xf>
    <xf numFmtId="0" fontId="20" fillId="0" borderId="9" xfId="0" applyFont="1" applyBorder="1" applyAlignment="1">
      <alignment vertical="center" wrapText="1"/>
    </xf>
    <xf numFmtId="2" fontId="20" fillId="0" borderId="4" xfId="0" applyNumberFormat="1" applyFont="1" applyBorder="1" applyAlignment="1">
      <alignment vertical="center"/>
    </xf>
    <xf numFmtId="0" fontId="20" fillId="0" borderId="4" xfId="0" applyFont="1" applyBorder="1" applyAlignment="1">
      <alignment vertical="center" wrapText="1"/>
    </xf>
    <xf numFmtId="2" fontId="20" fillId="0" borderId="4" xfId="0" applyNumberFormat="1" applyFont="1" applyBorder="1" applyAlignment="1">
      <alignment horizontal="right" vertical="center"/>
    </xf>
    <xf numFmtId="2" fontId="15" fillId="0" borderId="4" xfId="10" applyNumberFormat="1" applyFont="1" applyBorder="1" applyAlignment="1">
      <alignment horizontal="center" vertical="center"/>
    </xf>
    <xf numFmtId="2" fontId="20" fillId="6" borderId="4" xfId="0" applyNumberFormat="1" applyFont="1" applyFill="1" applyBorder="1" applyAlignment="1">
      <alignment vertical="center"/>
    </xf>
    <xf numFmtId="2" fontId="20" fillId="0" borderId="4" xfId="10" applyNumberFormat="1" applyFont="1" applyBorder="1" applyAlignment="1">
      <alignment horizontal="center" vertical="center" wrapText="1"/>
    </xf>
    <xf numFmtId="2" fontId="15" fillId="0" borderId="4" xfId="10" applyNumberFormat="1" applyFont="1" applyBorder="1" applyAlignment="1">
      <alignment horizontal="center" vertical="center" wrapText="1"/>
    </xf>
    <xf numFmtId="2" fontId="20" fillId="6" borderId="4" xfId="10" applyNumberFormat="1" applyFont="1" applyFill="1" applyBorder="1" applyAlignment="1">
      <alignment horizontal="center" vertical="center"/>
    </xf>
    <xf numFmtId="2" fontId="20" fillId="6" borderId="4" xfId="0" applyNumberFormat="1" applyFont="1" applyFill="1" applyBorder="1" applyAlignment="1">
      <alignment horizontal="right" vertical="center"/>
    </xf>
    <xf numFmtId="2" fontId="20" fillId="6" borderId="4" xfId="14" applyNumberFormat="1" applyFont="1" applyFill="1" applyBorder="1">
      <alignment vertical="center"/>
    </xf>
    <xf numFmtId="2" fontId="20" fillId="6" borderId="4" xfId="10" applyNumberFormat="1" applyFont="1" applyFill="1" applyBorder="1" applyAlignment="1">
      <alignment vertical="center"/>
    </xf>
    <xf numFmtId="2" fontId="20" fillId="6" borderId="9" xfId="14" applyNumberFormat="1" applyFont="1" applyFill="1" applyBorder="1">
      <alignment vertical="center"/>
    </xf>
    <xf numFmtId="2" fontId="20" fillId="6" borderId="4" xfId="68" applyNumberFormat="1" applyFont="1" applyFill="1" applyBorder="1" applyAlignment="1">
      <alignment horizontal="center" vertical="center"/>
    </xf>
    <xf numFmtId="2" fontId="20" fillId="6" borderId="4" xfId="19" applyNumberFormat="1" applyFont="1" applyFill="1" applyBorder="1" applyAlignment="1">
      <alignment horizontal="center" vertical="center"/>
    </xf>
    <xf numFmtId="2" fontId="15" fillId="0" borderId="4" xfId="10" applyNumberFormat="1" applyFont="1" applyBorder="1" applyAlignment="1">
      <alignment vertical="center"/>
    </xf>
    <xf numFmtId="2" fontId="15" fillId="0" borderId="4" xfId="14" applyNumberFormat="1" applyFont="1" applyBorder="1" applyAlignment="1">
      <alignment horizontal="center" vertical="center"/>
    </xf>
    <xf numFmtId="2" fontId="20" fillId="6" borderId="4" xfId="14" applyNumberFormat="1" applyFont="1" applyFill="1" applyBorder="1" applyAlignment="1">
      <alignment horizontal="center" vertical="center"/>
    </xf>
    <xf numFmtId="2" fontId="15" fillId="0" borderId="4" xfId="14" applyNumberFormat="1" applyFont="1" applyBorder="1">
      <alignment vertical="center"/>
    </xf>
    <xf numFmtId="10" fontId="20" fillId="6" borderId="4" xfId="14" applyNumberFormat="1" applyFont="1" applyFill="1" applyBorder="1">
      <alignment vertical="center"/>
    </xf>
    <xf numFmtId="2" fontId="20" fillId="6" borderId="4" xfId="10" applyNumberFormat="1" applyFont="1" applyFill="1" applyBorder="1"/>
    <xf numFmtId="2" fontId="15" fillId="0" borderId="4" xfId="10" applyNumberFormat="1" applyFont="1" applyBorder="1"/>
    <xf numFmtId="2" fontId="20" fillId="0" borderId="4" xfId="14" applyNumberFormat="1" applyFont="1" applyBorder="1" applyAlignment="1">
      <alignment horizontal="center" vertical="center"/>
    </xf>
    <xf numFmtId="2" fontId="20" fillId="0" borderId="4" xfId="10" applyNumberFormat="1" applyFont="1" applyBorder="1" applyAlignment="1">
      <alignment vertical="center"/>
    </xf>
    <xf numFmtId="2" fontId="15" fillId="6" borderId="4" xfId="10" applyNumberFormat="1" applyFont="1" applyFill="1" applyBorder="1" applyAlignment="1">
      <alignment horizontal="center" vertical="center"/>
    </xf>
    <xf numFmtId="2" fontId="15" fillId="6" borderId="4" xfId="10" applyNumberFormat="1" applyFont="1" applyFill="1" applyBorder="1" applyAlignment="1">
      <alignment horizontal="center" vertical="center" wrapText="1"/>
    </xf>
    <xf numFmtId="0" fontId="15" fillId="0" borderId="4" xfId="0" applyFont="1" applyBorder="1"/>
    <xf numFmtId="0" fontId="24" fillId="0" borderId="4" xfId="0" applyFont="1" applyBorder="1"/>
    <xf numFmtId="2" fontId="15" fillId="0" borderId="4" xfId="10" applyNumberFormat="1" applyFont="1" applyBorder="1" applyAlignment="1">
      <alignment vertical="top" wrapText="1"/>
    </xf>
    <xf numFmtId="2" fontId="26" fillId="0" borderId="4" xfId="10" applyNumberFormat="1" applyFont="1" applyBorder="1" applyAlignment="1">
      <alignment horizontal="center" vertical="center"/>
    </xf>
    <xf numFmtId="168" fontId="26" fillId="0" borderId="4" xfId="10" applyNumberFormat="1" applyFont="1" applyBorder="1" applyAlignment="1">
      <alignment horizontal="right" vertical="center"/>
    </xf>
    <xf numFmtId="2" fontId="26" fillId="0" borderId="4" xfId="10" applyNumberFormat="1" applyFont="1" applyBorder="1" applyAlignment="1">
      <alignment horizontal="right" vertical="center"/>
    </xf>
    <xf numFmtId="2" fontId="20" fillId="0" borderId="4" xfId="10" applyNumberFormat="1" applyFont="1" applyBorder="1" applyAlignment="1">
      <alignment horizontal="right" vertical="center"/>
    </xf>
    <xf numFmtId="168" fontId="15" fillId="0" borderId="4" xfId="0" applyNumberFormat="1" applyFont="1" applyBorder="1" applyAlignment="1">
      <alignment vertical="center"/>
    </xf>
    <xf numFmtId="0" fontId="0" fillId="0" borderId="4" xfId="0" applyBorder="1" applyAlignment="1">
      <alignment wrapText="1"/>
    </xf>
    <xf numFmtId="164" fontId="15" fillId="0" borderId="4" xfId="110" applyFont="1" applyBorder="1" applyAlignment="1">
      <alignment vertical="center"/>
    </xf>
    <xf numFmtId="164" fontId="15" fillId="0" borderId="4" xfId="110" applyFont="1" applyBorder="1" applyAlignment="1">
      <alignment horizontal="center" vertical="center" wrapText="1"/>
    </xf>
    <xf numFmtId="164" fontId="15" fillId="0" borderId="4" xfId="110" applyFont="1" applyBorder="1" applyAlignment="1">
      <alignment horizontal="left" vertical="center"/>
    </xf>
    <xf numFmtId="0" fontId="12" fillId="0" borderId="4" xfId="14" applyFont="1" applyBorder="1" applyAlignment="1">
      <alignment horizontal="center" vertical="center" wrapText="1"/>
    </xf>
    <xf numFmtId="0" fontId="20" fillId="0" borderId="9" xfId="14" applyFont="1" applyBorder="1" applyAlignment="1">
      <alignment horizontal="center" vertical="center" wrapText="1"/>
    </xf>
    <xf numFmtId="0" fontId="15" fillId="0" borderId="8" xfId="10" applyFont="1" applyBorder="1" applyAlignment="1">
      <alignment horizontal="center" vertical="center"/>
    </xf>
    <xf numFmtId="2" fontId="20" fillId="0" borderId="8" xfId="10" applyNumberFormat="1" applyFont="1" applyBorder="1" applyAlignment="1">
      <alignment vertical="center"/>
    </xf>
    <xf numFmtId="2" fontId="15" fillId="0" borderId="8" xfId="10" applyNumberFormat="1" applyFont="1" applyBorder="1" applyAlignment="1">
      <alignment vertical="center"/>
    </xf>
    <xf numFmtId="0" fontId="15" fillId="0" borderId="8" xfId="10" applyFont="1" applyBorder="1" applyAlignment="1">
      <alignment vertical="center"/>
    </xf>
    <xf numFmtId="2" fontId="20" fillId="0" borderId="7" xfId="10" applyNumberFormat="1" applyFont="1" applyBorder="1" applyAlignment="1">
      <alignment vertical="center"/>
    </xf>
    <xf numFmtId="2" fontId="15" fillId="0" borderId="7" xfId="10" applyNumberFormat="1" applyFont="1" applyBorder="1" applyAlignment="1">
      <alignment vertical="center"/>
    </xf>
    <xf numFmtId="0" fontId="15" fillId="0" borderId="7" xfId="10" applyFont="1" applyBorder="1" applyAlignment="1">
      <alignment vertical="center"/>
    </xf>
    <xf numFmtId="2" fontId="20" fillId="0" borderId="4" xfId="19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8" fillId="0" borderId="4" xfId="0" applyFont="1" applyBorder="1" applyAlignment="1">
      <alignment vertical="center"/>
    </xf>
    <xf numFmtId="0" fontId="28" fillId="0" borderId="4" xfId="0" applyFont="1" applyBorder="1" applyAlignment="1">
      <alignment horizontal="center" vertical="center"/>
    </xf>
    <xf numFmtId="0" fontId="28" fillId="0" borderId="7" xfId="0" applyFont="1" applyBorder="1" applyAlignment="1">
      <alignment vertical="center"/>
    </xf>
    <xf numFmtId="0" fontId="28" fillId="0" borderId="7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168" fontId="7" fillId="0" borderId="0" xfId="0" applyNumberFormat="1" applyFont="1" applyAlignment="1">
      <alignment vertical="center"/>
    </xf>
    <xf numFmtId="0" fontId="12" fillId="0" borderId="4" xfId="10" applyFont="1" applyBorder="1" applyAlignment="1">
      <alignment horizontal="center" vertical="center"/>
    </xf>
    <xf numFmtId="0" fontId="12" fillId="0" borderId="0" xfId="10" applyFont="1" applyAlignment="1">
      <alignment horizontal="left" vertical="center"/>
    </xf>
    <xf numFmtId="0" fontId="7" fillId="0" borderId="0" xfId="10" applyFont="1" applyAlignment="1">
      <alignment vertical="center"/>
    </xf>
    <xf numFmtId="0" fontId="12" fillId="0" borderId="0" xfId="10" applyFont="1" applyAlignment="1">
      <alignment horizontal="right" vertical="center"/>
    </xf>
    <xf numFmtId="0" fontId="7" fillId="0" borderId="7" xfId="10" applyFont="1" applyBorder="1" applyAlignment="1">
      <alignment horizontal="center" vertical="center"/>
    </xf>
    <xf numFmtId="0" fontId="7" fillId="0" borderId="4" xfId="10" applyFont="1" applyBorder="1" applyAlignment="1">
      <alignment vertical="center"/>
    </xf>
    <xf numFmtId="2" fontId="7" fillId="0" borderId="4" xfId="14" applyNumberFormat="1" applyFont="1" applyBorder="1" applyAlignment="1">
      <alignment horizontal="right" vertical="center"/>
    </xf>
    <xf numFmtId="2" fontId="7" fillId="0" borderId="4" xfId="10" applyNumberFormat="1" applyFont="1" applyBorder="1" applyAlignment="1">
      <alignment vertical="center"/>
    </xf>
    <xf numFmtId="2" fontId="7" fillId="0" borderId="4" xfId="10" applyNumberFormat="1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/>
    </xf>
    <xf numFmtId="0" fontId="7" fillId="0" borderId="4" xfId="10" applyFont="1" applyBorder="1" applyAlignment="1">
      <alignment horizontal="left" vertical="center"/>
    </xf>
    <xf numFmtId="2" fontId="12" fillId="6" borderId="9" xfId="14" applyNumberFormat="1" applyFont="1" applyFill="1" applyBorder="1">
      <alignment vertical="center"/>
    </xf>
    <xf numFmtId="0" fontId="7" fillId="0" borderId="4" xfId="10" applyFont="1" applyBorder="1" applyAlignment="1">
      <alignment vertical="center" wrapText="1"/>
    </xf>
    <xf numFmtId="2" fontId="7" fillId="0" borderId="9" xfId="14" applyNumberFormat="1" applyFont="1" applyBorder="1">
      <alignment vertical="center"/>
    </xf>
    <xf numFmtId="0" fontId="7" fillId="0" borderId="4" xfId="10" applyFont="1" applyBorder="1" applyAlignment="1">
      <alignment horizontal="left" vertical="center" wrapText="1"/>
    </xf>
    <xf numFmtId="2" fontId="7" fillId="0" borderId="4" xfId="10" applyNumberFormat="1" applyFont="1" applyBorder="1" applyAlignment="1">
      <alignment horizontal="right" vertical="center"/>
    </xf>
    <xf numFmtId="2" fontId="7" fillId="0" borderId="4" xfId="10" applyNumberFormat="1" applyFont="1" applyBorder="1" applyAlignment="1">
      <alignment horizontal="right" vertical="center" wrapText="1"/>
    </xf>
    <xf numFmtId="0" fontId="12" fillId="0" borderId="0" xfId="10" applyFont="1" applyAlignment="1">
      <alignment vertical="center"/>
    </xf>
    <xf numFmtId="2" fontId="7" fillId="6" borderId="9" xfId="14" applyNumberFormat="1" applyFont="1" applyFill="1" applyBorder="1">
      <alignment vertical="center"/>
    </xf>
    <xf numFmtId="10" fontId="7" fillId="0" borderId="9" xfId="14" applyNumberFormat="1" applyFont="1" applyBorder="1">
      <alignment vertical="center"/>
    </xf>
    <xf numFmtId="0" fontId="7" fillId="0" borderId="9" xfId="14" applyFont="1" applyBorder="1">
      <alignment vertical="center"/>
    </xf>
    <xf numFmtId="0" fontId="12" fillId="0" borderId="4" xfId="10" applyFont="1" applyBorder="1" applyAlignment="1">
      <alignment vertical="center"/>
    </xf>
    <xf numFmtId="2" fontId="12" fillId="6" borderId="4" xfId="10" applyNumberFormat="1" applyFont="1" applyFill="1" applyBorder="1" applyAlignment="1">
      <alignment vertical="center"/>
    </xf>
    <xf numFmtId="2" fontId="7" fillId="0" borderId="9" xfId="14" applyNumberFormat="1" applyFont="1" applyBorder="1" applyAlignment="1">
      <alignment horizontal="right" vertical="center"/>
    </xf>
    <xf numFmtId="2" fontId="12" fillId="6" borderId="9" xfId="14" applyNumberFormat="1" applyFont="1" applyFill="1" applyBorder="1" applyAlignment="1">
      <alignment horizontal="right" vertical="center"/>
    </xf>
    <xf numFmtId="0" fontId="12" fillId="0" borderId="4" xfId="10" applyFont="1" applyBorder="1" applyAlignment="1">
      <alignment vertical="center" wrapText="1"/>
    </xf>
    <xf numFmtId="2" fontId="7" fillId="0" borderId="4" xfId="10" applyNumberFormat="1" applyFont="1" applyBorder="1" applyAlignment="1">
      <alignment horizontal="left" vertical="center"/>
    </xf>
    <xf numFmtId="2" fontId="7" fillId="0" borderId="4" xfId="14" applyNumberFormat="1" applyFont="1" applyBorder="1">
      <alignment vertical="center"/>
    </xf>
    <xf numFmtId="10" fontId="7" fillId="0" borderId="9" xfId="39" applyNumberFormat="1" applyFont="1" applyBorder="1" applyAlignment="1">
      <alignment vertical="center"/>
    </xf>
    <xf numFmtId="169" fontId="7" fillId="0" borderId="9" xfId="14" applyNumberFormat="1" applyFont="1" applyBorder="1">
      <alignment vertical="center"/>
    </xf>
    <xf numFmtId="0" fontId="12" fillId="0" borderId="4" xfId="10" applyFont="1" applyBorder="1" applyAlignment="1">
      <alignment horizontal="left" vertical="center" wrapText="1"/>
    </xf>
    <xf numFmtId="10" fontId="12" fillId="6" borderId="9" xfId="14" applyNumberFormat="1" applyFont="1" applyFill="1" applyBorder="1">
      <alignment vertical="center"/>
    </xf>
    <xf numFmtId="0" fontId="12" fillId="0" borderId="9" xfId="14" applyFont="1" applyBorder="1">
      <alignment vertical="center"/>
    </xf>
    <xf numFmtId="0" fontId="7" fillId="0" borderId="4" xfId="10" applyFont="1" applyBorder="1" applyAlignment="1">
      <alignment horizontal="center" vertical="center" wrapText="1"/>
    </xf>
    <xf numFmtId="0" fontId="12" fillId="0" borderId="7" xfId="10" applyFont="1" applyBorder="1" applyAlignment="1">
      <alignment horizontal="center" vertical="center" wrapText="1"/>
    </xf>
    <xf numFmtId="0" fontId="7" fillId="5" borderId="4" xfId="14" applyFont="1" applyFill="1" applyBorder="1" applyAlignment="1">
      <alignment horizontal="left" vertical="center"/>
    </xf>
    <xf numFmtId="2" fontId="12" fillId="6" borderId="4" xfId="14" applyNumberFormat="1" applyFont="1" applyFill="1" applyBorder="1" applyAlignment="1">
      <alignment horizontal="center" vertical="center"/>
    </xf>
    <xf numFmtId="2" fontId="12" fillId="0" borderId="4" xfId="14" applyNumberFormat="1" applyFont="1" applyBorder="1" applyAlignment="1">
      <alignment horizontal="center" vertical="center"/>
    </xf>
    <xf numFmtId="2" fontId="12" fillId="5" borderId="4" xfId="14" applyNumberFormat="1" applyFont="1" applyFill="1" applyBorder="1" applyAlignment="1">
      <alignment horizontal="center" vertical="center"/>
    </xf>
    <xf numFmtId="0" fontId="12" fillId="0" borderId="4" xfId="14" applyFont="1" applyBorder="1">
      <alignment vertical="center"/>
    </xf>
    <xf numFmtId="2" fontId="7" fillId="0" borderId="0" xfId="14" applyNumberFormat="1" applyFont="1">
      <alignment vertical="center"/>
    </xf>
    <xf numFmtId="2" fontId="15" fillId="0" borderId="4" xfId="10" applyNumberFormat="1" applyFont="1" applyBorder="1" applyAlignment="1">
      <alignment horizontal="right" vertical="center"/>
    </xf>
    <xf numFmtId="0" fontId="20" fillId="4" borderId="8" xfId="68" applyFont="1" applyFill="1" applyBorder="1" applyAlignment="1">
      <alignment horizontal="center" vertical="center" wrapText="1"/>
    </xf>
    <xf numFmtId="0" fontId="20" fillId="4" borderId="16" xfId="68" applyFont="1" applyFill="1" applyBorder="1" applyAlignment="1">
      <alignment horizontal="center" vertical="center" wrapText="1"/>
    </xf>
    <xf numFmtId="0" fontId="15" fillId="4" borderId="4" xfId="68" applyFont="1" applyFill="1" applyBorder="1" applyAlignment="1">
      <alignment horizontal="center" vertical="center"/>
    </xf>
    <xf numFmtId="10" fontId="15" fillId="4" borderId="4" xfId="68" applyNumberFormat="1" applyFont="1" applyFill="1" applyBorder="1" applyAlignment="1">
      <alignment horizontal="center" vertical="center"/>
    </xf>
    <xf numFmtId="10" fontId="20" fillId="6" borderId="4" xfId="68" applyNumberFormat="1" applyFont="1" applyFill="1" applyBorder="1" applyAlignment="1">
      <alignment horizontal="center" vertical="center"/>
    </xf>
    <xf numFmtId="10" fontId="15" fillId="0" borderId="9" xfId="14" applyNumberFormat="1" applyFont="1" applyBorder="1">
      <alignment vertical="center"/>
    </xf>
    <xf numFmtId="4" fontId="15" fillId="7" borderId="4" xfId="0" applyNumberFormat="1" applyFont="1" applyFill="1" applyBorder="1" applyAlignment="1">
      <alignment horizontal="center"/>
    </xf>
    <xf numFmtId="164" fontId="15" fillId="5" borderId="4" xfId="10" applyNumberFormat="1" applyFont="1" applyFill="1" applyBorder="1"/>
    <xf numFmtId="164" fontId="20" fillId="5" borderId="4" xfId="10" applyNumberFormat="1" applyFont="1" applyFill="1" applyBorder="1"/>
    <xf numFmtId="164" fontId="15" fillId="5" borderId="4" xfId="14" applyNumberFormat="1" applyFont="1" applyFill="1" applyBorder="1">
      <alignment vertical="center"/>
    </xf>
    <xf numFmtId="2" fontId="7" fillId="0" borderId="0" xfId="0" applyNumberFormat="1" applyFont="1" applyAlignment="1">
      <alignment vertical="center"/>
    </xf>
    <xf numFmtId="0" fontId="20" fillId="0" borderId="3" xfId="14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/>
    </xf>
    <xf numFmtId="2" fontId="30" fillId="6" borderId="4" xfId="14" applyNumberFormat="1" applyFont="1" applyFill="1" applyBorder="1" applyAlignment="1">
      <alignment horizontal="center" vertical="center"/>
    </xf>
    <xf numFmtId="0" fontId="8" fillId="0" borderId="0" xfId="10" applyAlignment="1">
      <alignment vertical="center"/>
    </xf>
    <xf numFmtId="0" fontId="8" fillId="0" borderId="0" xfId="14">
      <alignment vertical="center"/>
    </xf>
    <xf numFmtId="0" fontId="31" fillId="0" borderId="0" xfId="10" applyFont="1" applyAlignment="1">
      <alignment horizontal="centerContinuous" vertical="center"/>
    </xf>
    <xf numFmtId="0" fontId="8" fillId="0" borderId="0" xfId="10" applyAlignment="1">
      <alignment horizontal="center" vertical="center"/>
    </xf>
    <xf numFmtId="0" fontId="8" fillId="0" borderId="0" xfId="14" applyAlignment="1">
      <alignment horizontal="centerContinuous" vertical="center"/>
    </xf>
    <xf numFmtId="0" fontId="31" fillId="0" borderId="4" xfId="14" applyFont="1" applyBorder="1" applyAlignment="1">
      <alignment horizontal="center" vertical="center" wrapText="1"/>
    </xf>
    <xf numFmtId="0" fontId="31" fillId="0" borderId="4" xfId="14" applyFont="1" applyBorder="1" applyAlignment="1">
      <alignment horizontal="left" vertical="center" wrapText="1"/>
    </xf>
    <xf numFmtId="0" fontId="8" fillId="0" borderId="4" xfId="14" quotePrefix="1" applyBorder="1" applyAlignment="1">
      <alignment horizontal="center" vertical="center" wrapText="1"/>
    </xf>
    <xf numFmtId="0" fontId="8" fillId="0" borderId="4" xfId="10" applyBorder="1" applyAlignment="1">
      <alignment vertical="center"/>
    </xf>
    <xf numFmtId="0" fontId="8" fillId="0" borderId="4" xfId="14" applyBorder="1" applyAlignment="1">
      <alignment horizontal="center" vertical="center" wrapText="1"/>
    </xf>
    <xf numFmtId="0" fontId="8" fillId="0" borderId="4" xfId="14" applyBorder="1" applyAlignment="1">
      <alignment horizontal="left" vertical="center" wrapText="1"/>
    </xf>
    <xf numFmtId="0" fontId="32" fillId="0" borderId="4" xfId="14" applyFont="1" applyBorder="1" applyAlignment="1">
      <alignment horizontal="center" vertical="center" wrapText="1"/>
    </xf>
    <xf numFmtId="2" fontId="8" fillId="0" borderId="4" xfId="14" applyNumberFormat="1" applyBorder="1" applyAlignment="1">
      <alignment horizontal="center" vertical="center" wrapText="1"/>
    </xf>
    <xf numFmtId="0" fontId="8" fillId="0" borderId="4" xfId="14" applyBorder="1" applyAlignment="1">
      <alignment vertical="center" wrapText="1"/>
    </xf>
    <xf numFmtId="0" fontId="31" fillId="0" borderId="4" xfId="14" applyFont="1" applyBorder="1" applyAlignment="1">
      <alignment vertical="center" wrapText="1"/>
    </xf>
    <xf numFmtId="168" fontId="8" fillId="0" borderId="4" xfId="14" applyNumberFormat="1" applyBorder="1" applyAlignment="1">
      <alignment horizontal="center" vertical="center" wrapText="1"/>
    </xf>
    <xf numFmtId="0" fontId="31" fillId="0" borderId="0" xfId="14" applyFont="1" applyAlignment="1">
      <alignment horizontal="center" vertical="center" wrapText="1"/>
    </xf>
    <xf numFmtId="0" fontId="31" fillId="0" borderId="0" xfId="14" applyFont="1" applyAlignment="1">
      <alignment horizontal="left" vertical="center" wrapText="1"/>
    </xf>
    <xf numFmtId="0" fontId="8" fillId="0" borderId="0" xfId="14" quotePrefix="1" applyAlignment="1">
      <alignment horizontal="center" vertical="center" wrapText="1"/>
    </xf>
    <xf numFmtId="0" fontId="8" fillId="0" borderId="0" xfId="10" applyAlignment="1">
      <alignment horizontal="center" vertical="center" wrapText="1"/>
    </xf>
    <xf numFmtId="0" fontId="33" fillId="0" borderId="0" xfId="10" applyFont="1" applyAlignment="1">
      <alignment horizontal="left" vertical="center"/>
    </xf>
    <xf numFmtId="0" fontId="8" fillId="0" borderId="0" xfId="10" applyAlignment="1">
      <alignment horizontal="left" vertical="center"/>
    </xf>
    <xf numFmtId="0" fontId="8" fillId="0" borderId="0" xfId="10" applyAlignment="1">
      <alignment horizontal="justify" vertical="center" wrapText="1"/>
    </xf>
    <xf numFmtId="2" fontId="15" fillId="0" borderId="0" xfId="10" applyNumberFormat="1" applyFont="1" applyAlignment="1">
      <alignment vertical="center"/>
    </xf>
    <xf numFmtId="171" fontId="7" fillId="0" borderId="0" xfId="0" applyNumberFormat="1" applyFont="1" applyAlignment="1">
      <alignment vertical="center"/>
    </xf>
    <xf numFmtId="172" fontId="7" fillId="0" borderId="0" xfId="0" applyNumberFormat="1" applyFont="1" applyAlignment="1">
      <alignment vertical="center"/>
    </xf>
    <xf numFmtId="1" fontId="34" fillId="0" borderId="4" xfId="0" applyNumberFormat="1" applyFont="1" applyBorder="1" applyAlignment="1">
      <alignment horizontal="right" vertical="center"/>
    </xf>
    <xf numFmtId="2" fontId="35" fillId="0" borderId="4" xfId="0" applyNumberFormat="1" applyFont="1" applyBorder="1" applyAlignment="1">
      <alignment horizontal="right"/>
    </xf>
    <xf numFmtId="2" fontId="34" fillId="0" borderId="4" xfId="0" applyNumberFormat="1" applyFont="1" applyBorder="1" applyAlignment="1">
      <alignment horizontal="right" vertical="center"/>
    </xf>
    <xf numFmtId="0" fontId="34" fillId="0" borderId="4" xfId="0" applyFont="1" applyBorder="1" applyAlignment="1">
      <alignment horizontal="right" vertical="center"/>
    </xf>
    <xf numFmtId="1" fontId="36" fillId="0" borderId="4" xfId="0" applyNumberFormat="1" applyFont="1" applyBorder="1" applyAlignment="1">
      <alignment horizontal="right"/>
    </xf>
    <xf numFmtId="2" fontId="35" fillId="0" borderId="4" xfId="0" applyNumberFormat="1" applyFont="1" applyBorder="1" applyAlignment="1">
      <alignment horizontal="right" vertical="center"/>
    </xf>
    <xf numFmtId="2" fontId="36" fillId="0" borderId="4" xfId="0" applyNumberFormat="1" applyFont="1" applyBorder="1" applyAlignment="1">
      <alignment horizontal="right"/>
    </xf>
    <xf numFmtId="1" fontId="35" fillId="0" borderId="4" xfId="0" applyNumberFormat="1" applyFont="1" applyBorder="1" applyAlignment="1">
      <alignment horizontal="right" vertical="center"/>
    </xf>
    <xf numFmtId="2" fontId="36" fillId="0" borderId="4" xfId="0" applyNumberFormat="1" applyFont="1" applyBorder="1" applyAlignment="1">
      <alignment horizontal="right" vertical="center"/>
    </xf>
    <xf numFmtId="168" fontId="34" fillId="0" borderId="4" xfId="0" applyNumberFormat="1" applyFont="1" applyBorder="1" applyAlignment="1">
      <alignment horizontal="right" vertical="center"/>
    </xf>
    <xf numFmtId="168" fontId="37" fillId="6" borderId="4" xfId="0" applyNumberFormat="1" applyFont="1" applyFill="1" applyBorder="1" applyAlignment="1">
      <alignment horizontal="right" vertical="center"/>
    </xf>
    <xf numFmtId="168" fontId="37" fillId="0" borderId="4" xfId="0" applyNumberFormat="1" applyFont="1" applyBorder="1" applyAlignment="1">
      <alignment horizontal="right" vertical="center"/>
    </xf>
    <xf numFmtId="170" fontId="12" fillId="0" borderId="4" xfId="14" applyNumberFormat="1" applyFont="1" applyBorder="1" applyAlignment="1">
      <alignment horizontal="center" vertical="center"/>
    </xf>
    <xf numFmtId="170" fontId="7" fillId="0" borderId="4" xfId="14" applyNumberFormat="1" applyFont="1" applyBorder="1">
      <alignment vertical="center"/>
    </xf>
    <xf numFmtId="170" fontId="7" fillId="0" borderId="0" xfId="14" applyNumberFormat="1" applyFont="1">
      <alignment vertical="center"/>
    </xf>
    <xf numFmtId="173" fontId="34" fillId="0" borderId="4" xfId="0" applyNumberFormat="1" applyFont="1" applyBorder="1" applyAlignment="1">
      <alignment horizontal="right" vertical="center"/>
    </xf>
    <xf numFmtId="0" fontId="12" fillId="0" borderId="0" xfId="14" applyFont="1">
      <alignment vertical="center"/>
    </xf>
    <xf numFmtId="0" fontId="20" fillId="0" borderId="8" xfId="10" applyFont="1" applyBorder="1" applyAlignment="1">
      <alignment horizontal="center" vertical="center" wrapText="1"/>
    </xf>
    <xf numFmtId="2" fontId="20" fillId="0" borderId="4" xfId="10" applyNumberFormat="1" applyFont="1" applyBorder="1" applyAlignment="1">
      <alignment vertical="center" wrapText="1"/>
    </xf>
    <xf numFmtId="174" fontId="7" fillId="0" borderId="0" xfId="14" applyNumberFormat="1" applyFont="1">
      <alignment vertical="center"/>
    </xf>
    <xf numFmtId="2" fontId="20" fillId="8" borderId="4" xfId="19" applyNumberFormat="1" applyFont="1" applyFill="1" applyBorder="1" applyAlignment="1">
      <alignment horizontal="center" vertical="center"/>
    </xf>
    <xf numFmtId="0" fontId="12" fillId="0" borderId="6" xfId="14" applyFont="1" applyBorder="1" applyAlignment="1">
      <alignment horizontal="center" vertical="center" wrapText="1"/>
    </xf>
    <xf numFmtId="0" fontId="12" fillId="0" borderId="3" xfId="14" applyFont="1" applyBorder="1" applyAlignment="1">
      <alignment horizontal="center" vertical="center" wrapText="1"/>
    </xf>
    <xf numFmtId="0" fontId="12" fillId="0" borderId="9" xfId="14" applyFont="1" applyBorder="1" applyAlignment="1">
      <alignment horizontal="center" vertical="center" wrapText="1"/>
    </xf>
    <xf numFmtId="0" fontId="12" fillId="0" borderId="3" xfId="10" applyFont="1" applyBorder="1" applyAlignment="1">
      <alignment horizontal="center" vertical="center"/>
    </xf>
    <xf numFmtId="0" fontId="12" fillId="0" borderId="9" xfId="10" applyFont="1" applyBorder="1" applyAlignment="1">
      <alignment horizontal="center" vertical="center"/>
    </xf>
    <xf numFmtId="2" fontId="12" fillId="0" borderId="4" xfId="10" applyNumberFormat="1" applyFont="1" applyBorder="1" applyAlignment="1">
      <alignment vertical="center"/>
    </xf>
    <xf numFmtId="0" fontId="15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horizontal="center" vertical="center"/>
    </xf>
    <xf numFmtId="0" fontId="39" fillId="0" borderId="0" xfId="14" applyFont="1" applyAlignment="1">
      <alignment horizontal="center" vertical="center"/>
    </xf>
    <xf numFmtId="0" fontId="39" fillId="0" borderId="0" xfId="10" applyFont="1" applyAlignment="1">
      <alignment horizontal="center" vertical="center"/>
    </xf>
    <xf numFmtId="0" fontId="39" fillId="0" borderId="4" xfId="0" applyFont="1" applyBorder="1" applyAlignment="1">
      <alignment horizontal="center" vertical="center"/>
    </xf>
    <xf numFmtId="0" fontId="39" fillId="0" borderId="4" xfId="0" applyFont="1" applyBorder="1" applyAlignment="1">
      <alignment vertical="center" wrapText="1"/>
    </xf>
    <xf numFmtId="0" fontId="39" fillId="6" borderId="4" xfId="0" applyFont="1" applyFill="1" applyBorder="1" applyAlignment="1">
      <alignment vertical="center"/>
    </xf>
    <xf numFmtId="2" fontId="39" fillId="6" borderId="4" xfId="0" applyNumberFormat="1" applyFont="1" applyFill="1" applyBorder="1" applyAlignment="1">
      <alignment vertical="center"/>
    </xf>
    <xf numFmtId="0" fontId="39" fillId="0" borderId="0" xfId="0" applyFont="1" applyAlignment="1">
      <alignment vertical="center"/>
    </xf>
    <xf numFmtId="0" fontId="39" fillId="0" borderId="0" xfId="0" applyFont="1" applyAlignment="1">
      <alignment vertical="center" wrapText="1"/>
    </xf>
    <xf numFmtId="0" fontId="39" fillId="0" borderId="0" xfId="0" applyFont="1" applyAlignment="1">
      <alignment horizontal="center" vertical="center"/>
    </xf>
    <xf numFmtId="0" fontId="39" fillId="0" borderId="4" xfId="0" applyFont="1" applyBorder="1" applyAlignment="1">
      <alignment vertical="center"/>
    </xf>
    <xf numFmtId="1" fontId="39" fillId="0" borderId="4" xfId="0" applyNumberFormat="1" applyFont="1" applyBorder="1" applyAlignment="1">
      <alignment vertical="center"/>
    </xf>
    <xf numFmtId="2" fontId="39" fillId="0" borderId="4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 wrapText="1"/>
    </xf>
    <xf numFmtId="0" fontId="40" fillId="0" borderId="0" xfId="0" applyFont="1" applyAlignment="1">
      <alignment vertical="center" wrapText="1"/>
    </xf>
    <xf numFmtId="0" fontId="37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12" fillId="0" borderId="0" xfId="14" applyFont="1" applyAlignment="1">
      <alignment horizontal="center" vertical="center"/>
    </xf>
    <xf numFmtId="0" fontId="7" fillId="0" borderId="0" xfId="10" applyFont="1" applyAlignment="1">
      <alignment horizontal="center" vertical="center"/>
    </xf>
    <xf numFmtId="0" fontId="12" fillId="0" borderId="0" xfId="10" applyFont="1" applyAlignment="1">
      <alignment horizontal="center" vertical="center" wrapText="1"/>
    </xf>
    <xf numFmtId="0" fontId="7" fillId="0" borderId="0" xfId="10" applyFont="1" applyAlignment="1">
      <alignment horizontal="center" vertical="center" wrapText="1"/>
    </xf>
    <xf numFmtId="0" fontId="12" fillId="0" borderId="8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 vertical="center"/>
    </xf>
    <xf numFmtId="0" fontId="12" fillId="0" borderId="7" xfId="14" applyFont="1" applyBorder="1" applyAlignment="1">
      <alignment horizontal="center" vertical="center"/>
    </xf>
    <xf numFmtId="0" fontId="12" fillId="0" borderId="8" xfId="14" applyFont="1" applyBorder="1" applyAlignment="1">
      <alignment horizontal="center" vertical="center" wrapText="1"/>
    </xf>
    <xf numFmtId="0" fontId="12" fillId="0" borderId="10" xfId="14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12" fillId="0" borderId="4" xfId="14" applyFont="1" applyBorder="1" applyAlignment="1">
      <alignment horizontal="center" vertical="center"/>
    </xf>
    <xf numFmtId="0" fontId="7" fillId="0" borderId="4" xfId="10" applyFont="1" applyBorder="1" applyAlignment="1">
      <alignment horizontal="center" vertical="center"/>
    </xf>
    <xf numFmtId="0" fontId="12" fillId="0" borderId="4" xfId="14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0" fontId="12" fillId="0" borderId="6" xfId="14" applyFont="1" applyBorder="1" applyAlignment="1">
      <alignment horizontal="center" vertical="center" wrapText="1"/>
    </xf>
    <xf numFmtId="0" fontId="12" fillId="0" borderId="3" xfId="14" applyFont="1" applyBorder="1" applyAlignment="1">
      <alignment horizontal="center" vertical="center" wrapText="1"/>
    </xf>
    <xf numFmtId="0" fontId="12" fillId="0" borderId="9" xfId="14" applyFont="1" applyBorder="1" applyAlignment="1">
      <alignment horizontal="center" vertical="center" wrapText="1"/>
    </xf>
    <xf numFmtId="0" fontId="20" fillId="0" borderId="0" xfId="10" applyFont="1" applyAlignment="1">
      <alignment horizontal="center" vertical="center"/>
    </xf>
    <xf numFmtId="0" fontId="20" fillId="0" borderId="0" xfId="10" applyFont="1" applyAlignment="1">
      <alignment horizontal="left" vertical="center"/>
    </xf>
    <xf numFmtId="0" fontId="20" fillId="0" borderId="4" xfId="10" applyFont="1" applyBorder="1" applyAlignment="1">
      <alignment horizontal="center" vertical="center" wrapText="1"/>
    </xf>
    <xf numFmtId="0" fontId="20" fillId="0" borderId="4" xfId="10" applyFont="1" applyBorder="1" applyAlignment="1">
      <alignment horizontal="center" vertical="center"/>
    </xf>
    <xf numFmtId="0" fontId="20" fillId="0" borderId="6" xfId="14" applyFont="1" applyBorder="1" applyAlignment="1">
      <alignment horizontal="center" vertical="center" wrapText="1"/>
    </xf>
    <xf numFmtId="0" fontId="20" fillId="0" borderId="3" xfId="14" applyFont="1" applyBorder="1" applyAlignment="1">
      <alignment horizontal="center" vertical="center" wrapText="1"/>
    </xf>
    <xf numFmtId="0" fontId="20" fillId="0" borderId="9" xfId="14" applyFont="1" applyBorder="1" applyAlignment="1">
      <alignment horizontal="center" vertical="center" wrapText="1"/>
    </xf>
    <xf numFmtId="0" fontId="20" fillId="0" borderId="8" xfId="10" applyFont="1" applyBorder="1" applyAlignment="1">
      <alignment horizontal="center" vertical="center" wrapText="1"/>
    </xf>
    <xf numFmtId="0" fontId="20" fillId="0" borderId="10" xfId="10" applyFont="1" applyBorder="1" applyAlignment="1">
      <alignment horizontal="center" vertical="center" wrapText="1"/>
    </xf>
    <xf numFmtId="0" fontId="20" fillId="0" borderId="7" xfId="10" applyFont="1" applyBorder="1" applyAlignment="1">
      <alignment horizontal="center" vertical="center" wrapText="1"/>
    </xf>
    <xf numFmtId="0" fontId="20" fillId="0" borderId="4" xfId="14" applyFont="1" applyBorder="1" applyAlignment="1">
      <alignment horizontal="center" vertical="center"/>
    </xf>
    <xf numFmtId="0" fontId="15" fillId="0" borderId="4" xfId="10" applyFont="1" applyBorder="1" applyAlignment="1">
      <alignment vertical="center"/>
    </xf>
    <xf numFmtId="0" fontId="20" fillId="0" borderId="0" xfId="14" applyFont="1" applyAlignment="1">
      <alignment horizontal="center" vertical="center"/>
    </xf>
    <xf numFmtId="0" fontId="20" fillId="0" borderId="0" xfId="10" applyFont="1" applyAlignment="1">
      <alignment horizontal="center"/>
    </xf>
    <xf numFmtId="0" fontId="20" fillId="0" borderId="4" xfId="14" applyFont="1" applyBorder="1" applyAlignment="1">
      <alignment horizontal="center" vertical="center" wrapText="1"/>
    </xf>
    <xf numFmtId="0" fontId="20" fillId="0" borderId="8" xfId="14" applyFont="1" applyBorder="1" applyAlignment="1">
      <alignment horizontal="center" vertical="center" wrapText="1"/>
    </xf>
    <xf numFmtId="0" fontId="20" fillId="0" borderId="10" xfId="14" applyFont="1" applyBorder="1" applyAlignment="1">
      <alignment horizontal="center" vertical="center" wrapText="1"/>
    </xf>
    <xf numFmtId="0" fontId="15" fillId="0" borderId="7" xfId="10" applyFont="1" applyBorder="1" applyAlignment="1">
      <alignment horizontal="center" vertical="center" wrapText="1"/>
    </xf>
    <xf numFmtId="0" fontId="15" fillId="0" borderId="4" xfId="10" applyFont="1" applyBorder="1" applyAlignment="1">
      <alignment horizontal="center" vertical="center"/>
    </xf>
    <xf numFmtId="0" fontId="20" fillId="4" borderId="12" xfId="68" applyFont="1" applyFill="1" applyBorder="1" applyAlignment="1">
      <alignment horizontal="center" vertical="center"/>
    </xf>
    <xf numFmtId="0" fontId="20" fillId="4" borderId="13" xfId="68" applyFont="1" applyFill="1" applyBorder="1" applyAlignment="1">
      <alignment horizontal="center" vertical="center"/>
    </xf>
    <xf numFmtId="0" fontId="20" fillId="4" borderId="14" xfId="68" applyFont="1" applyFill="1" applyBorder="1" applyAlignment="1">
      <alignment horizontal="center" vertical="center"/>
    </xf>
    <xf numFmtId="0" fontId="20" fillId="4" borderId="4" xfId="68" applyFont="1" applyFill="1" applyBorder="1" applyAlignment="1">
      <alignment horizontal="center" vertical="center" wrapText="1"/>
    </xf>
    <xf numFmtId="0" fontId="20" fillId="4" borderId="11" xfId="68" applyFont="1" applyFill="1" applyBorder="1" applyAlignment="1">
      <alignment horizontal="center" vertical="center" wrapText="1"/>
    </xf>
    <xf numFmtId="0" fontId="20" fillId="4" borderId="5" xfId="68" applyFont="1" applyFill="1" applyBorder="1" applyAlignment="1">
      <alignment horizontal="center" vertical="center" wrapText="1"/>
    </xf>
    <xf numFmtId="0" fontId="20" fillId="4" borderId="15" xfId="68" applyFont="1" applyFill="1" applyBorder="1" applyAlignment="1">
      <alignment horizontal="center" vertical="center" wrapText="1"/>
    </xf>
    <xf numFmtId="0" fontId="20" fillId="4" borderId="4" xfId="68" quotePrefix="1" applyFont="1" applyFill="1" applyBorder="1" applyAlignment="1">
      <alignment horizontal="center" vertical="center" wrapText="1"/>
    </xf>
    <xf numFmtId="0" fontId="20" fillId="4" borderId="8" xfId="68" quotePrefix="1" applyFont="1" applyFill="1" applyBorder="1" applyAlignment="1">
      <alignment horizontal="center" vertical="center" wrapText="1"/>
    </xf>
    <xf numFmtId="0" fontId="20" fillId="4" borderId="8" xfId="68" applyFont="1" applyFill="1" applyBorder="1" applyAlignment="1">
      <alignment horizontal="center" vertical="center" wrapText="1"/>
    </xf>
    <xf numFmtId="0" fontId="12" fillId="0" borderId="4" xfId="10" applyFont="1" applyBorder="1" applyAlignment="1">
      <alignment horizontal="center" vertical="center"/>
    </xf>
    <xf numFmtId="0" fontId="12" fillId="0" borderId="0" xfId="14" applyFont="1" applyAlignment="1">
      <alignment horizontal="center" vertical="top"/>
    </xf>
    <xf numFmtId="0" fontId="8" fillId="0" borderId="4" xfId="10" applyBorder="1" applyAlignment="1">
      <alignment horizontal="center" vertical="center" wrapText="1"/>
    </xf>
    <xf numFmtId="0" fontId="8" fillId="0" borderId="4" xfId="10" applyBorder="1" applyAlignment="1">
      <alignment horizontal="center" vertical="center"/>
    </xf>
    <xf numFmtId="0" fontId="31" fillId="0" borderId="4" xfId="14" applyFont="1" applyBorder="1" applyAlignment="1">
      <alignment horizontal="center" vertical="center" wrapText="1"/>
    </xf>
    <xf numFmtId="0" fontId="31" fillId="0" borderId="4" xfId="14" quotePrefix="1" applyFont="1" applyBorder="1" applyAlignment="1">
      <alignment horizontal="center" vertical="center" wrapText="1"/>
    </xf>
    <xf numFmtId="0" fontId="31" fillId="0" borderId="4" xfId="10" applyFont="1" applyBorder="1" applyAlignment="1">
      <alignment horizontal="center" vertical="center"/>
    </xf>
    <xf numFmtId="0" fontId="31" fillId="0" borderId="6" xfId="14" applyFont="1" applyBorder="1" applyAlignment="1">
      <alignment horizontal="center" vertical="center" wrapText="1"/>
    </xf>
    <xf numFmtId="0" fontId="31" fillId="0" borderId="3" xfId="14" applyFont="1" applyBorder="1" applyAlignment="1">
      <alignment horizontal="center" vertical="center" wrapText="1"/>
    </xf>
    <xf numFmtId="0" fontId="31" fillId="0" borderId="9" xfId="14" applyFont="1" applyBorder="1" applyAlignment="1">
      <alignment horizontal="center" vertical="center" wrapText="1"/>
    </xf>
    <xf numFmtId="0" fontId="38" fillId="0" borderId="0" xfId="0" applyFont="1" applyAlignment="1">
      <alignment horizontal="left" vertical="center" wrapText="1"/>
    </xf>
    <xf numFmtId="0" fontId="39" fillId="0" borderId="4" xfId="0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 wrapText="1"/>
    </xf>
    <xf numFmtId="0" fontId="40" fillId="0" borderId="0" xfId="0" applyFont="1" applyAlignment="1">
      <alignment horizontal="left" vertical="center" wrapText="1"/>
    </xf>
    <xf numFmtId="0" fontId="20" fillId="0" borderId="4" xfId="0" applyFont="1" applyBorder="1" applyAlignment="1">
      <alignment horizontal="center" vertical="center"/>
    </xf>
    <xf numFmtId="0" fontId="40" fillId="0" borderId="4" xfId="0" applyFont="1" applyBorder="1" applyAlignment="1">
      <alignment horizontal="center" vertical="center" wrapText="1"/>
    </xf>
    <xf numFmtId="0" fontId="27" fillId="0" borderId="6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/>
    </xf>
    <xf numFmtId="0" fontId="20" fillId="0" borderId="6" xfId="10" applyFont="1" applyBorder="1" applyAlignment="1">
      <alignment horizontal="center" vertical="center"/>
    </xf>
    <xf numFmtId="0" fontId="20" fillId="0" borderId="3" xfId="10" applyFont="1" applyBorder="1" applyAlignment="1">
      <alignment horizontal="center" vertical="center"/>
    </xf>
    <xf numFmtId="0" fontId="20" fillId="0" borderId="9" xfId="10" applyFont="1" applyBorder="1" applyAlignment="1">
      <alignment horizontal="center" vertical="center"/>
    </xf>
  </cellXfs>
  <cellStyles count="129">
    <cellStyle name="Body" xfId="1"/>
    <cellStyle name="Comma  - Style1" xfId="2"/>
    <cellStyle name="Comma 10" xfId="112"/>
    <cellStyle name="Comma 10 2" xfId="113"/>
    <cellStyle name="Comma 11" xfId="110"/>
    <cellStyle name="Comma 11 2" xfId="19"/>
    <cellStyle name="Comma 11 2 2" xfId="96"/>
    <cellStyle name="Comma 11 2 3" xfId="72"/>
    <cellStyle name="Comma 2" xfId="24"/>
    <cellStyle name="Comma 2 2" xfId="25"/>
    <cellStyle name="Comma 2 2 2" xfId="63"/>
    <cellStyle name="Comma 2 2 3" xfId="76"/>
    <cellStyle name="Comma 2 3" xfId="26"/>
    <cellStyle name="Comma 2 3 2" xfId="77"/>
    <cellStyle name="Comma 2 4" xfId="56"/>
    <cellStyle name="Comma 2 5" xfId="75"/>
    <cellStyle name="Comma 3" xfId="27"/>
    <cellStyle name="Comma 3 2" xfId="62"/>
    <cellStyle name="Comma 3 2 2" xfId="103"/>
    <cellStyle name="Comma 3 2 3" xfId="85"/>
    <cellStyle name="Comma 3 3" xfId="78"/>
    <cellStyle name="Comma 4" xfId="28"/>
    <cellStyle name="Comma 4 2" xfId="64"/>
    <cellStyle name="Comma 4 2 2" xfId="104"/>
    <cellStyle name="Comma 4 2 3" xfId="86"/>
    <cellStyle name="Comma 4 3" xfId="79"/>
    <cellStyle name="Comma 5" xfId="29"/>
    <cellStyle name="Comma 5 2" xfId="80"/>
    <cellStyle name="Comma 6" xfId="48"/>
    <cellStyle name="Comma 6 2" xfId="49"/>
    <cellStyle name="Comma 6 3" xfId="50"/>
    <cellStyle name="Comma 6 4" xfId="51"/>
    <cellStyle name="Comma 6 5" xfId="101"/>
    <cellStyle name="Comma 6 6" xfId="83"/>
    <cellStyle name="Comma 7" xfId="21"/>
    <cellStyle name="Comma 8" xfId="65"/>
    <cellStyle name="Comma 8 2" xfId="105"/>
    <cellStyle name="Comma 8 3" xfId="87"/>
    <cellStyle name="Comma 9" xfId="111"/>
    <cellStyle name="Curren - Style2" xfId="3"/>
    <cellStyle name="Grey" xfId="4"/>
    <cellStyle name="Header1" xfId="5"/>
    <cellStyle name="Header2" xfId="6"/>
    <cellStyle name="Input [yellow]" xfId="7"/>
    <cellStyle name="no dec" xfId="8"/>
    <cellStyle name="Normal" xfId="0" builtinId="0"/>
    <cellStyle name="Normal - Style1" xfId="9"/>
    <cellStyle name="Normal 10" xfId="67"/>
    <cellStyle name="Normal 10 2" xfId="107"/>
    <cellStyle name="Normal 10 3" xfId="89"/>
    <cellStyle name="Normal 11" xfId="69"/>
    <cellStyle name="Normal 11 2" xfId="109"/>
    <cellStyle name="Normal 11 3" xfId="91"/>
    <cellStyle name="Normal 12" xfId="70"/>
    <cellStyle name="Normal 12 2" xfId="92"/>
    <cellStyle name="Normal 13" xfId="93"/>
    <cellStyle name="Normal 13 2" xfId="94"/>
    <cellStyle name="Normal 14" xfId="115"/>
    <cellStyle name="Normal 14 2" xfId="68"/>
    <cellStyle name="Normal 14 2 2" xfId="108"/>
    <cellStyle name="Normal 14 2 3" xfId="90"/>
    <cellStyle name="Normal 15" xfId="18"/>
    <cellStyle name="Normal 15 2" xfId="95"/>
    <cellStyle name="Normal 15 3" xfId="71"/>
    <cellStyle name="Normal 16" xfId="116"/>
    <cellStyle name="Normal 17" xfId="117"/>
    <cellStyle name="Normal 18" xfId="61"/>
    <cellStyle name="Normal 18 2" xfId="102"/>
    <cellStyle name="Normal 18 3" xfId="84"/>
    <cellStyle name="Normal 19" xfId="118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4" xfId="52"/>
    <cellStyle name="Normal 2_ARR FINAL" xfId="32"/>
    <cellStyle name="Normal 20" xfId="119"/>
    <cellStyle name="Normal 21" xfId="120"/>
    <cellStyle name="Normal 22" xfId="114"/>
    <cellStyle name="Normal 24" xfId="122"/>
    <cellStyle name="Normal 25" xfId="123"/>
    <cellStyle name="Normal 26" xfId="124"/>
    <cellStyle name="Normal 27" xfId="125"/>
    <cellStyle name="Normal 28" xfId="126"/>
    <cellStyle name="Normal 29" xfId="127"/>
    <cellStyle name="Normal 3" xfId="13"/>
    <cellStyle name="Normal 3 2" xfId="33"/>
    <cellStyle name="Normal 3 2 2" xfId="58"/>
    <cellStyle name="Normal 30" xfId="128"/>
    <cellStyle name="Normal 39" xfId="22"/>
    <cellStyle name="Normal 4" xfId="34"/>
    <cellStyle name="Normal 4 2" xfId="59"/>
    <cellStyle name="Normal 5" xfId="35"/>
    <cellStyle name="Normal 5 2" xfId="36"/>
    <cellStyle name="Normal 5 3" xfId="99"/>
    <cellStyle name="Normal 5 4" xfId="81"/>
    <cellStyle name="Normal 6" xfId="37"/>
    <cellStyle name="Normal 7" xfId="38"/>
    <cellStyle name="Normal 7 2" xfId="100"/>
    <cellStyle name="Normal 7 3" xfId="82"/>
    <cellStyle name="Normal 8" xfId="53"/>
    <cellStyle name="Normal 9" xfId="54"/>
    <cellStyle name="Normal_FORMATS 5 YEAR ALOKE 2" xfId="14"/>
    <cellStyle name="Percent [0]_#6 Temps &amp; Contractors" xfId="15"/>
    <cellStyle name="Percent [2]" xfId="16"/>
    <cellStyle name="Percent 10" xfId="74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41 2" xfId="97"/>
    <cellStyle name="Percent 41 3" xfId="73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Percent 7 2" xfId="106"/>
    <cellStyle name="Percent 7 3" xfId="88"/>
    <cellStyle name="Percent 8" xfId="121"/>
    <cellStyle name="Percent 9" xfId="98"/>
    <cellStyle name="Style 1" xfId="17"/>
    <cellStyle name="Style 2" xfId="55"/>
  </cellStyles>
  <dxfs count="0"/>
  <tableStyles count="0" defaultTableStyle="TableStyleMedium9" defaultPivotStyle="PivotStyleLight16"/>
  <colors>
    <mruColors>
      <color rgb="FF777777"/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41"/>
  <sheetViews>
    <sheetView showGridLines="0" topLeftCell="B1" zoomScale="80" zoomScaleNormal="80" zoomScaleSheetLayoutView="80" workbookViewId="0">
      <selection activeCell="D16" sqref="D16"/>
    </sheetView>
  </sheetViews>
  <sheetFormatPr defaultColWidth="9.28515625" defaultRowHeight="15" x14ac:dyDescent="0.2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15" width="18.7109375" style="6" customWidth="1"/>
    <col min="16" max="16384" width="9.28515625" style="6"/>
  </cols>
  <sheetData>
    <row r="2" spans="2:15" ht="15.75" x14ac:dyDescent="0.2">
      <c r="B2" s="294" t="s">
        <v>551</v>
      </c>
      <c r="C2" s="294"/>
      <c r="D2" s="295"/>
      <c r="E2" s="295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ht="15.75" x14ac:dyDescent="0.2">
      <c r="B3" s="294" t="s">
        <v>519</v>
      </c>
      <c r="C3" s="294"/>
      <c r="D3" s="295"/>
      <c r="E3" s="295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s="15" customFormat="1" ht="15.75" x14ac:dyDescent="0.2">
      <c r="B4" s="296" t="s">
        <v>398</v>
      </c>
      <c r="C4" s="296"/>
      <c r="D4" s="297"/>
      <c r="E4" s="297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5" ht="15.75" x14ac:dyDescent="0.2">
      <c r="D5" s="73" t="s">
        <v>400</v>
      </c>
    </row>
    <row r="6" spans="2:15" ht="15.75" x14ac:dyDescent="0.2">
      <c r="N6" s="7"/>
    </row>
    <row r="7" spans="2:15" ht="15.75" x14ac:dyDescent="0.2">
      <c r="B7" s="17" t="s">
        <v>210</v>
      </c>
      <c r="C7" s="17" t="s">
        <v>399</v>
      </c>
      <c r="D7" s="18" t="s">
        <v>7</v>
      </c>
      <c r="E7" s="18" t="s">
        <v>401</v>
      </c>
    </row>
    <row r="8" spans="2:15" x14ac:dyDescent="0.2">
      <c r="B8" s="8">
        <v>1</v>
      </c>
      <c r="C8" s="8" t="s">
        <v>6</v>
      </c>
      <c r="D8" s="9" t="s">
        <v>403</v>
      </c>
      <c r="E8" s="10"/>
    </row>
    <row r="9" spans="2:15" x14ac:dyDescent="0.2">
      <c r="B9" s="8">
        <f>B8+1</f>
        <v>2</v>
      </c>
      <c r="C9" s="8" t="s">
        <v>304</v>
      </c>
      <c r="D9" s="9" t="s">
        <v>405</v>
      </c>
      <c r="E9" s="10"/>
    </row>
    <row r="10" spans="2:15" x14ac:dyDescent="0.2">
      <c r="B10" s="8">
        <f>B9+1</f>
        <v>3</v>
      </c>
      <c r="C10" s="8" t="s">
        <v>24</v>
      </c>
      <c r="D10" s="9" t="s">
        <v>406</v>
      </c>
      <c r="E10" s="10"/>
    </row>
    <row r="11" spans="2:15" x14ac:dyDescent="0.2">
      <c r="B11" s="8">
        <f>B10+1</f>
        <v>4</v>
      </c>
      <c r="C11" s="8" t="s">
        <v>25</v>
      </c>
      <c r="D11" s="9" t="s">
        <v>407</v>
      </c>
      <c r="E11" s="10"/>
    </row>
    <row r="12" spans="2:15" x14ac:dyDescent="0.2">
      <c r="B12" s="8">
        <f>B11+1</f>
        <v>5</v>
      </c>
      <c r="C12" s="8" t="s">
        <v>305</v>
      </c>
      <c r="D12" s="9" t="s">
        <v>408</v>
      </c>
      <c r="E12" s="10"/>
    </row>
    <row r="13" spans="2:15" x14ac:dyDescent="0.2">
      <c r="B13" s="8">
        <f t="shared" ref="B13:B39" si="0">B12+1</f>
        <v>6</v>
      </c>
      <c r="C13" s="8" t="s">
        <v>22</v>
      </c>
      <c r="D13" s="9" t="s">
        <v>238</v>
      </c>
      <c r="E13" s="10"/>
    </row>
    <row r="14" spans="2:15" x14ac:dyDescent="0.2">
      <c r="B14" s="8">
        <f t="shared" si="0"/>
        <v>7</v>
      </c>
      <c r="C14" s="8" t="s">
        <v>27</v>
      </c>
      <c r="D14" s="9" t="s">
        <v>409</v>
      </c>
      <c r="E14" s="10"/>
    </row>
    <row r="15" spans="2:15" x14ac:dyDescent="0.2">
      <c r="B15" s="8">
        <f t="shared" si="0"/>
        <v>8</v>
      </c>
      <c r="C15" s="8" t="s">
        <v>28</v>
      </c>
      <c r="D15" s="11" t="s">
        <v>207</v>
      </c>
      <c r="E15" s="10"/>
    </row>
    <row r="16" spans="2:15" x14ac:dyDescent="0.2">
      <c r="B16" s="8">
        <f t="shared" si="0"/>
        <v>9</v>
      </c>
      <c r="C16" s="8" t="s">
        <v>23</v>
      </c>
      <c r="D16" s="11" t="s">
        <v>410</v>
      </c>
      <c r="E16" s="10"/>
    </row>
    <row r="17" spans="2:5" x14ac:dyDescent="0.2">
      <c r="B17" s="8">
        <f t="shared" si="0"/>
        <v>10</v>
      </c>
      <c r="C17" s="8" t="s">
        <v>29</v>
      </c>
      <c r="D17" s="9" t="s">
        <v>263</v>
      </c>
      <c r="E17" s="10"/>
    </row>
    <row r="18" spans="2:5" x14ac:dyDescent="0.2">
      <c r="B18" s="8">
        <f t="shared" si="0"/>
        <v>11</v>
      </c>
      <c r="C18" s="8" t="s">
        <v>30</v>
      </c>
      <c r="D18" s="11" t="s">
        <v>322</v>
      </c>
      <c r="E18" s="10"/>
    </row>
    <row r="19" spans="2:5" x14ac:dyDescent="0.2">
      <c r="B19" s="8">
        <f t="shared" si="0"/>
        <v>12</v>
      </c>
      <c r="C19" s="8" t="s">
        <v>31</v>
      </c>
      <c r="D19" s="11" t="s">
        <v>264</v>
      </c>
      <c r="E19" s="10"/>
    </row>
    <row r="20" spans="2:5" x14ac:dyDescent="0.2">
      <c r="B20" s="8">
        <f t="shared" si="0"/>
        <v>13</v>
      </c>
      <c r="C20" s="8" t="s">
        <v>32</v>
      </c>
      <c r="D20" s="11" t="s">
        <v>164</v>
      </c>
      <c r="E20" s="10"/>
    </row>
    <row r="21" spans="2:5" x14ac:dyDescent="0.2">
      <c r="B21" s="8">
        <f t="shared" si="0"/>
        <v>14</v>
      </c>
      <c r="C21" s="8" t="s">
        <v>33</v>
      </c>
      <c r="D21" s="11" t="s">
        <v>26</v>
      </c>
      <c r="E21" s="10"/>
    </row>
    <row r="22" spans="2:5" x14ac:dyDescent="0.2">
      <c r="B22" s="8">
        <f t="shared" si="0"/>
        <v>15</v>
      </c>
      <c r="C22" s="8" t="s">
        <v>34</v>
      </c>
      <c r="D22" s="9" t="s">
        <v>411</v>
      </c>
      <c r="E22" s="10"/>
    </row>
    <row r="23" spans="2:5" x14ac:dyDescent="0.2">
      <c r="B23" s="8">
        <f t="shared" si="0"/>
        <v>16</v>
      </c>
      <c r="C23" s="8" t="s">
        <v>35</v>
      </c>
      <c r="D23" s="9" t="s">
        <v>412</v>
      </c>
      <c r="E23" s="10"/>
    </row>
    <row r="24" spans="2:5" x14ac:dyDescent="0.2">
      <c r="B24" s="8">
        <f t="shared" si="0"/>
        <v>17</v>
      </c>
      <c r="C24" s="8" t="s">
        <v>172</v>
      </c>
      <c r="D24" s="9" t="s">
        <v>267</v>
      </c>
      <c r="E24" s="10"/>
    </row>
    <row r="25" spans="2:5" x14ac:dyDescent="0.2">
      <c r="B25" s="8">
        <f t="shared" si="0"/>
        <v>18</v>
      </c>
      <c r="C25" s="8" t="s">
        <v>181</v>
      </c>
      <c r="D25" s="9" t="s">
        <v>413</v>
      </c>
      <c r="E25" s="10"/>
    </row>
    <row r="26" spans="2:5" x14ac:dyDescent="0.2">
      <c r="B26" s="8">
        <f t="shared" si="0"/>
        <v>19</v>
      </c>
      <c r="C26" s="8" t="s">
        <v>402</v>
      </c>
      <c r="D26" s="9" t="s">
        <v>247</v>
      </c>
      <c r="E26" s="10"/>
    </row>
    <row r="27" spans="2:5" x14ac:dyDescent="0.2">
      <c r="B27" s="8">
        <f t="shared" si="0"/>
        <v>20</v>
      </c>
      <c r="C27" s="8" t="s">
        <v>240</v>
      </c>
      <c r="D27" s="9" t="s">
        <v>414</v>
      </c>
      <c r="E27" s="10"/>
    </row>
    <row r="28" spans="2:5" x14ac:dyDescent="0.2">
      <c r="B28" s="8">
        <f t="shared" si="0"/>
        <v>21</v>
      </c>
      <c r="C28" s="8" t="s">
        <v>241</v>
      </c>
      <c r="D28" s="11" t="s">
        <v>415</v>
      </c>
      <c r="E28" s="10"/>
    </row>
    <row r="29" spans="2:5" ht="15.75" x14ac:dyDescent="0.2">
      <c r="B29" s="12"/>
      <c r="C29" s="12"/>
      <c r="D29" s="13" t="s">
        <v>246</v>
      </c>
      <c r="E29" s="14"/>
    </row>
    <row r="30" spans="2:5" x14ac:dyDescent="0.2">
      <c r="B30" s="8">
        <f>B28+1</f>
        <v>22</v>
      </c>
      <c r="C30" s="8" t="s">
        <v>421</v>
      </c>
      <c r="D30" s="9" t="s">
        <v>429</v>
      </c>
      <c r="E30" s="10"/>
    </row>
    <row r="31" spans="2:5" x14ac:dyDescent="0.2">
      <c r="B31" s="8">
        <f>B30+1</f>
        <v>23</v>
      </c>
      <c r="C31" s="8" t="s">
        <v>422</v>
      </c>
      <c r="D31" s="9" t="s">
        <v>430</v>
      </c>
      <c r="E31" s="10"/>
    </row>
    <row r="32" spans="2:5" x14ac:dyDescent="0.2">
      <c r="B32" s="8">
        <f>B31+1</f>
        <v>24</v>
      </c>
      <c r="C32" s="8" t="s">
        <v>419</v>
      </c>
      <c r="D32" s="9" t="s">
        <v>202</v>
      </c>
      <c r="E32" s="10"/>
    </row>
    <row r="33" spans="2:5" x14ac:dyDescent="0.2">
      <c r="B33" s="8">
        <f t="shared" si="0"/>
        <v>25</v>
      </c>
      <c r="C33" s="8" t="s">
        <v>420</v>
      </c>
      <c r="D33" s="9" t="s">
        <v>203</v>
      </c>
      <c r="E33" s="10"/>
    </row>
    <row r="34" spans="2:5" x14ac:dyDescent="0.2">
      <c r="B34" s="8">
        <f t="shared" si="0"/>
        <v>26</v>
      </c>
      <c r="C34" s="8" t="s">
        <v>423</v>
      </c>
      <c r="D34" s="9" t="s">
        <v>204</v>
      </c>
      <c r="E34" s="10"/>
    </row>
    <row r="35" spans="2:5" x14ac:dyDescent="0.2">
      <c r="B35" s="8">
        <f t="shared" si="0"/>
        <v>27</v>
      </c>
      <c r="C35" s="8" t="s">
        <v>424</v>
      </c>
      <c r="D35" s="9" t="s">
        <v>205</v>
      </c>
      <c r="E35" s="10"/>
    </row>
    <row r="36" spans="2:5" x14ac:dyDescent="0.2">
      <c r="B36" s="8">
        <f t="shared" si="0"/>
        <v>28</v>
      </c>
      <c r="C36" s="8" t="s">
        <v>425</v>
      </c>
      <c r="D36" s="9" t="s">
        <v>224</v>
      </c>
      <c r="E36" s="10"/>
    </row>
    <row r="37" spans="2:5" x14ac:dyDescent="0.2">
      <c r="B37" s="8">
        <f t="shared" si="0"/>
        <v>29</v>
      </c>
      <c r="C37" s="8" t="s">
        <v>426</v>
      </c>
      <c r="D37" s="9" t="s">
        <v>206</v>
      </c>
      <c r="E37" s="10"/>
    </row>
    <row r="38" spans="2:5" x14ac:dyDescent="0.2">
      <c r="B38" s="8">
        <f t="shared" si="0"/>
        <v>30</v>
      </c>
      <c r="C38" s="8" t="s">
        <v>427</v>
      </c>
      <c r="D38" s="9" t="s">
        <v>416</v>
      </c>
      <c r="E38" s="10"/>
    </row>
    <row r="39" spans="2:5" x14ac:dyDescent="0.2">
      <c r="B39" s="8">
        <f t="shared" si="0"/>
        <v>31</v>
      </c>
      <c r="C39" s="8" t="s">
        <v>428</v>
      </c>
      <c r="D39" s="9" t="s">
        <v>417</v>
      </c>
      <c r="E39" s="10"/>
    </row>
    <row r="41" spans="2:5" ht="15.75" x14ac:dyDescent="0.2">
      <c r="B41" s="16" t="s">
        <v>418</v>
      </c>
      <c r="C41" s="16"/>
    </row>
  </sheetData>
  <mergeCells count="3">
    <mergeCell ref="B2:E2"/>
    <mergeCell ref="B4:E4"/>
    <mergeCell ref="B3:E3"/>
  </mergeCells>
  <phoneticPr fontId="11" type="noConversion"/>
  <pageMargins left="0.55000000000000004" right="0.23622047244094491" top="1.1023622047244095" bottom="0.98425196850393704" header="0.23622047244094491" footer="0.23622047244094491"/>
  <pageSetup paperSize="9" scale="7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26"/>
  <sheetViews>
    <sheetView showGridLines="0" view="pageBreakPreview" zoomScale="90" zoomScaleNormal="90" zoomScaleSheetLayoutView="90" workbookViewId="0">
      <selection activeCell="M29" sqref="M29"/>
    </sheetView>
  </sheetViews>
  <sheetFormatPr defaultColWidth="9.28515625" defaultRowHeight="14.25" x14ac:dyDescent="0.2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hidden="1" customWidth="1"/>
    <col min="17" max="22" width="11.7109375" style="5" bestFit="1" customWidth="1"/>
    <col min="23" max="16384" width="9.28515625" style="5"/>
  </cols>
  <sheetData>
    <row r="1" spans="2:16" ht="15" x14ac:dyDescent="0.2">
      <c r="B1" s="26"/>
    </row>
    <row r="2" spans="2:16" ht="15" x14ac:dyDescent="0.2">
      <c r="B2" s="323" t="s">
        <v>550</v>
      </c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</row>
    <row r="3" spans="2:16" ht="15" x14ac:dyDescent="0.2">
      <c r="B3" s="323" t="s">
        <v>518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</row>
    <row r="4" spans="2:16" ht="15" x14ac:dyDescent="0.2">
      <c r="B4" s="311" t="s">
        <v>307</v>
      </c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</row>
    <row r="5" spans="2:16" ht="15.75" thickBot="1" x14ac:dyDescent="0.25">
      <c r="K5" s="37"/>
      <c r="O5" s="35" t="s">
        <v>4</v>
      </c>
    </row>
    <row r="6" spans="2:16" ht="15" x14ac:dyDescent="0.2">
      <c r="B6" s="330" t="s">
        <v>484</v>
      </c>
      <c r="C6" s="331"/>
      <c r="D6" s="331"/>
      <c r="E6" s="331"/>
      <c r="F6" s="331"/>
      <c r="G6" s="331"/>
      <c r="H6" s="331"/>
      <c r="I6" s="331"/>
      <c r="J6" s="331"/>
      <c r="K6" s="331"/>
      <c r="L6" s="331"/>
      <c r="M6" s="331"/>
      <c r="N6" s="331"/>
      <c r="O6" s="332"/>
    </row>
    <row r="7" spans="2:16" ht="14.25" customHeight="1" x14ac:dyDescent="0.2">
      <c r="B7" s="335" t="s">
        <v>2</v>
      </c>
      <c r="C7" s="337" t="s">
        <v>303</v>
      </c>
      <c r="D7" s="333" t="s">
        <v>291</v>
      </c>
      <c r="E7" s="333" t="s">
        <v>292</v>
      </c>
      <c r="F7" s="333" t="s">
        <v>293</v>
      </c>
      <c r="G7" s="333"/>
      <c r="H7" s="333"/>
      <c r="I7" s="333"/>
      <c r="J7" s="333" t="s">
        <v>294</v>
      </c>
      <c r="K7" s="333"/>
      <c r="L7" s="333"/>
      <c r="M7" s="333"/>
      <c r="N7" s="333" t="s">
        <v>295</v>
      </c>
      <c r="O7" s="334"/>
    </row>
    <row r="8" spans="2:16" ht="60" x14ac:dyDescent="0.2">
      <c r="B8" s="336"/>
      <c r="C8" s="338"/>
      <c r="D8" s="339"/>
      <c r="E8" s="339"/>
      <c r="F8" s="206" t="s">
        <v>296</v>
      </c>
      <c r="G8" s="206" t="s">
        <v>138</v>
      </c>
      <c r="H8" s="206" t="s">
        <v>297</v>
      </c>
      <c r="I8" s="206" t="s">
        <v>298</v>
      </c>
      <c r="J8" s="206" t="s">
        <v>299</v>
      </c>
      <c r="K8" s="206" t="s">
        <v>138</v>
      </c>
      <c r="L8" s="206" t="s">
        <v>300</v>
      </c>
      <c r="M8" s="206" t="s">
        <v>301</v>
      </c>
      <c r="N8" s="206" t="s">
        <v>296</v>
      </c>
      <c r="O8" s="207" t="s">
        <v>298</v>
      </c>
    </row>
    <row r="9" spans="2:16" ht="15" x14ac:dyDescent="0.2">
      <c r="B9" s="208">
        <v>1</v>
      </c>
      <c r="C9" s="71" t="s">
        <v>500</v>
      </c>
      <c r="D9" s="66">
        <v>1000</v>
      </c>
      <c r="E9" s="209">
        <v>0</v>
      </c>
      <c r="F9" s="68">
        <v>70.156839300000001</v>
      </c>
      <c r="G9" s="69">
        <v>52.6105193</v>
      </c>
      <c r="H9" s="68">
        <v>0</v>
      </c>
      <c r="I9" s="122">
        <f>F9+G9-H9</f>
        <v>122.76735859999999</v>
      </c>
      <c r="J9" s="68">
        <v>0</v>
      </c>
      <c r="K9" s="123">
        <v>0</v>
      </c>
      <c r="L9" s="68">
        <v>0</v>
      </c>
      <c r="M9" s="122">
        <f>J9+K9-L9</f>
        <v>0</v>
      </c>
      <c r="N9" s="122">
        <f>F9-J9</f>
        <v>70.156839300000001</v>
      </c>
      <c r="O9" s="122">
        <f>I9-M9</f>
        <v>122.76735859999999</v>
      </c>
    </row>
    <row r="10" spans="2:16" ht="15" x14ac:dyDescent="0.2">
      <c r="B10" s="208">
        <v>2</v>
      </c>
      <c r="C10" s="65" t="s">
        <v>128</v>
      </c>
      <c r="D10" s="66">
        <v>1100</v>
      </c>
      <c r="E10" s="67">
        <v>3.3399999999999999E-2</v>
      </c>
      <c r="F10" s="68">
        <v>626.39873731399996</v>
      </c>
      <c r="G10" s="69">
        <v>0.89155053900000003</v>
      </c>
      <c r="H10" s="68">
        <v>0</v>
      </c>
      <c r="I10" s="122">
        <f>F10+G10-H10</f>
        <v>627.290287853</v>
      </c>
      <c r="J10" s="68">
        <v>38.193513719999999</v>
      </c>
      <c r="K10" s="123">
        <v>20.762769811000002</v>
      </c>
      <c r="L10" s="68">
        <v>0</v>
      </c>
      <c r="M10" s="122">
        <f t="shared" ref="M10:M12" si="0">J10+K10-L10</f>
        <v>58.956283530999997</v>
      </c>
      <c r="N10" s="122">
        <f t="shared" ref="N10:N12" si="1">F10-J10</f>
        <v>588.20522359400002</v>
      </c>
      <c r="O10" s="122">
        <f t="shared" ref="O10:O12" si="2">I10-M10</f>
        <v>568.33400432200006</v>
      </c>
      <c r="P10" s="243"/>
    </row>
    <row r="11" spans="2:16" ht="15" x14ac:dyDescent="0.2">
      <c r="B11" s="208">
        <v>3</v>
      </c>
      <c r="C11" s="71" t="s">
        <v>501</v>
      </c>
      <c r="D11" s="66">
        <v>1200</v>
      </c>
      <c r="E11" s="67">
        <v>5.28E-2</v>
      </c>
      <c r="F11" s="68">
        <v>649.22850840299998</v>
      </c>
      <c r="G11" s="69">
        <v>9.1489483099999998</v>
      </c>
      <c r="H11" s="68">
        <v>0</v>
      </c>
      <c r="I11" s="122">
        <f t="shared" ref="I11:I12" si="3">F11+G11-H11</f>
        <v>658.37745671300002</v>
      </c>
      <c r="J11" s="68">
        <v>25.748437794999997</v>
      </c>
      <c r="K11" s="123">
        <v>34.762329716000004</v>
      </c>
      <c r="L11" s="68">
        <v>0</v>
      </c>
      <c r="M11" s="122">
        <f t="shared" si="0"/>
        <v>60.510767510999997</v>
      </c>
      <c r="N11" s="122">
        <f t="shared" si="1"/>
        <v>623.48007060800001</v>
      </c>
      <c r="O11" s="122">
        <f t="shared" si="2"/>
        <v>597.86668920199998</v>
      </c>
      <c r="P11" s="243"/>
    </row>
    <row r="12" spans="2:16" ht="15" x14ac:dyDescent="0.2">
      <c r="B12" s="208">
        <v>4</v>
      </c>
      <c r="C12" s="143" t="s">
        <v>127</v>
      </c>
      <c r="D12" s="66">
        <v>1300</v>
      </c>
      <c r="E12" s="72">
        <v>5.28E-2</v>
      </c>
      <c r="F12" s="69">
        <v>4775.1114374870003</v>
      </c>
      <c r="G12" s="69">
        <v>182.585152515</v>
      </c>
      <c r="H12" s="70">
        <v>-6</v>
      </c>
      <c r="I12" s="122">
        <f t="shared" si="3"/>
        <v>4963.6965900020004</v>
      </c>
      <c r="J12" s="68">
        <f>279.023493111-0.26</f>
        <v>278.763493111</v>
      </c>
      <c r="K12" s="212">
        <v>260.37807477600001</v>
      </c>
      <c r="L12" s="68">
        <v>0.81840000000000002</v>
      </c>
      <c r="M12" s="122">
        <f t="shared" si="0"/>
        <v>538.32316788700007</v>
      </c>
      <c r="N12" s="122">
        <f t="shared" si="1"/>
        <v>4496.3479443760007</v>
      </c>
      <c r="O12" s="122">
        <f t="shared" si="2"/>
        <v>4425.3734221150007</v>
      </c>
      <c r="P12" s="243"/>
    </row>
    <row r="13" spans="2:16" ht="15" x14ac:dyDescent="0.2">
      <c r="B13" s="208">
        <v>5</v>
      </c>
      <c r="C13" s="143" t="s">
        <v>502</v>
      </c>
      <c r="D13" s="66">
        <v>1400</v>
      </c>
      <c r="E13" s="209">
        <v>5.28E-2</v>
      </c>
      <c r="F13" s="69">
        <v>0</v>
      </c>
      <c r="G13" s="69">
        <v>25.96</v>
      </c>
      <c r="H13" s="68">
        <v>6</v>
      </c>
      <c r="I13" s="122">
        <f>F13+G13-H13</f>
        <v>19.96</v>
      </c>
      <c r="J13" s="68">
        <v>0</v>
      </c>
      <c r="K13" s="123">
        <v>7.9200000000000007E-2</v>
      </c>
      <c r="L13" s="68">
        <v>-0.81840000000000002</v>
      </c>
      <c r="M13" s="122">
        <f>J13+K13-L13</f>
        <v>0.89760000000000006</v>
      </c>
      <c r="N13" s="122">
        <f>F13-J13</f>
        <v>0</v>
      </c>
      <c r="O13" s="122">
        <f>I13-M13</f>
        <v>19.0624</v>
      </c>
      <c r="P13" s="243"/>
    </row>
    <row r="14" spans="2:16" ht="15" x14ac:dyDescent="0.2">
      <c r="B14" s="208">
        <v>6</v>
      </c>
      <c r="C14" s="143" t="s">
        <v>503</v>
      </c>
      <c r="D14" s="66">
        <v>1500</v>
      </c>
      <c r="E14" s="67">
        <v>5.28E-2</v>
      </c>
      <c r="F14" s="69">
        <v>810.91513892199998</v>
      </c>
      <c r="G14" s="69">
        <v>5.900113835</v>
      </c>
      <c r="H14" s="68">
        <v>0</v>
      </c>
      <c r="I14" s="122">
        <f>F14+G14-H14</f>
        <v>816.81525275699994</v>
      </c>
      <c r="J14" s="68">
        <v>57.100996787</v>
      </c>
      <c r="K14" s="123">
        <v>43.127845344999997</v>
      </c>
      <c r="L14" s="68">
        <v>0</v>
      </c>
      <c r="M14" s="122">
        <f t="shared" ref="M14:M16" si="4">J14+K14-L14</f>
        <v>100.228842132</v>
      </c>
      <c r="N14" s="122">
        <f t="shared" ref="N14:N16" si="5">F14-J14</f>
        <v>753.814142135</v>
      </c>
      <c r="O14" s="122">
        <f t="shared" ref="O14:O16" si="6">I14-M14</f>
        <v>716.58641062499998</v>
      </c>
      <c r="P14" s="243"/>
    </row>
    <row r="15" spans="2:16" ht="15" x14ac:dyDescent="0.2">
      <c r="B15" s="208">
        <v>7</v>
      </c>
      <c r="C15" s="143" t="s">
        <v>504</v>
      </c>
      <c r="D15" s="66">
        <v>1600</v>
      </c>
      <c r="E15" s="67">
        <v>3.3399999999999999E-2</v>
      </c>
      <c r="F15" s="69">
        <v>12.785229411</v>
      </c>
      <c r="G15" s="69">
        <v>34.595081698999998</v>
      </c>
      <c r="H15" s="68">
        <v>0</v>
      </c>
      <c r="I15" s="122">
        <f t="shared" ref="I15:I16" si="7">F15+G15-H15</f>
        <v>47.380311109999994</v>
      </c>
      <c r="J15" s="68">
        <v>0.56134809900000004</v>
      </c>
      <c r="K15" s="123">
        <v>1.582502391</v>
      </c>
      <c r="L15" s="68">
        <v>0</v>
      </c>
      <c r="M15" s="122">
        <f t="shared" si="4"/>
        <v>2.1438504900000002</v>
      </c>
      <c r="N15" s="122">
        <f t="shared" si="5"/>
        <v>12.223881312</v>
      </c>
      <c r="O15" s="122">
        <f t="shared" si="6"/>
        <v>45.236460619999995</v>
      </c>
      <c r="P15" s="243"/>
    </row>
    <row r="16" spans="2:16" ht="15" x14ac:dyDescent="0.2">
      <c r="B16" s="208">
        <v>8</v>
      </c>
      <c r="C16" s="143" t="s">
        <v>132</v>
      </c>
      <c r="D16" s="66">
        <v>1700</v>
      </c>
      <c r="E16" s="72">
        <v>9.5000000000000001E-2</v>
      </c>
      <c r="F16" s="69">
        <v>0.421178108</v>
      </c>
      <c r="G16" s="69">
        <v>0.224</v>
      </c>
      <c r="H16" s="70">
        <v>0</v>
      </c>
      <c r="I16" s="122">
        <f t="shared" si="7"/>
        <v>0.64517810799999997</v>
      </c>
      <c r="J16" s="68">
        <v>1.6363381999999999E-2</v>
      </c>
      <c r="K16" s="123">
        <v>5.4198586999999999E-2</v>
      </c>
      <c r="L16" s="68">
        <v>0</v>
      </c>
      <c r="M16" s="122">
        <f t="shared" si="4"/>
        <v>7.0561969000000002E-2</v>
      </c>
      <c r="N16" s="122">
        <f t="shared" si="5"/>
        <v>0.40481472600000001</v>
      </c>
      <c r="O16" s="122">
        <f t="shared" si="6"/>
        <v>0.57461613899999997</v>
      </c>
      <c r="P16" s="243"/>
    </row>
    <row r="17" spans="2:17" ht="15" x14ac:dyDescent="0.2">
      <c r="B17" s="208">
        <v>9</v>
      </c>
      <c r="C17" s="143" t="s">
        <v>505</v>
      </c>
      <c r="D17" s="66">
        <v>1800</v>
      </c>
      <c r="E17" s="209">
        <v>6.3299999999999995E-2</v>
      </c>
      <c r="F17" s="69">
        <v>0.27695662700000001</v>
      </c>
      <c r="G17" s="69">
        <v>0.90765041800000001</v>
      </c>
      <c r="H17" s="68">
        <v>0</v>
      </c>
      <c r="I17" s="122">
        <f>F17+G17-H17</f>
        <v>1.1846070449999999</v>
      </c>
      <c r="J17" s="68">
        <v>0.15802180300000002</v>
      </c>
      <c r="K17" s="123">
        <v>1.0778314000000001E-2</v>
      </c>
      <c r="L17" s="68">
        <v>0</v>
      </c>
      <c r="M17" s="122">
        <f>J17+K17-L17</f>
        <v>0.16880011700000003</v>
      </c>
      <c r="N17" s="122">
        <f>F17-J17</f>
        <v>0.11893482399999999</v>
      </c>
      <c r="O17" s="122">
        <f>I17-M17</f>
        <v>1.0158069279999999</v>
      </c>
      <c r="P17" s="243"/>
    </row>
    <row r="18" spans="2:17" ht="15" x14ac:dyDescent="0.2">
      <c r="B18" s="208">
        <v>10</v>
      </c>
      <c r="C18" s="143" t="s">
        <v>506</v>
      </c>
      <c r="D18" s="66">
        <v>1900</v>
      </c>
      <c r="E18" s="67">
        <v>0.15</v>
      </c>
      <c r="F18" s="69">
        <v>0.72802733899999994</v>
      </c>
      <c r="G18" s="69">
        <v>0</v>
      </c>
      <c r="H18" s="68">
        <v>0</v>
      </c>
      <c r="I18" s="122">
        <f>F18+G18-H18</f>
        <v>0.72802733899999994</v>
      </c>
      <c r="J18" s="68">
        <v>0.14278270000000001</v>
      </c>
      <c r="K18" s="123">
        <v>0.102310083</v>
      </c>
      <c r="L18" s="68">
        <v>0</v>
      </c>
      <c r="M18" s="122">
        <f t="shared" ref="M18:M19" si="8">J18+K18-L18</f>
        <v>0.24509278300000001</v>
      </c>
      <c r="N18" s="122">
        <f t="shared" ref="N18:N19" si="9">F18-J18</f>
        <v>0.5852446389999999</v>
      </c>
      <c r="O18" s="122">
        <f t="shared" ref="O18:O20" si="10">I18-M18</f>
        <v>0.4829345559999999</v>
      </c>
      <c r="P18" s="243"/>
    </row>
    <row r="19" spans="2:17" ht="15" x14ac:dyDescent="0.2">
      <c r="B19" s="208">
        <v>11</v>
      </c>
      <c r="C19" s="143" t="s">
        <v>134</v>
      </c>
      <c r="D19" s="66">
        <v>2100</v>
      </c>
      <c r="E19" s="67">
        <v>6.3299999999999995E-2</v>
      </c>
      <c r="F19" s="69">
        <v>0.268618144</v>
      </c>
      <c r="G19" s="69">
        <v>7.8600000000000007E-3</v>
      </c>
      <c r="H19" s="68">
        <v>0</v>
      </c>
      <c r="I19" s="122">
        <f t="shared" ref="I19:I20" si="11">F19+G19-H19</f>
        <v>0.27647814399999998</v>
      </c>
      <c r="J19" s="68">
        <v>9.5406606000000005E-2</v>
      </c>
      <c r="K19" s="123">
        <v>2.026522E-2</v>
      </c>
      <c r="L19" s="68">
        <v>0</v>
      </c>
      <c r="M19" s="122">
        <f t="shared" si="8"/>
        <v>0.11567182600000001</v>
      </c>
      <c r="N19" s="122">
        <f t="shared" si="9"/>
        <v>0.173211538</v>
      </c>
      <c r="O19" s="122">
        <f t="shared" si="10"/>
        <v>0.16080631799999998</v>
      </c>
      <c r="P19" s="243"/>
    </row>
    <row r="20" spans="2:17" ht="15" x14ac:dyDescent="0.2">
      <c r="B20" s="208"/>
      <c r="C20" s="143" t="s">
        <v>524</v>
      </c>
      <c r="D20" s="66">
        <v>0</v>
      </c>
      <c r="E20" s="72">
        <v>0</v>
      </c>
      <c r="F20" s="69">
        <v>0</v>
      </c>
      <c r="G20" s="69">
        <v>0</v>
      </c>
      <c r="H20" s="70">
        <v>0</v>
      </c>
      <c r="I20" s="122">
        <f t="shared" si="11"/>
        <v>0</v>
      </c>
      <c r="J20" s="68">
        <v>0</v>
      </c>
      <c r="K20" s="123">
        <v>0</v>
      </c>
      <c r="L20" s="68">
        <v>0</v>
      </c>
      <c r="M20" s="122"/>
      <c r="N20" s="122"/>
      <c r="O20" s="122">
        <f t="shared" si="10"/>
        <v>0</v>
      </c>
    </row>
    <row r="21" spans="2:17" ht="15" x14ac:dyDescent="0.2">
      <c r="B21" s="208"/>
      <c r="C21" s="66" t="s">
        <v>139</v>
      </c>
      <c r="D21" s="66"/>
      <c r="E21" s="210">
        <f>IFERROR((K21-L21)/AVERAGE(F21,I21),0)</f>
        <v>5.0808842247784515E-2</v>
      </c>
      <c r="F21" s="123">
        <f>SUM(F9:F20)</f>
        <v>6946.2906710550005</v>
      </c>
      <c r="G21" s="123">
        <f t="shared" ref="G21:O21" si="12">SUM(G9:G20)</f>
        <v>312.83087661600001</v>
      </c>
      <c r="H21" s="123">
        <f t="shared" si="12"/>
        <v>0</v>
      </c>
      <c r="I21" s="123">
        <f t="shared" si="12"/>
        <v>7259.1215476710004</v>
      </c>
      <c r="J21" s="123">
        <f t="shared" si="12"/>
        <v>400.78036400299999</v>
      </c>
      <c r="K21" s="123">
        <f t="shared" si="12"/>
        <v>360.88027424299997</v>
      </c>
      <c r="L21" s="123">
        <f t="shared" si="12"/>
        <v>0</v>
      </c>
      <c r="M21" s="123">
        <f t="shared" si="12"/>
        <v>761.66063824600008</v>
      </c>
      <c r="N21" s="123">
        <f t="shared" si="12"/>
        <v>6545.5103070520008</v>
      </c>
      <c r="O21" s="123">
        <f t="shared" si="12"/>
        <v>6497.460909425</v>
      </c>
      <c r="P21" s="243"/>
      <c r="Q21" s="243"/>
    </row>
    <row r="22" spans="2:17" ht="15" thickBot="1" x14ac:dyDescent="0.25">
      <c r="F22" s="243">
        <f>SUM(F9:F20)</f>
        <v>6946.2906710550005</v>
      </c>
      <c r="G22" s="243">
        <f t="shared" ref="G22:O22" si="13">SUM(G9:G20)</f>
        <v>312.83087661600001</v>
      </c>
      <c r="H22" s="243">
        <f t="shared" si="13"/>
        <v>0</v>
      </c>
      <c r="I22" s="243">
        <f t="shared" si="13"/>
        <v>7259.1215476710004</v>
      </c>
      <c r="J22" s="243">
        <f t="shared" si="13"/>
        <v>400.78036400299999</v>
      </c>
      <c r="K22" s="243">
        <f t="shared" si="13"/>
        <v>360.88027424299997</v>
      </c>
      <c r="L22" s="243">
        <f t="shared" si="13"/>
        <v>0</v>
      </c>
      <c r="M22" s="243">
        <f t="shared" si="13"/>
        <v>761.66063824600008</v>
      </c>
      <c r="N22" s="243">
        <f t="shared" si="13"/>
        <v>6545.5103070520008</v>
      </c>
      <c r="O22" s="243">
        <f t="shared" si="13"/>
        <v>6497.460909425</v>
      </c>
    </row>
    <row r="23" spans="2:17" ht="15" x14ac:dyDescent="0.2">
      <c r="B23" s="330" t="s">
        <v>485</v>
      </c>
      <c r="C23" s="331"/>
      <c r="D23" s="331"/>
      <c r="E23" s="331"/>
      <c r="F23" s="331"/>
      <c r="G23" s="331"/>
      <c r="H23" s="331"/>
      <c r="I23" s="331"/>
      <c r="J23" s="331"/>
      <c r="K23" s="331"/>
      <c r="L23" s="331"/>
      <c r="M23" s="331"/>
      <c r="N23" s="331"/>
      <c r="O23" s="332"/>
    </row>
    <row r="24" spans="2:17" ht="14.25" customHeight="1" x14ac:dyDescent="0.2">
      <c r="B24" s="335" t="s">
        <v>2</v>
      </c>
      <c r="C24" s="337" t="s">
        <v>303</v>
      </c>
      <c r="D24" s="333" t="s">
        <v>291</v>
      </c>
      <c r="E24" s="333" t="s">
        <v>292</v>
      </c>
      <c r="F24" s="333" t="s">
        <v>293</v>
      </c>
      <c r="G24" s="333"/>
      <c r="H24" s="333"/>
      <c r="I24" s="333"/>
      <c r="J24" s="333" t="s">
        <v>294</v>
      </c>
      <c r="K24" s="333"/>
      <c r="L24" s="333"/>
      <c r="M24" s="333"/>
      <c r="N24" s="333" t="s">
        <v>295</v>
      </c>
      <c r="O24" s="334"/>
    </row>
    <row r="25" spans="2:17" ht="60" x14ac:dyDescent="0.2">
      <c r="B25" s="336"/>
      <c r="C25" s="338"/>
      <c r="D25" s="339"/>
      <c r="E25" s="339"/>
      <c r="F25" s="206" t="s">
        <v>296</v>
      </c>
      <c r="G25" s="206" t="s">
        <v>138</v>
      </c>
      <c r="H25" s="206" t="s">
        <v>297</v>
      </c>
      <c r="I25" s="206" t="s">
        <v>298</v>
      </c>
      <c r="J25" s="206" t="s">
        <v>299</v>
      </c>
      <c r="K25" s="206" t="s">
        <v>138</v>
      </c>
      <c r="L25" s="206" t="s">
        <v>300</v>
      </c>
      <c r="M25" s="206" t="s">
        <v>301</v>
      </c>
      <c r="N25" s="206" t="s">
        <v>296</v>
      </c>
      <c r="O25" s="207" t="s">
        <v>298</v>
      </c>
    </row>
    <row r="26" spans="2:17" ht="15" x14ac:dyDescent="0.2">
      <c r="B26" s="208">
        <v>1</v>
      </c>
      <c r="C26" s="71" t="s">
        <v>500</v>
      </c>
      <c r="D26" s="66">
        <v>1000</v>
      </c>
      <c r="E26" s="209">
        <v>0</v>
      </c>
      <c r="F26" s="122">
        <f>I9</f>
        <v>122.76735859999999</v>
      </c>
      <c r="G26" s="69">
        <v>0</v>
      </c>
      <c r="H26" s="68"/>
      <c r="I26" s="122">
        <f>F26+G26-H26</f>
        <v>122.76735859999999</v>
      </c>
      <c r="J26" s="68">
        <f>M9</f>
        <v>0</v>
      </c>
      <c r="K26" s="123">
        <v>0</v>
      </c>
      <c r="L26" s="68">
        <v>0</v>
      </c>
      <c r="M26" s="122">
        <f>J26+K26-L26</f>
        <v>0</v>
      </c>
      <c r="N26" s="122">
        <f>F26-J26</f>
        <v>122.76735859999999</v>
      </c>
      <c r="O26" s="122">
        <f>I26-M26</f>
        <v>122.76735859999999</v>
      </c>
    </row>
    <row r="27" spans="2:17" ht="15" x14ac:dyDescent="0.2">
      <c r="B27" s="208">
        <v>2</v>
      </c>
      <c r="C27" s="65" t="s">
        <v>128</v>
      </c>
      <c r="D27" s="66">
        <v>1100</v>
      </c>
      <c r="E27" s="67">
        <v>3.3399999999999999E-2</v>
      </c>
      <c r="F27" s="122">
        <f t="shared" ref="F27:F37" si="14">I10</f>
        <v>627.290287853</v>
      </c>
      <c r="G27" s="69">
        <v>0</v>
      </c>
      <c r="H27" s="68"/>
      <c r="I27" s="122">
        <f>F27+G27-H27</f>
        <v>627.290287853</v>
      </c>
      <c r="J27" s="68">
        <f t="shared" ref="J27:J37" si="15">M10</f>
        <v>58.956283530999997</v>
      </c>
      <c r="K27" s="123">
        <v>20.762769811000002</v>
      </c>
      <c r="L27" s="68">
        <v>0</v>
      </c>
      <c r="M27" s="122">
        <f t="shared" ref="M27:M28" si="16">J27+K27-L27</f>
        <v>79.719053341999995</v>
      </c>
      <c r="N27" s="122">
        <f t="shared" ref="N27:N29" si="17">F27-J27</f>
        <v>568.33400432200006</v>
      </c>
      <c r="O27" s="122">
        <f t="shared" ref="O27:O29" si="18">I27-M27</f>
        <v>547.57123451100006</v>
      </c>
    </row>
    <row r="28" spans="2:17" ht="15" x14ac:dyDescent="0.2">
      <c r="B28" s="208">
        <v>3</v>
      </c>
      <c r="C28" s="71" t="s">
        <v>501</v>
      </c>
      <c r="D28" s="66">
        <v>1200</v>
      </c>
      <c r="E28" s="67">
        <v>5.28E-2</v>
      </c>
      <c r="F28" s="122">
        <f t="shared" si="14"/>
        <v>658.37745671300002</v>
      </c>
      <c r="G28" s="69">
        <v>1.8328005440000001</v>
      </c>
      <c r="H28" s="68"/>
      <c r="I28" s="122">
        <f t="shared" ref="I28:I29" si="19">F28+G28-H28</f>
        <v>660.21025725699997</v>
      </c>
      <c r="J28" s="68">
        <f t="shared" si="15"/>
        <v>60.510767510999997</v>
      </c>
      <c r="K28" s="123">
        <v>34.762329716000004</v>
      </c>
      <c r="L28" s="68">
        <v>0</v>
      </c>
      <c r="M28" s="122">
        <f t="shared" si="16"/>
        <v>95.273097226999994</v>
      </c>
      <c r="N28" s="122">
        <f t="shared" si="17"/>
        <v>597.86668920199998</v>
      </c>
      <c r="O28" s="122">
        <f t="shared" si="18"/>
        <v>564.93716002999997</v>
      </c>
    </row>
    <row r="29" spans="2:17" ht="15" x14ac:dyDescent="0.2">
      <c r="B29" s="208">
        <v>4</v>
      </c>
      <c r="C29" s="71" t="s">
        <v>127</v>
      </c>
      <c r="D29" s="66">
        <v>1300</v>
      </c>
      <c r="E29" s="72">
        <v>5.28E-2</v>
      </c>
      <c r="F29" s="122">
        <f t="shared" si="14"/>
        <v>4963.6965900020004</v>
      </c>
      <c r="G29" s="69">
        <v>3.42</v>
      </c>
      <c r="H29" s="70"/>
      <c r="I29" s="122">
        <f t="shared" si="19"/>
        <v>4967.1165900020005</v>
      </c>
      <c r="J29" s="68">
        <f t="shared" si="15"/>
        <v>538.32316788700007</v>
      </c>
      <c r="K29" s="123">
        <v>260.37807477600001</v>
      </c>
      <c r="L29" s="68">
        <v>0</v>
      </c>
      <c r="M29" s="122">
        <f>J29+K29-L29</f>
        <v>798.70124266300013</v>
      </c>
      <c r="N29" s="122">
        <f t="shared" si="17"/>
        <v>4425.3734221150007</v>
      </c>
      <c r="O29" s="122">
        <f t="shared" si="18"/>
        <v>4168.4153473390006</v>
      </c>
    </row>
    <row r="30" spans="2:17" ht="15" x14ac:dyDescent="0.2">
      <c r="B30" s="208">
        <v>5</v>
      </c>
      <c r="C30" s="71" t="s">
        <v>502</v>
      </c>
      <c r="D30" s="66">
        <v>1400</v>
      </c>
      <c r="E30" s="209">
        <v>5.28E-2</v>
      </c>
      <c r="F30" s="122">
        <f t="shared" si="14"/>
        <v>19.96</v>
      </c>
      <c r="G30" s="69">
        <v>97.42</v>
      </c>
      <c r="H30" s="68"/>
      <c r="I30" s="122">
        <f>F30+G30-H30</f>
        <v>117.38</v>
      </c>
      <c r="J30" s="68">
        <f t="shared" si="15"/>
        <v>0.89760000000000006</v>
      </c>
      <c r="K30" s="123">
        <v>11.052331484999954</v>
      </c>
      <c r="L30" s="68">
        <v>0</v>
      </c>
      <c r="M30" s="122">
        <f>J30+K30-L30</f>
        <v>11.949931484999954</v>
      </c>
      <c r="N30" s="122">
        <f>F30-J30</f>
        <v>19.0624</v>
      </c>
      <c r="O30" s="122">
        <f>I30-M30</f>
        <v>105.43006851500004</v>
      </c>
    </row>
    <row r="31" spans="2:17" ht="15" x14ac:dyDescent="0.2">
      <c r="B31" s="208">
        <v>6</v>
      </c>
      <c r="C31" s="65" t="s">
        <v>503</v>
      </c>
      <c r="D31" s="66">
        <v>1500</v>
      </c>
      <c r="E31" s="67">
        <v>5.28E-2</v>
      </c>
      <c r="F31" s="122">
        <f t="shared" si="14"/>
        <v>816.81525275699994</v>
      </c>
      <c r="G31" s="69">
        <v>0</v>
      </c>
      <c r="H31" s="68"/>
      <c r="I31" s="122">
        <f>F31+G31-H31</f>
        <v>816.81525275699994</v>
      </c>
      <c r="J31" s="68">
        <f t="shared" si="15"/>
        <v>100.228842132</v>
      </c>
      <c r="K31" s="123">
        <v>43.127845344999997</v>
      </c>
      <c r="L31" s="68">
        <v>0</v>
      </c>
      <c r="M31" s="122">
        <f t="shared" ref="M31:M33" si="20">J31+K31-L31</f>
        <v>143.35668747699998</v>
      </c>
      <c r="N31" s="122">
        <f t="shared" ref="N31:N33" si="21">F31-J31</f>
        <v>716.58641062499998</v>
      </c>
      <c r="O31" s="122">
        <f t="shared" ref="O31:O33" si="22">I31-M31</f>
        <v>673.4585652799999</v>
      </c>
    </row>
    <row r="32" spans="2:17" ht="15" x14ac:dyDescent="0.2">
      <c r="B32" s="208">
        <v>7</v>
      </c>
      <c r="C32" s="71" t="s">
        <v>504</v>
      </c>
      <c r="D32" s="66">
        <v>1600</v>
      </c>
      <c r="E32" s="67">
        <v>3.3399999999999999E-2</v>
      </c>
      <c r="F32" s="122">
        <f t="shared" si="14"/>
        <v>47.380311109999994</v>
      </c>
      <c r="G32" s="69">
        <v>5.5454368479999996</v>
      </c>
      <c r="H32" s="68"/>
      <c r="I32" s="122">
        <f t="shared" ref="I32:I33" si="23">F32+G32-H32</f>
        <v>52.925747957999995</v>
      </c>
      <c r="J32" s="68">
        <f t="shared" si="15"/>
        <v>2.1438504900000002</v>
      </c>
      <c r="K32" s="123">
        <v>1.582502391</v>
      </c>
      <c r="L32" s="68">
        <v>0</v>
      </c>
      <c r="M32" s="122">
        <f t="shared" si="20"/>
        <v>3.7263528810000004</v>
      </c>
      <c r="N32" s="122">
        <f t="shared" si="21"/>
        <v>45.236460619999995</v>
      </c>
      <c r="O32" s="122">
        <f t="shared" si="22"/>
        <v>49.199395076999991</v>
      </c>
    </row>
    <row r="33" spans="2:17" ht="15" x14ac:dyDescent="0.2">
      <c r="B33" s="208">
        <v>8</v>
      </c>
      <c r="C33" s="71" t="s">
        <v>132</v>
      </c>
      <c r="D33" s="66">
        <v>1700</v>
      </c>
      <c r="E33" s="72">
        <v>9.5000000000000001E-2</v>
      </c>
      <c r="F33" s="122">
        <f t="shared" si="14"/>
        <v>0.64517810799999997</v>
      </c>
      <c r="G33" s="69">
        <v>77.56</v>
      </c>
      <c r="H33" s="70"/>
      <c r="I33" s="122">
        <f t="shared" si="23"/>
        <v>78.205178107999998</v>
      </c>
      <c r="J33" s="68">
        <f t="shared" si="15"/>
        <v>7.0561969000000002E-2</v>
      </c>
      <c r="K33" s="123">
        <v>5.4198586999999999E-2</v>
      </c>
      <c r="L33" s="68">
        <v>0</v>
      </c>
      <c r="M33" s="122">
        <f t="shared" si="20"/>
        <v>0.12476055599999999</v>
      </c>
      <c r="N33" s="122">
        <f t="shared" si="21"/>
        <v>0.57461613899999997</v>
      </c>
      <c r="O33" s="122">
        <f t="shared" si="22"/>
        <v>78.080417552</v>
      </c>
    </row>
    <row r="34" spans="2:17" ht="15" x14ac:dyDescent="0.2">
      <c r="B34" s="208">
        <v>9</v>
      </c>
      <c r="C34" s="71" t="s">
        <v>505</v>
      </c>
      <c r="D34" s="66">
        <v>1800</v>
      </c>
      <c r="E34" s="209">
        <v>6.3299999999999995E-2</v>
      </c>
      <c r="F34" s="122">
        <f t="shared" si="14"/>
        <v>1.1846070449999999</v>
      </c>
      <c r="G34" s="69">
        <v>0</v>
      </c>
      <c r="H34" s="68"/>
      <c r="I34" s="122">
        <f>F34+G34-H34</f>
        <v>1.1846070449999999</v>
      </c>
      <c r="J34" s="68">
        <f t="shared" si="15"/>
        <v>0.16880011700000003</v>
      </c>
      <c r="K34" s="123">
        <v>1.0778314000000001E-2</v>
      </c>
      <c r="L34" s="68">
        <v>0</v>
      </c>
      <c r="M34" s="122">
        <f>J34+K34-L34</f>
        <v>0.17957843100000004</v>
      </c>
      <c r="N34" s="122">
        <f>F34-J34</f>
        <v>1.0158069279999999</v>
      </c>
      <c r="O34" s="122">
        <f>I34-M34</f>
        <v>1.005028614</v>
      </c>
    </row>
    <row r="35" spans="2:17" ht="15" x14ac:dyDescent="0.2">
      <c r="B35" s="208">
        <v>10</v>
      </c>
      <c r="C35" s="65" t="s">
        <v>506</v>
      </c>
      <c r="D35" s="66">
        <v>1900</v>
      </c>
      <c r="E35" s="67">
        <v>0.15</v>
      </c>
      <c r="F35" s="122">
        <f t="shared" si="14"/>
        <v>0.72802733899999994</v>
      </c>
      <c r="G35" s="69">
        <v>6.4964488000000001E-2</v>
      </c>
      <c r="H35" s="68"/>
      <c r="I35" s="122">
        <f>F35+G35-H35</f>
        <v>0.79299182699999993</v>
      </c>
      <c r="J35" s="68">
        <f>M18</f>
        <v>0.24509278300000001</v>
      </c>
      <c r="K35" s="123">
        <v>0.102310083</v>
      </c>
      <c r="L35" s="68">
        <v>0</v>
      </c>
      <c r="M35" s="122">
        <f t="shared" ref="M35:M37" si="24">J35+K35-L35</f>
        <v>0.34740286600000003</v>
      </c>
      <c r="N35" s="122">
        <f t="shared" ref="N35:N37" si="25">F35-J35</f>
        <v>0.4829345559999999</v>
      </c>
      <c r="O35" s="122">
        <f t="shared" ref="O35:O37" si="26">I35-M35</f>
        <v>0.44558896099999989</v>
      </c>
    </row>
    <row r="36" spans="2:17" ht="15" x14ac:dyDescent="0.2">
      <c r="B36" s="208">
        <v>11</v>
      </c>
      <c r="C36" s="71" t="s">
        <v>134</v>
      </c>
      <c r="D36" s="66">
        <v>2100</v>
      </c>
      <c r="E36" s="67">
        <v>6.3299999999999995E-2</v>
      </c>
      <c r="F36" s="122">
        <f t="shared" si="14"/>
        <v>0.27647814399999998</v>
      </c>
      <c r="G36" s="69">
        <v>0.22302</v>
      </c>
      <c r="H36" s="68"/>
      <c r="I36" s="122">
        <f t="shared" ref="I36:I37" si="27">F36+G36-H36</f>
        <v>0.49949814399999998</v>
      </c>
      <c r="J36" s="68">
        <f t="shared" si="15"/>
        <v>0.11567182600000001</v>
      </c>
      <c r="K36" s="123">
        <v>2.026522E-2</v>
      </c>
      <c r="L36" s="68">
        <v>0</v>
      </c>
      <c r="M36" s="122">
        <f t="shared" si="24"/>
        <v>0.13593704600000001</v>
      </c>
      <c r="N36" s="122">
        <f t="shared" si="25"/>
        <v>0.16080631799999998</v>
      </c>
      <c r="O36" s="122">
        <f t="shared" si="26"/>
        <v>0.36356109799999997</v>
      </c>
    </row>
    <row r="37" spans="2:17" ht="15" x14ac:dyDescent="0.2">
      <c r="B37" s="208"/>
      <c r="C37" s="71"/>
      <c r="D37" s="66"/>
      <c r="E37" s="72"/>
      <c r="F37" s="122">
        <f t="shared" si="14"/>
        <v>0</v>
      </c>
      <c r="G37" s="69">
        <v>9.1428999999999996E-2</v>
      </c>
      <c r="H37" s="70"/>
      <c r="I37" s="122">
        <f t="shared" si="27"/>
        <v>9.1428999999999996E-2</v>
      </c>
      <c r="J37" s="68">
        <f t="shared" si="15"/>
        <v>0</v>
      </c>
      <c r="K37" s="123">
        <v>0</v>
      </c>
      <c r="L37" s="68">
        <v>0</v>
      </c>
      <c r="M37" s="122">
        <f t="shared" si="24"/>
        <v>0</v>
      </c>
      <c r="N37" s="122">
        <f t="shared" si="25"/>
        <v>0</v>
      </c>
      <c r="O37" s="122">
        <f t="shared" si="26"/>
        <v>9.1428999999999996E-2</v>
      </c>
      <c r="Q37" s="243"/>
    </row>
    <row r="38" spans="2:17" ht="15" x14ac:dyDescent="0.2">
      <c r="B38" s="208"/>
      <c r="C38" s="66" t="s">
        <v>139</v>
      </c>
      <c r="D38" s="66"/>
      <c r="E38" s="210">
        <f>IFERROR((K38-L38)/AVERAGE(F38,I38),0)</f>
        <v>5.0577150710156213E-2</v>
      </c>
      <c r="F38" s="123">
        <f>I21</f>
        <v>7259.1215476710004</v>
      </c>
      <c r="G38" s="123">
        <f>'F3'!H12</f>
        <v>186.16</v>
      </c>
      <c r="H38" s="123">
        <f t="shared" ref="H38" si="28">SUM(H26:H37)</f>
        <v>0</v>
      </c>
      <c r="I38" s="123">
        <f>F38+G38</f>
        <v>7445.2815476710002</v>
      </c>
      <c r="J38" s="123">
        <f>M21</f>
        <v>761.66063824600008</v>
      </c>
      <c r="K38" s="123">
        <v>371.85340572799993</v>
      </c>
      <c r="L38" s="123">
        <f t="shared" ref="L38" si="29">SUM(L26:L37)</f>
        <v>0</v>
      </c>
      <c r="M38" s="123">
        <v>1133.5140439740001</v>
      </c>
      <c r="N38" s="123">
        <v>6497.460909425</v>
      </c>
      <c r="O38" s="123">
        <v>6311.7675036970004</v>
      </c>
      <c r="Q38" s="243"/>
    </row>
    <row r="39" spans="2:17" ht="15" thickBot="1" x14ac:dyDescent="0.25">
      <c r="F39" s="243">
        <f>SUM(F26:F37)</f>
        <v>7259.1215476710004</v>
      </c>
      <c r="G39" s="243">
        <f t="shared" ref="G39:O39" si="30">SUM(G26:G37)</f>
        <v>186.15765087999998</v>
      </c>
      <c r="H39" s="243">
        <f t="shared" si="30"/>
        <v>0</v>
      </c>
      <c r="I39" s="243">
        <f t="shared" si="30"/>
        <v>7445.2791985510012</v>
      </c>
      <c r="J39" s="243">
        <f t="shared" si="30"/>
        <v>761.66063824600008</v>
      </c>
      <c r="K39" s="243">
        <f t="shared" si="30"/>
        <v>371.85340572799993</v>
      </c>
      <c r="L39" s="243">
        <f t="shared" si="30"/>
        <v>0</v>
      </c>
      <c r="M39" s="243">
        <f t="shared" si="30"/>
        <v>1133.5140439739998</v>
      </c>
      <c r="N39" s="243">
        <f t="shared" si="30"/>
        <v>6497.460909425</v>
      </c>
      <c r="O39" s="243">
        <f t="shared" si="30"/>
        <v>6311.7651545770004</v>
      </c>
    </row>
    <row r="40" spans="2:17" ht="15" x14ac:dyDescent="0.2">
      <c r="B40" s="330" t="s">
        <v>486</v>
      </c>
      <c r="C40" s="331"/>
      <c r="D40" s="331"/>
      <c r="E40" s="331"/>
      <c r="F40" s="331"/>
      <c r="G40" s="331"/>
      <c r="H40" s="331"/>
      <c r="I40" s="331"/>
      <c r="J40" s="331"/>
      <c r="K40" s="331"/>
      <c r="L40" s="331"/>
      <c r="M40" s="331"/>
      <c r="N40" s="331"/>
      <c r="O40" s="332"/>
    </row>
    <row r="41" spans="2:17" ht="15" x14ac:dyDescent="0.2">
      <c r="B41" s="335" t="s">
        <v>2</v>
      </c>
      <c r="C41" s="337" t="s">
        <v>303</v>
      </c>
      <c r="D41" s="333" t="s">
        <v>291</v>
      </c>
      <c r="E41" s="333" t="s">
        <v>292</v>
      </c>
      <c r="F41" s="333" t="s">
        <v>293</v>
      </c>
      <c r="G41" s="333"/>
      <c r="H41" s="333"/>
      <c r="I41" s="333"/>
      <c r="J41" s="333" t="s">
        <v>294</v>
      </c>
      <c r="K41" s="333"/>
      <c r="L41" s="333"/>
      <c r="M41" s="333"/>
      <c r="N41" s="333" t="s">
        <v>295</v>
      </c>
      <c r="O41" s="334"/>
    </row>
    <row r="42" spans="2:17" ht="60" x14ac:dyDescent="0.2">
      <c r="B42" s="336"/>
      <c r="C42" s="338"/>
      <c r="D42" s="339"/>
      <c r="E42" s="339"/>
      <c r="F42" s="206" t="s">
        <v>296</v>
      </c>
      <c r="G42" s="206" t="s">
        <v>138</v>
      </c>
      <c r="H42" s="206" t="s">
        <v>297</v>
      </c>
      <c r="I42" s="206" t="s">
        <v>298</v>
      </c>
      <c r="J42" s="206" t="s">
        <v>299</v>
      </c>
      <c r="K42" s="206" t="s">
        <v>138</v>
      </c>
      <c r="L42" s="206" t="s">
        <v>300</v>
      </c>
      <c r="M42" s="206" t="s">
        <v>301</v>
      </c>
      <c r="N42" s="206" t="s">
        <v>296</v>
      </c>
      <c r="O42" s="207" t="s">
        <v>298</v>
      </c>
    </row>
    <row r="43" spans="2:17" ht="15" x14ac:dyDescent="0.2">
      <c r="B43" s="208">
        <v>1</v>
      </c>
      <c r="C43" s="71" t="s">
        <v>500</v>
      </c>
      <c r="D43" s="66">
        <v>1000</v>
      </c>
      <c r="E43" s="209">
        <v>0</v>
      </c>
      <c r="F43" s="122">
        <f t="shared" ref="F43:F54" si="31">I26</f>
        <v>122.76735859999999</v>
      </c>
      <c r="G43" s="69">
        <v>0</v>
      </c>
      <c r="H43" s="68"/>
      <c r="I43" s="122">
        <f>F43+G43-H43+0.02</f>
        <v>122.78735859999999</v>
      </c>
      <c r="J43" s="68">
        <f>M26</f>
        <v>0</v>
      </c>
      <c r="K43" s="123">
        <v>0</v>
      </c>
      <c r="L43" s="68"/>
      <c r="M43" s="122">
        <f>J43+K43-L43</f>
        <v>0</v>
      </c>
      <c r="N43" s="122">
        <f>F43-J43</f>
        <v>122.76735859999999</v>
      </c>
      <c r="O43" s="122">
        <f>I43-M43</f>
        <v>122.78735859999999</v>
      </c>
    </row>
    <row r="44" spans="2:17" ht="15" x14ac:dyDescent="0.2">
      <c r="B44" s="208">
        <v>2</v>
      </c>
      <c r="C44" s="65" t="s">
        <v>128</v>
      </c>
      <c r="D44" s="66">
        <v>1100</v>
      </c>
      <c r="E44" s="67">
        <v>2.975714285714286E-2</v>
      </c>
      <c r="F44" s="122">
        <f t="shared" si="31"/>
        <v>627.290287853</v>
      </c>
      <c r="G44" s="69">
        <v>0</v>
      </c>
      <c r="H44" s="68"/>
      <c r="I44" s="122">
        <f>F44+G44-H44</f>
        <v>627.290287853</v>
      </c>
      <c r="J44" s="68">
        <f t="shared" ref="J44:J54" si="32">M27</f>
        <v>79.719053341999995</v>
      </c>
      <c r="K44" s="123">
        <v>16.79973003768599</v>
      </c>
      <c r="L44" s="68"/>
      <c r="M44" s="122">
        <f t="shared" ref="M44:M46" si="33">J44+K44-L44</f>
        <v>96.518783379685985</v>
      </c>
      <c r="N44" s="122">
        <f t="shared" ref="N44:N46" si="34">F44-J44</f>
        <v>547.57123451100006</v>
      </c>
      <c r="O44" s="122">
        <f t="shared" ref="O44:O46" si="35">I44-M44</f>
        <v>530.77150447331405</v>
      </c>
    </row>
    <row r="45" spans="2:17" ht="15" x14ac:dyDescent="0.2">
      <c r="B45" s="208">
        <v>3</v>
      </c>
      <c r="C45" s="71" t="s">
        <v>525</v>
      </c>
      <c r="D45" s="66">
        <v>1200</v>
      </c>
      <c r="E45" s="67">
        <v>3.4539130434782607E-2</v>
      </c>
      <c r="F45" s="122">
        <f t="shared" si="31"/>
        <v>660.21025725699997</v>
      </c>
      <c r="G45" s="69">
        <v>0</v>
      </c>
      <c r="H45" s="68"/>
      <c r="I45" s="122">
        <f t="shared" ref="I45:I46" si="36">F45+G45-H45</f>
        <v>660.21025725699997</v>
      </c>
      <c r="J45" s="68">
        <f t="shared" si="32"/>
        <v>95.273097226999994</v>
      </c>
      <c r="K45" s="123">
        <v>20.465806367457674</v>
      </c>
      <c r="L45" s="68"/>
      <c r="M45" s="122">
        <f t="shared" si="33"/>
        <v>115.73890359445767</v>
      </c>
      <c r="N45" s="122">
        <f t="shared" si="34"/>
        <v>564.93716002999997</v>
      </c>
      <c r="O45" s="122">
        <f t="shared" si="35"/>
        <v>544.47135366254224</v>
      </c>
    </row>
    <row r="46" spans="2:17" ht="15" x14ac:dyDescent="0.2">
      <c r="B46" s="208">
        <v>4</v>
      </c>
      <c r="C46" s="143" t="s">
        <v>127</v>
      </c>
      <c r="D46" s="66">
        <v>1300</v>
      </c>
      <c r="E46" s="72">
        <v>3.4539130434782607E-2</v>
      </c>
      <c r="F46" s="122">
        <f t="shared" si="31"/>
        <v>4967.1165900020005</v>
      </c>
      <c r="G46" s="69">
        <v>1320.5982441758022</v>
      </c>
      <c r="H46" s="70"/>
      <c r="I46" s="122">
        <f t="shared" si="36"/>
        <v>6287.7148341778029</v>
      </c>
      <c r="J46" s="68">
        <f t="shared" si="32"/>
        <v>798.70124266300013</v>
      </c>
      <c r="K46" s="123">
        <v>176.56915516508457</v>
      </c>
      <c r="L46" s="68"/>
      <c r="M46" s="122">
        <f t="shared" si="33"/>
        <v>975.2703978280847</v>
      </c>
      <c r="N46" s="122">
        <f t="shared" si="34"/>
        <v>4168.4153473390006</v>
      </c>
      <c r="O46" s="122">
        <f t="shared" si="35"/>
        <v>5312.4444363497187</v>
      </c>
    </row>
    <row r="47" spans="2:17" ht="15" x14ac:dyDescent="0.2">
      <c r="B47" s="208">
        <v>5</v>
      </c>
      <c r="C47" s="143" t="s">
        <v>502</v>
      </c>
      <c r="D47" s="66">
        <v>1400</v>
      </c>
      <c r="E47" s="209">
        <v>3.4539130434782607E-2</v>
      </c>
      <c r="F47" s="122">
        <f t="shared" si="31"/>
        <v>117.38</v>
      </c>
      <c r="G47" s="69">
        <v>0</v>
      </c>
      <c r="H47" s="68"/>
      <c r="I47" s="122">
        <f>F47+G47-H47</f>
        <v>117.38</v>
      </c>
      <c r="J47" s="68">
        <f t="shared" si="32"/>
        <v>11.949931484999954</v>
      </c>
      <c r="K47" s="123">
        <v>0.62046093913043487</v>
      </c>
      <c r="L47" s="68"/>
      <c r="M47" s="122">
        <f>J47+K47-L47</f>
        <v>12.570392424130389</v>
      </c>
      <c r="N47" s="122">
        <f>F47-J47</f>
        <v>105.43006851500004</v>
      </c>
      <c r="O47" s="122">
        <f>I47-M47</f>
        <v>104.80960757586961</v>
      </c>
    </row>
    <row r="48" spans="2:17" ht="15" x14ac:dyDescent="0.2">
      <c r="B48" s="208">
        <v>6</v>
      </c>
      <c r="C48" s="143" t="s">
        <v>503</v>
      </c>
      <c r="D48" s="66">
        <v>1500</v>
      </c>
      <c r="E48" s="67">
        <v>3.4539130434782607E-2</v>
      </c>
      <c r="F48" s="122">
        <f t="shared" si="31"/>
        <v>816.81525275699994</v>
      </c>
      <c r="G48" s="69">
        <v>0</v>
      </c>
      <c r="H48" s="68"/>
      <c r="I48" s="122">
        <f>F48+G48-H48</f>
        <v>816.81525275699994</v>
      </c>
      <c r="J48" s="68">
        <f t="shared" si="32"/>
        <v>143.35668747699998</v>
      </c>
      <c r="K48" s="123">
        <v>25.390879700484554</v>
      </c>
      <c r="L48" s="68"/>
      <c r="M48" s="122">
        <f t="shared" ref="M48:M50" si="37">J48+K48-L48</f>
        <v>168.74756717748454</v>
      </c>
      <c r="N48" s="122">
        <f t="shared" ref="N48:N50" si="38">F48-J48</f>
        <v>673.4585652799999</v>
      </c>
      <c r="O48" s="122">
        <f t="shared" ref="O48:O50" si="39">I48-M48</f>
        <v>648.06768557951546</v>
      </c>
    </row>
    <row r="49" spans="2:17" ht="15" x14ac:dyDescent="0.2">
      <c r="B49" s="208">
        <v>7</v>
      </c>
      <c r="C49" s="143" t="s">
        <v>504</v>
      </c>
      <c r="D49" s="66">
        <v>1600</v>
      </c>
      <c r="E49" s="67">
        <v>2.975714285714286E-2</v>
      </c>
      <c r="F49" s="122">
        <f t="shared" si="31"/>
        <v>52.925747957999995</v>
      </c>
      <c r="G49" s="69">
        <v>0</v>
      </c>
      <c r="H49" s="68"/>
      <c r="I49" s="122">
        <f t="shared" ref="I49:I50" si="40">F49+G49-H49</f>
        <v>52.925747957999995</v>
      </c>
      <c r="J49" s="68">
        <f t="shared" si="32"/>
        <v>3.7263528810000004</v>
      </c>
      <c r="K49" s="123">
        <v>1.2689124176845288</v>
      </c>
      <c r="L49" s="68"/>
      <c r="M49" s="122">
        <f t="shared" si="37"/>
        <v>4.9952652986845294</v>
      </c>
      <c r="N49" s="122">
        <f t="shared" si="38"/>
        <v>49.199395076999991</v>
      </c>
      <c r="O49" s="122">
        <f t="shared" si="39"/>
        <v>47.930482659315466</v>
      </c>
    </row>
    <row r="50" spans="2:17" ht="15" x14ac:dyDescent="0.2">
      <c r="B50" s="208">
        <v>8</v>
      </c>
      <c r="C50" s="143" t="s">
        <v>132</v>
      </c>
      <c r="D50" s="66">
        <v>1700</v>
      </c>
      <c r="E50" s="72">
        <v>0.23666666666666666</v>
      </c>
      <c r="F50" s="122">
        <f t="shared" si="31"/>
        <v>78.205178107999998</v>
      </c>
      <c r="G50" s="69">
        <v>0</v>
      </c>
      <c r="H50" s="70"/>
      <c r="I50" s="122">
        <f t="shared" si="40"/>
        <v>78.205178107999998</v>
      </c>
      <c r="J50" s="68">
        <f t="shared" si="32"/>
        <v>0.12476055599999999</v>
      </c>
      <c r="K50" s="123">
        <v>0.13742293700399999</v>
      </c>
      <c r="L50" s="68"/>
      <c r="M50" s="122">
        <f t="shared" si="37"/>
        <v>0.26218349300400001</v>
      </c>
      <c r="N50" s="122">
        <f t="shared" si="38"/>
        <v>78.080417552</v>
      </c>
      <c r="O50" s="122">
        <f t="shared" si="39"/>
        <v>77.942994614995996</v>
      </c>
    </row>
    <row r="51" spans="2:17" ht="15" x14ac:dyDescent="0.2">
      <c r="B51" s="208">
        <v>9</v>
      </c>
      <c r="C51" s="143" t="s">
        <v>505</v>
      </c>
      <c r="D51" s="66">
        <v>1800</v>
      </c>
      <c r="E51" s="209">
        <v>9.6675000000000011E-2</v>
      </c>
      <c r="F51" s="122">
        <f t="shared" si="31"/>
        <v>1.1846070449999999</v>
      </c>
      <c r="G51" s="69">
        <v>0</v>
      </c>
      <c r="H51" s="68"/>
      <c r="I51" s="122">
        <f>F51+G51-H51</f>
        <v>1.1846070449999999</v>
      </c>
      <c r="J51" s="68">
        <f t="shared" si="32"/>
        <v>0.17957843100000004</v>
      </c>
      <c r="K51" s="123">
        <v>0.10306969746783751</v>
      </c>
      <c r="L51" s="68"/>
      <c r="M51" s="122">
        <f>J51+K51-L51</f>
        <v>0.28264812846783754</v>
      </c>
      <c r="N51" s="122">
        <f>F51-J51</f>
        <v>1.005028614</v>
      </c>
      <c r="O51" s="122">
        <f>I51-M51</f>
        <v>0.90195891653216242</v>
      </c>
    </row>
    <row r="52" spans="2:17" ht="15" x14ac:dyDescent="0.2">
      <c r="B52" s="208">
        <v>10</v>
      </c>
      <c r="C52" s="143" t="s">
        <v>506</v>
      </c>
      <c r="D52" s="66">
        <v>1900</v>
      </c>
      <c r="E52" s="67">
        <v>0.23333333333333331</v>
      </c>
      <c r="F52" s="122">
        <f t="shared" si="31"/>
        <v>0.79299182699999993</v>
      </c>
      <c r="G52" s="69">
        <v>0</v>
      </c>
      <c r="H52" s="68"/>
      <c r="I52" s="122">
        <f>F52+G52-H52</f>
        <v>0.79299182699999993</v>
      </c>
      <c r="J52" s="68">
        <f t="shared" si="32"/>
        <v>0.34740286600000003</v>
      </c>
      <c r="K52" s="123">
        <v>0.16987304576666665</v>
      </c>
      <c r="L52" s="68"/>
      <c r="M52" s="122">
        <f t="shared" ref="M52:M54" si="41">J52+K52-L52</f>
        <v>0.51727591176666665</v>
      </c>
      <c r="N52" s="122">
        <f t="shared" ref="N52:N54" si="42">F52-J52</f>
        <v>0.44558896099999989</v>
      </c>
      <c r="O52" s="122">
        <f t="shared" ref="O52:O54" si="43">I52-M52</f>
        <v>0.27571591523333328</v>
      </c>
    </row>
    <row r="53" spans="2:17" ht="15" x14ac:dyDescent="0.2">
      <c r="B53" s="208">
        <v>11</v>
      </c>
      <c r="C53" s="143" t="s">
        <v>134</v>
      </c>
      <c r="D53" s="66">
        <v>2100</v>
      </c>
      <c r="E53" s="67">
        <v>9.6675000000000011E-2</v>
      </c>
      <c r="F53" s="122">
        <f t="shared" si="31"/>
        <v>0.49949814399999998</v>
      </c>
      <c r="G53" s="69">
        <v>0</v>
      </c>
      <c r="H53" s="68"/>
      <c r="I53" s="122">
        <f t="shared" ref="I53:I54" si="44">F53+G53-H53</f>
        <v>0.49949814399999998</v>
      </c>
      <c r="J53" s="68">
        <f t="shared" si="32"/>
        <v>0.13593704600000001</v>
      </c>
      <c r="K53" s="123">
        <v>2.4055672114080003E-2</v>
      </c>
      <c r="L53" s="68"/>
      <c r="M53" s="122">
        <f t="shared" si="41"/>
        <v>0.15999271811408</v>
      </c>
      <c r="N53" s="122">
        <f t="shared" si="42"/>
        <v>0.36356109799999997</v>
      </c>
      <c r="O53" s="122">
        <f t="shared" si="43"/>
        <v>0.33950542588591998</v>
      </c>
    </row>
    <row r="54" spans="2:17" ht="15" x14ac:dyDescent="0.2">
      <c r="B54" s="208"/>
      <c r="C54" s="143" t="s">
        <v>524</v>
      </c>
      <c r="D54" s="66">
        <v>0</v>
      </c>
      <c r="E54" s="72">
        <v>0.2</v>
      </c>
      <c r="F54" s="122">
        <f t="shared" si="31"/>
        <v>9.1428999999999996E-2</v>
      </c>
      <c r="G54" s="69">
        <v>5.0453458241977271</v>
      </c>
      <c r="H54" s="70"/>
      <c r="I54" s="122">
        <f t="shared" si="44"/>
        <v>5.1367748241977269</v>
      </c>
      <c r="J54" s="68">
        <f t="shared" si="32"/>
        <v>0</v>
      </c>
      <c r="K54" s="123">
        <v>0.50453458241977278</v>
      </c>
      <c r="L54" s="68"/>
      <c r="M54" s="122">
        <f t="shared" si="41"/>
        <v>0.50453458241977278</v>
      </c>
      <c r="N54" s="122">
        <f t="shared" si="42"/>
        <v>9.1428999999999996E-2</v>
      </c>
      <c r="O54" s="122">
        <f t="shared" si="43"/>
        <v>4.6322402417779545</v>
      </c>
    </row>
    <row r="55" spans="2:17" ht="15" x14ac:dyDescent="0.2">
      <c r="B55" s="208"/>
      <c r="C55" s="66" t="s">
        <v>139</v>
      </c>
      <c r="D55" s="66"/>
      <c r="E55" s="210">
        <f>IFERROR((K55-L55)/AVERAGE(F55,I55),0)</f>
        <v>2.9853331948598693E-2</v>
      </c>
      <c r="F55" s="123">
        <f>I38</f>
        <v>7445.2815476710002</v>
      </c>
      <c r="G55" s="123">
        <f>'F3'!I12</f>
        <v>1325.6435899999999</v>
      </c>
      <c r="H55" s="123">
        <f t="shared" ref="H55:L55" si="45">SUM(H43:H54)</f>
        <v>0</v>
      </c>
      <c r="I55" s="123">
        <f>F55+G55</f>
        <v>8770.9251376709999</v>
      </c>
      <c r="J55" s="123">
        <f>M38</f>
        <v>1133.5140439740001</v>
      </c>
      <c r="K55" s="156">
        <v>242.05390056230002</v>
      </c>
      <c r="L55" s="123">
        <f t="shared" si="45"/>
        <v>0</v>
      </c>
      <c r="M55" s="123">
        <f>J55+K55</f>
        <v>1375.5679445363</v>
      </c>
      <c r="N55" s="123">
        <f>F55-J55</f>
        <v>6311.7675036970004</v>
      </c>
      <c r="O55" s="123">
        <f>I55-M55</f>
        <v>7395.3571931346996</v>
      </c>
      <c r="P55" s="243"/>
      <c r="Q55" s="243"/>
    </row>
    <row r="56" spans="2:17" ht="15" thickBot="1" x14ac:dyDescent="0.25">
      <c r="F56" s="243"/>
      <c r="G56" s="243"/>
      <c r="H56" s="243"/>
      <c r="I56" s="243"/>
      <c r="J56" s="243"/>
      <c r="K56" s="243"/>
      <c r="L56" s="243"/>
      <c r="M56" s="243"/>
      <c r="N56" s="243"/>
      <c r="O56" s="243"/>
    </row>
    <row r="57" spans="2:17" ht="15" x14ac:dyDescent="0.2">
      <c r="B57" s="330" t="s">
        <v>487</v>
      </c>
      <c r="C57" s="331"/>
      <c r="D57" s="331"/>
      <c r="E57" s="331"/>
      <c r="F57" s="331"/>
      <c r="G57" s="331"/>
      <c r="H57" s="331"/>
      <c r="I57" s="331"/>
      <c r="J57" s="331"/>
      <c r="K57" s="331"/>
      <c r="L57" s="331"/>
      <c r="M57" s="331"/>
      <c r="N57" s="331"/>
      <c r="O57" s="332"/>
    </row>
    <row r="58" spans="2:17" ht="15" x14ac:dyDescent="0.2">
      <c r="B58" s="335" t="s">
        <v>2</v>
      </c>
      <c r="C58" s="337" t="s">
        <v>303</v>
      </c>
      <c r="D58" s="333" t="s">
        <v>291</v>
      </c>
      <c r="E58" s="333" t="s">
        <v>292</v>
      </c>
      <c r="F58" s="333" t="s">
        <v>293</v>
      </c>
      <c r="G58" s="333"/>
      <c r="H58" s="333"/>
      <c r="I58" s="333"/>
      <c r="J58" s="333" t="s">
        <v>294</v>
      </c>
      <c r="K58" s="333"/>
      <c r="L58" s="333"/>
      <c r="M58" s="333"/>
      <c r="N58" s="333" t="s">
        <v>295</v>
      </c>
      <c r="O58" s="334"/>
    </row>
    <row r="59" spans="2:17" ht="60" x14ac:dyDescent="0.2">
      <c r="B59" s="336"/>
      <c r="C59" s="338"/>
      <c r="D59" s="339"/>
      <c r="E59" s="339"/>
      <c r="F59" s="206" t="s">
        <v>296</v>
      </c>
      <c r="G59" s="206" t="s">
        <v>138</v>
      </c>
      <c r="H59" s="206" t="s">
        <v>297</v>
      </c>
      <c r="I59" s="206" t="s">
        <v>298</v>
      </c>
      <c r="J59" s="206" t="s">
        <v>299</v>
      </c>
      <c r="K59" s="206" t="s">
        <v>138</v>
      </c>
      <c r="L59" s="206" t="s">
        <v>300</v>
      </c>
      <c r="M59" s="206" t="s">
        <v>301</v>
      </c>
      <c r="N59" s="206" t="s">
        <v>296</v>
      </c>
      <c r="O59" s="207" t="s">
        <v>298</v>
      </c>
    </row>
    <row r="60" spans="2:17" ht="15" x14ac:dyDescent="0.2">
      <c r="B60" s="208">
        <v>1</v>
      </c>
      <c r="C60" s="71" t="s">
        <v>500</v>
      </c>
      <c r="D60" s="66">
        <v>1000</v>
      </c>
      <c r="E60" s="209">
        <v>0</v>
      </c>
      <c r="F60" s="122">
        <f t="shared" ref="F60:F71" si="46">I43</f>
        <v>122.78735859999999</v>
      </c>
      <c r="G60" s="69">
        <v>0</v>
      </c>
      <c r="H60" s="68"/>
      <c r="I60" s="122">
        <f>F60+G60-H60</f>
        <v>122.78735859999999</v>
      </c>
      <c r="J60" s="68">
        <f>M43</f>
        <v>0</v>
      </c>
      <c r="K60" s="156">
        <v>0</v>
      </c>
      <c r="L60" s="68"/>
      <c r="M60" s="122">
        <f>J60+K60-L60</f>
        <v>0</v>
      </c>
      <c r="N60" s="122">
        <f>F60-J60</f>
        <v>122.78735859999999</v>
      </c>
      <c r="O60" s="122">
        <f>I60-M60</f>
        <v>122.78735859999999</v>
      </c>
    </row>
    <row r="61" spans="2:17" ht="15" x14ac:dyDescent="0.2">
      <c r="B61" s="208">
        <v>2</v>
      </c>
      <c r="C61" s="65" t="s">
        <v>128</v>
      </c>
      <c r="D61" s="66">
        <v>1100</v>
      </c>
      <c r="E61" s="67">
        <v>2.975714285714286E-2</v>
      </c>
      <c r="F61" s="122">
        <f t="shared" si="46"/>
        <v>627.290287853</v>
      </c>
      <c r="G61" s="69">
        <v>0</v>
      </c>
      <c r="H61" s="68"/>
      <c r="I61" s="122">
        <f>F61+G61-H61</f>
        <v>627.290287853</v>
      </c>
      <c r="J61" s="68">
        <f t="shared" ref="J61:J71" si="47">M44</f>
        <v>96.518783379685985</v>
      </c>
      <c r="K61" s="156">
        <v>16.79973003768599</v>
      </c>
      <c r="L61" s="68"/>
      <c r="M61" s="122">
        <f t="shared" ref="M61:M63" si="48">J61+K61-L61</f>
        <v>113.31851341737197</v>
      </c>
      <c r="N61" s="122">
        <f t="shared" ref="N61:N63" si="49">F61-J61</f>
        <v>530.77150447331405</v>
      </c>
      <c r="O61" s="122">
        <f t="shared" ref="O61:O63" si="50">I61-M61</f>
        <v>513.97177443562805</v>
      </c>
    </row>
    <row r="62" spans="2:17" ht="15" x14ac:dyDescent="0.2">
      <c r="B62" s="208">
        <v>3</v>
      </c>
      <c r="C62" s="71" t="s">
        <v>525</v>
      </c>
      <c r="D62" s="66">
        <v>1200</v>
      </c>
      <c r="E62" s="67">
        <v>3.4539130434782607E-2</v>
      </c>
      <c r="F62" s="122">
        <f t="shared" si="46"/>
        <v>660.21025725699997</v>
      </c>
      <c r="G62" s="69">
        <v>0</v>
      </c>
      <c r="H62" s="68"/>
      <c r="I62" s="122">
        <f t="shared" ref="I62:I63" si="51">F62+G62-H62</f>
        <v>660.21025725699997</v>
      </c>
      <c r="J62" s="68">
        <f t="shared" si="47"/>
        <v>115.73890359445767</v>
      </c>
      <c r="K62" s="156">
        <v>20.465806367457674</v>
      </c>
      <c r="L62" s="68"/>
      <c r="M62" s="122">
        <f t="shared" si="48"/>
        <v>136.20470996191534</v>
      </c>
      <c r="N62" s="122">
        <f t="shared" si="49"/>
        <v>544.47135366254224</v>
      </c>
      <c r="O62" s="122">
        <f t="shared" si="50"/>
        <v>524.00554729508463</v>
      </c>
    </row>
    <row r="63" spans="2:17" ht="15" x14ac:dyDescent="0.2">
      <c r="B63" s="208">
        <v>4</v>
      </c>
      <c r="C63" s="143" t="s">
        <v>127</v>
      </c>
      <c r="D63" s="66">
        <v>1300</v>
      </c>
      <c r="E63" s="72">
        <v>3.4539130434782607E-2</v>
      </c>
      <c r="F63" s="122">
        <f t="shared" si="46"/>
        <v>6287.7148341778029</v>
      </c>
      <c r="G63" s="69">
        <v>1200.6500000000001</v>
      </c>
      <c r="H63" s="70"/>
      <c r="I63" s="122">
        <f t="shared" si="51"/>
        <v>7488.3648341778025</v>
      </c>
      <c r="J63" s="68">
        <f t="shared" si="47"/>
        <v>975.2703978280847</v>
      </c>
      <c r="K63" s="156">
        <v>230.29534785539192</v>
      </c>
      <c r="L63" s="68"/>
      <c r="M63" s="122">
        <f t="shared" si="48"/>
        <v>1205.5657456834765</v>
      </c>
      <c r="N63" s="122">
        <f t="shared" si="49"/>
        <v>5312.4444363497187</v>
      </c>
      <c r="O63" s="122">
        <f t="shared" si="50"/>
        <v>6282.7990884943265</v>
      </c>
    </row>
    <row r="64" spans="2:17" ht="15" x14ac:dyDescent="0.2">
      <c r="B64" s="208">
        <v>5</v>
      </c>
      <c r="C64" s="143" t="s">
        <v>502</v>
      </c>
      <c r="D64" s="66">
        <v>1400</v>
      </c>
      <c r="E64" s="209">
        <v>3.4539130434782607E-2</v>
      </c>
      <c r="F64" s="122">
        <f t="shared" si="46"/>
        <v>117.38</v>
      </c>
      <c r="G64" s="69">
        <v>0</v>
      </c>
      <c r="H64" s="68"/>
      <c r="I64" s="122">
        <f>F64+G64-H64</f>
        <v>117.38</v>
      </c>
      <c r="J64" s="68">
        <f t="shared" si="47"/>
        <v>12.570392424130389</v>
      </c>
      <c r="K64" s="156">
        <v>0.62046093913043487</v>
      </c>
      <c r="L64" s="68"/>
      <c r="M64" s="122">
        <f>J64+K64-L64</f>
        <v>13.190853363260825</v>
      </c>
      <c r="N64" s="122">
        <f>F64-J64</f>
        <v>104.80960757586961</v>
      </c>
      <c r="O64" s="122">
        <f>I64-M64</f>
        <v>104.18914663673917</v>
      </c>
    </row>
    <row r="65" spans="2:17" ht="15" x14ac:dyDescent="0.2">
      <c r="B65" s="208">
        <v>6</v>
      </c>
      <c r="C65" s="143" t="s">
        <v>503</v>
      </c>
      <c r="D65" s="66">
        <v>1500</v>
      </c>
      <c r="E65" s="67">
        <v>3.4539130434782607E-2</v>
      </c>
      <c r="F65" s="122">
        <f t="shared" si="46"/>
        <v>816.81525275699994</v>
      </c>
      <c r="G65" s="69">
        <v>0</v>
      </c>
      <c r="H65" s="68"/>
      <c r="I65" s="122">
        <f>F65+G65-H65</f>
        <v>816.81525275699994</v>
      </c>
      <c r="J65" s="68">
        <f t="shared" si="47"/>
        <v>168.74756717748454</v>
      </c>
      <c r="K65" s="156">
        <v>25.390879700484554</v>
      </c>
      <c r="L65" s="68"/>
      <c r="M65" s="122">
        <f t="shared" ref="M65:M67" si="52">J65+K65-L65</f>
        <v>194.1384468779691</v>
      </c>
      <c r="N65" s="122">
        <f t="shared" ref="N65:N67" si="53">F65-J65</f>
        <v>648.06768557951546</v>
      </c>
      <c r="O65" s="122">
        <f t="shared" ref="O65:O67" si="54">I65-M65</f>
        <v>622.67680587903078</v>
      </c>
    </row>
    <row r="66" spans="2:17" ht="15" x14ac:dyDescent="0.2">
      <c r="B66" s="208">
        <v>7</v>
      </c>
      <c r="C66" s="143" t="s">
        <v>504</v>
      </c>
      <c r="D66" s="66">
        <v>1600</v>
      </c>
      <c r="E66" s="67">
        <v>2.975714285714286E-2</v>
      </c>
      <c r="F66" s="122">
        <f t="shared" si="46"/>
        <v>52.925747957999995</v>
      </c>
      <c r="G66" s="69">
        <v>0</v>
      </c>
      <c r="H66" s="68"/>
      <c r="I66" s="122">
        <f t="shared" ref="I66:I67" si="55">F66+G66-H66</f>
        <v>52.925747957999995</v>
      </c>
      <c r="J66" s="68">
        <f t="shared" si="47"/>
        <v>4.9952652986845294</v>
      </c>
      <c r="K66" s="156">
        <v>1.2689124176845288</v>
      </c>
      <c r="L66" s="68"/>
      <c r="M66" s="122">
        <f t="shared" si="52"/>
        <v>6.2641777163690584</v>
      </c>
      <c r="N66" s="122">
        <f t="shared" si="53"/>
        <v>47.930482659315466</v>
      </c>
      <c r="O66" s="122">
        <f t="shared" si="54"/>
        <v>46.66157024163094</v>
      </c>
    </row>
    <row r="67" spans="2:17" ht="15" x14ac:dyDescent="0.2">
      <c r="B67" s="208">
        <v>8</v>
      </c>
      <c r="C67" s="143" t="s">
        <v>132</v>
      </c>
      <c r="D67" s="66">
        <v>1700</v>
      </c>
      <c r="E67" s="72">
        <v>0.23666666666666666</v>
      </c>
      <c r="F67" s="122">
        <f t="shared" si="46"/>
        <v>78.205178107999998</v>
      </c>
      <c r="G67" s="69">
        <v>0</v>
      </c>
      <c r="H67" s="70"/>
      <c r="I67" s="122">
        <f t="shared" si="55"/>
        <v>78.205178107999998</v>
      </c>
      <c r="J67" s="68">
        <f t="shared" si="47"/>
        <v>0.26218349300400001</v>
      </c>
      <c r="K67" s="156">
        <v>0.13742293700399999</v>
      </c>
      <c r="L67" s="68"/>
      <c r="M67" s="122">
        <f t="shared" si="52"/>
        <v>0.399606430008</v>
      </c>
      <c r="N67" s="122">
        <f t="shared" si="53"/>
        <v>77.942994614995996</v>
      </c>
      <c r="O67" s="122">
        <f t="shared" si="54"/>
        <v>77.805571677991992</v>
      </c>
    </row>
    <row r="68" spans="2:17" ht="15" x14ac:dyDescent="0.2">
      <c r="B68" s="208">
        <v>9</v>
      </c>
      <c r="C68" s="143" t="s">
        <v>505</v>
      </c>
      <c r="D68" s="66">
        <v>1800</v>
      </c>
      <c r="E68" s="209">
        <v>9.6675000000000011E-2</v>
      </c>
      <c r="F68" s="122">
        <f t="shared" si="46"/>
        <v>1.1846070449999999</v>
      </c>
      <c r="G68" s="69">
        <v>0</v>
      </c>
      <c r="H68" s="68"/>
      <c r="I68" s="122">
        <f>F68+G68-H68</f>
        <v>1.1846070449999999</v>
      </c>
      <c r="J68" s="68">
        <f t="shared" si="47"/>
        <v>0.28264812846783754</v>
      </c>
      <c r="K68" s="156">
        <v>0.10306969746783751</v>
      </c>
      <c r="L68" s="68"/>
      <c r="M68" s="122">
        <f>J68+K68-L68</f>
        <v>0.38571782593567505</v>
      </c>
      <c r="N68" s="122">
        <f>F68-J68</f>
        <v>0.90195891653216242</v>
      </c>
      <c r="O68" s="122">
        <f>I68-M68</f>
        <v>0.79888921906432486</v>
      </c>
    </row>
    <row r="69" spans="2:17" ht="15" x14ac:dyDescent="0.2">
      <c r="B69" s="208">
        <v>10</v>
      </c>
      <c r="C69" s="143" t="s">
        <v>506</v>
      </c>
      <c r="D69" s="66">
        <v>1900</v>
      </c>
      <c r="E69" s="67">
        <v>0.23333333333333331</v>
      </c>
      <c r="F69" s="122">
        <f t="shared" si="46"/>
        <v>0.79299182699999993</v>
      </c>
      <c r="G69" s="69">
        <v>0</v>
      </c>
      <c r="H69" s="68"/>
      <c r="I69" s="122">
        <f>F69+G69-H69</f>
        <v>0.79299182699999993</v>
      </c>
      <c r="J69" s="68">
        <f t="shared" si="47"/>
        <v>0.51727591176666665</v>
      </c>
      <c r="K69" s="156">
        <v>0.16987304576666665</v>
      </c>
      <c r="L69" s="68"/>
      <c r="M69" s="122">
        <f t="shared" ref="M69:M71" si="56">J69+K69-L69</f>
        <v>0.68714895753333327</v>
      </c>
      <c r="N69" s="122">
        <f t="shared" ref="N69:N71" si="57">F69-J69</f>
        <v>0.27571591523333328</v>
      </c>
      <c r="O69" s="122">
        <f t="shared" ref="O69:O71" si="58">I69-M69</f>
        <v>0.10584286946666666</v>
      </c>
    </row>
    <row r="70" spans="2:17" ht="15" x14ac:dyDescent="0.2">
      <c r="B70" s="208">
        <v>11</v>
      </c>
      <c r="C70" s="143" t="s">
        <v>134</v>
      </c>
      <c r="D70" s="66">
        <v>2100</v>
      </c>
      <c r="E70" s="67">
        <v>9.6675000000000011E-2</v>
      </c>
      <c r="F70" s="122">
        <f t="shared" si="46"/>
        <v>0.49949814399999998</v>
      </c>
      <c r="G70" s="69">
        <v>0</v>
      </c>
      <c r="H70" s="68"/>
      <c r="I70" s="122">
        <f t="shared" ref="I70:I71" si="59">F70+G70-H70</f>
        <v>0.49949814399999998</v>
      </c>
      <c r="J70" s="68">
        <f t="shared" si="47"/>
        <v>0.15999271811408</v>
      </c>
      <c r="K70" s="156">
        <v>2.4055672114080003E-2</v>
      </c>
      <c r="L70" s="68"/>
      <c r="M70" s="122">
        <f t="shared" si="56"/>
        <v>0.18404839022816</v>
      </c>
      <c r="N70" s="122">
        <f t="shared" si="57"/>
        <v>0.33950542588591998</v>
      </c>
      <c r="O70" s="122">
        <f t="shared" si="58"/>
        <v>0.31544975377183998</v>
      </c>
    </row>
    <row r="71" spans="2:17" ht="15" x14ac:dyDescent="0.2">
      <c r="B71" s="208"/>
      <c r="C71" s="143" t="s">
        <v>524</v>
      </c>
      <c r="D71" s="66">
        <v>0</v>
      </c>
      <c r="E71" s="72">
        <v>0.2</v>
      </c>
      <c r="F71" s="122">
        <f t="shared" si="46"/>
        <v>5.1367748241977269</v>
      </c>
      <c r="G71" s="69">
        <v>0</v>
      </c>
      <c r="H71" s="70"/>
      <c r="I71" s="122">
        <f t="shared" si="59"/>
        <v>5.1367748241977269</v>
      </c>
      <c r="J71" s="68">
        <f t="shared" si="47"/>
        <v>0.50453458241977278</v>
      </c>
      <c r="K71" s="156">
        <v>1.0090691648395456</v>
      </c>
      <c r="L71" s="68"/>
      <c r="M71" s="122">
        <f t="shared" si="56"/>
        <v>1.5136037472593182</v>
      </c>
      <c r="N71" s="122">
        <f t="shared" si="57"/>
        <v>4.6322402417779545</v>
      </c>
      <c r="O71" s="122">
        <f t="shared" si="58"/>
        <v>3.6231710769384087</v>
      </c>
      <c r="Q71" s="243"/>
    </row>
    <row r="72" spans="2:17" ht="15" x14ac:dyDescent="0.2">
      <c r="B72" s="208"/>
      <c r="C72" s="66" t="s">
        <v>139</v>
      </c>
      <c r="D72" s="66"/>
      <c r="E72" s="210">
        <f>IFERROR((K72-L72)/AVERAGE(F72,I72),0)</f>
        <v>3.1616332065773842E-2</v>
      </c>
      <c r="F72" s="123">
        <f>I55</f>
        <v>8770.9251376709999</v>
      </c>
      <c r="G72" s="123">
        <f>'F3'!J12</f>
        <v>1200.65453</v>
      </c>
      <c r="H72" s="123">
        <f t="shared" ref="H72:L72" si="60">SUM(H60:H71)</f>
        <v>0</v>
      </c>
      <c r="I72" s="123">
        <f>F72+G72</f>
        <v>9971.5796676709997</v>
      </c>
      <c r="J72" s="123">
        <f>M55</f>
        <v>1375.5679445363</v>
      </c>
      <c r="K72" s="266">
        <v>296.28462783502727</v>
      </c>
      <c r="L72" s="123">
        <f t="shared" si="60"/>
        <v>0</v>
      </c>
      <c r="M72" s="123">
        <f>J72+K72</f>
        <v>1671.8525723713274</v>
      </c>
      <c r="N72" s="123">
        <f>F72-J72</f>
        <v>7395.3571931346996</v>
      </c>
      <c r="O72" s="123">
        <f>I72-M72</f>
        <v>8299.7270952996732</v>
      </c>
      <c r="P72" s="243"/>
      <c r="Q72" s="243"/>
    </row>
    <row r="73" spans="2:17" ht="15" thickBot="1" x14ac:dyDescent="0.25">
      <c r="F73" s="243"/>
      <c r="G73" s="243"/>
      <c r="H73" s="243"/>
      <c r="I73" s="243"/>
      <c r="J73" s="243"/>
      <c r="K73" s="243"/>
      <c r="L73" s="243"/>
      <c r="M73" s="243"/>
      <c r="N73" s="243"/>
      <c r="O73" s="243"/>
      <c r="Q73" s="243"/>
    </row>
    <row r="74" spans="2:17" ht="15" x14ac:dyDescent="0.2">
      <c r="B74" s="330" t="s">
        <v>488</v>
      </c>
      <c r="C74" s="331"/>
      <c r="D74" s="331"/>
      <c r="E74" s="331"/>
      <c r="F74" s="331"/>
      <c r="G74" s="331"/>
      <c r="H74" s="331"/>
      <c r="I74" s="331"/>
      <c r="J74" s="331"/>
      <c r="K74" s="331"/>
      <c r="L74" s="331"/>
      <c r="M74" s="331"/>
      <c r="N74" s="331"/>
      <c r="O74" s="332"/>
    </row>
    <row r="75" spans="2:17" ht="15" x14ac:dyDescent="0.2">
      <c r="B75" s="335" t="s">
        <v>2</v>
      </c>
      <c r="C75" s="337" t="s">
        <v>303</v>
      </c>
      <c r="D75" s="333" t="s">
        <v>291</v>
      </c>
      <c r="E75" s="333" t="s">
        <v>292</v>
      </c>
      <c r="F75" s="333" t="s">
        <v>293</v>
      </c>
      <c r="G75" s="333"/>
      <c r="H75" s="333"/>
      <c r="I75" s="333"/>
      <c r="J75" s="333" t="s">
        <v>294</v>
      </c>
      <c r="K75" s="333"/>
      <c r="L75" s="333"/>
      <c r="M75" s="333"/>
      <c r="N75" s="333" t="s">
        <v>295</v>
      </c>
      <c r="O75" s="334"/>
    </row>
    <row r="76" spans="2:17" ht="60" x14ac:dyDescent="0.2">
      <c r="B76" s="336"/>
      <c r="C76" s="338"/>
      <c r="D76" s="339"/>
      <c r="E76" s="339"/>
      <c r="F76" s="206" t="s">
        <v>296</v>
      </c>
      <c r="G76" s="206" t="s">
        <v>138</v>
      </c>
      <c r="H76" s="206" t="s">
        <v>297</v>
      </c>
      <c r="I76" s="206" t="s">
        <v>298</v>
      </c>
      <c r="J76" s="206" t="s">
        <v>299</v>
      </c>
      <c r="K76" s="206" t="s">
        <v>138</v>
      </c>
      <c r="L76" s="206" t="s">
        <v>300</v>
      </c>
      <c r="M76" s="206" t="s">
        <v>301</v>
      </c>
      <c r="N76" s="206" t="s">
        <v>296</v>
      </c>
      <c r="O76" s="207" t="s">
        <v>298</v>
      </c>
    </row>
    <row r="77" spans="2:17" ht="15" x14ac:dyDescent="0.2">
      <c r="B77" s="208">
        <v>1</v>
      </c>
      <c r="C77" s="71" t="s">
        <v>500</v>
      </c>
      <c r="D77" s="66">
        <v>1000</v>
      </c>
      <c r="E77" s="209">
        <v>0</v>
      </c>
      <c r="F77" s="122">
        <f t="shared" ref="F77:F88" si="61">I60</f>
        <v>122.78735859999999</v>
      </c>
      <c r="G77" s="69"/>
      <c r="H77" s="68"/>
      <c r="I77" s="122">
        <f>F77+G77-H77</f>
        <v>122.78735859999999</v>
      </c>
      <c r="J77" s="68">
        <f>M60</f>
        <v>0</v>
      </c>
      <c r="K77" s="156">
        <v>0</v>
      </c>
      <c r="L77" s="68"/>
      <c r="M77" s="122">
        <f>J77+K77-L77</f>
        <v>0</v>
      </c>
      <c r="N77" s="122">
        <f>F77-J77</f>
        <v>122.78735859999999</v>
      </c>
      <c r="O77" s="122">
        <f>I77-M77</f>
        <v>122.78735859999999</v>
      </c>
    </row>
    <row r="78" spans="2:17" ht="15" x14ac:dyDescent="0.2">
      <c r="B78" s="208">
        <v>2</v>
      </c>
      <c r="C78" s="65" t="s">
        <v>128</v>
      </c>
      <c r="D78" s="66">
        <v>1100</v>
      </c>
      <c r="E78" s="67">
        <v>2.975714285714286E-2</v>
      </c>
      <c r="F78" s="122">
        <f t="shared" si="61"/>
        <v>627.290287853</v>
      </c>
      <c r="G78" s="69"/>
      <c r="H78" s="68"/>
      <c r="I78" s="122">
        <f>F78+G78-H78</f>
        <v>627.290287853</v>
      </c>
      <c r="J78" s="68">
        <f t="shared" ref="J78:J88" si="62">M61</f>
        <v>113.31851341737197</v>
      </c>
      <c r="K78" s="156">
        <v>16.79973003768599</v>
      </c>
      <c r="L78" s="68"/>
      <c r="M78" s="122">
        <f t="shared" ref="M78:M80" si="63">J78+K78-L78</f>
        <v>130.11824345505795</v>
      </c>
      <c r="N78" s="122">
        <f t="shared" ref="N78:N80" si="64">F78-J78</f>
        <v>513.97177443562805</v>
      </c>
      <c r="O78" s="122">
        <f t="shared" ref="O78:O80" si="65">I78-M78</f>
        <v>497.17204439794205</v>
      </c>
    </row>
    <row r="79" spans="2:17" ht="15" x14ac:dyDescent="0.2">
      <c r="B79" s="208">
        <v>3</v>
      </c>
      <c r="C79" s="71" t="s">
        <v>525</v>
      </c>
      <c r="D79" s="66">
        <v>1200</v>
      </c>
      <c r="E79" s="67">
        <v>3.4539130434782607E-2</v>
      </c>
      <c r="F79" s="122">
        <f t="shared" si="61"/>
        <v>660.21025725699997</v>
      </c>
      <c r="G79" s="69"/>
      <c r="H79" s="68"/>
      <c r="I79" s="122">
        <f t="shared" ref="I79:I80" si="66">F79+G79-H79</f>
        <v>660.21025725699997</v>
      </c>
      <c r="J79" s="68">
        <f t="shared" si="62"/>
        <v>136.20470996191534</v>
      </c>
      <c r="K79" s="156">
        <v>20.465806367457674</v>
      </c>
      <c r="L79" s="68"/>
      <c r="M79" s="122">
        <f t="shared" si="63"/>
        <v>156.67051632937302</v>
      </c>
      <c r="N79" s="122">
        <f t="shared" si="64"/>
        <v>524.00554729508463</v>
      </c>
      <c r="O79" s="122">
        <f t="shared" si="65"/>
        <v>503.53974092762695</v>
      </c>
    </row>
    <row r="80" spans="2:17" ht="15" x14ac:dyDescent="0.2">
      <c r="B80" s="208">
        <v>4</v>
      </c>
      <c r="C80" s="143" t="s">
        <v>127</v>
      </c>
      <c r="D80" s="66">
        <v>1300</v>
      </c>
      <c r="E80" s="72">
        <v>3.4539130434782607E-2</v>
      </c>
      <c r="F80" s="122">
        <f t="shared" si="61"/>
        <v>7488.3648341778025</v>
      </c>
      <c r="G80" s="69"/>
      <c r="H80" s="70"/>
      <c r="I80" s="122">
        <f t="shared" si="66"/>
        <v>7488.3648341778025</v>
      </c>
      <c r="J80" s="68">
        <f t="shared" si="62"/>
        <v>1205.5657456834765</v>
      </c>
      <c r="K80" s="156">
        <v>281.86088368039913</v>
      </c>
      <c r="L80" s="68"/>
      <c r="M80" s="122">
        <f t="shared" si="63"/>
        <v>1487.4266293638757</v>
      </c>
      <c r="N80" s="122">
        <f t="shared" si="64"/>
        <v>6282.7990884943265</v>
      </c>
      <c r="O80" s="122">
        <f t="shared" si="65"/>
        <v>6000.9382048139269</v>
      </c>
    </row>
    <row r="81" spans="2:17" ht="15" x14ac:dyDescent="0.2">
      <c r="B81" s="208">
        <v>5</v>
      </c>
      <c r="C81" s="143" t="s">
        <v>502</v>
      </c>
      <c r="D81" s="66">
        <v>1400</v>
      </c>
      <c r="E81" s="209">
        <v>3.4539130434782607E-2</v>
      </c>
      <c r="F81" s="122">
        <f t="shared" si="61"/>
        <v>117.38</v>
      </c>
      <c r="G81" s="69"/>
      <c r="H81" s="68"/>
      <c r="I81" s="122">
        <f>F81+G81-H81</f>
        <v>117.38</v>
      </c>
      <c r="J81" s="68">
        <f t="shared" si="62"/>
        <v>13.190853363260825</v>
      </c>
      <c r="K81" s="156">
        <v>0.62046093913043487</v>
      </c>
      <c r="L81" s="68"/>
      <c r="M81" s="122">
        <f>J81+K81-L81</f>
        <v>13.81131430239126</v>
      </c>
      <c r="N81" s="122">
        <f>F81-J81</f>
        <v>104.18914663673917</v>
      </c>
      <c r="O81" s="122">
        <f>I81-M81</f>
        <v>103.56868569760874</v>
      </c>
    </row>
    <row r="82" spans="2:17" ht="15" x14ac:dyDescent="0.2">
      <c r="B82" s="208">
        <v>6</v>
      </c>
      <c r="C82" s="143" t="s">
        <v>503</v>
      </c>
      <c r="D82" s="66">
        <v>1500</v>
      </c>
      <c r="E82" s="67">
        <v>3.4539130434782607E-2</v>
      </c>
      <c r="F82" s="122">
        <f t="shared" si="61"/>
        <v>816.81525275699994</v>
      </c>
      <c r="G82" s="69"/>
      <c r="H82" s="68"/>
      <c r="I82" s="122">
        <f>F82+G82-H82</f>
        <v>816.81525275699994</v>
      </c>
      <c r="J82" s="68">
        <f t="shared" si="62"/>
        <v>194.1384468779691</v>
      </c>
      <c r="K82" s="156">
        <v>25.390879700484554</v>
      </c>
      <c r="L82" s="68"/>
      <c r="M82" s="122">
        <f t="shared" ref="M82:M84" si="67">J82+K82-L82</f>
        <v>219.52932657845366</v>
      </c>
      <c r="N82" s="122">
        <f t="shared" ref="N82:N84" si="68">F82-J82</f>
        <v>622.67680587903078</v>
      </c>
      <c r="O82" s="122">
        <f t="shared" ref="O82:O84" si="69">I82-M82</f>
        <v>597.28592617854633</v>
      </c>
    </row>
    <row r="83" spans="2:17" ht="15" x14ac:dyDescent="0.2">
      <c r="B83" s="208">
        <v>7</v>
      </c>
      <c r="C83" s="143" t="s">
        <v>504</v>
      </c>
      <c r="D83" s="66">
        <v>1600</v>
      </c>
      <c r="E83" s="67">
        <v>2.975714285714286E-2</v>
      </c>
      <c r="F83" s="122">
        <f t="shared" si="61"/>
        <v>52.925747957999995</v>
      </c>
      <c r="G83" s="69"/>
      <c r="H83" s="68"/>
      <c r="I83" s="122">
        <f t="shared" ref="I83:I84" si="70">F83+G83-H83</f>
        <v>52.925747957999995</v>
      </c>
      <c r="J83" s="68">
        <f t="shared" si="62"/>
        <v>6.2641777163690584</v>
      </c>
      <c r="K83" s="156">
        <v>1.2956938462559573</v>
      </c>
      <c r="L83" s="68"/>
      <c r="M83" s="122">
        <f t="shared" si="67"/>
        <v>7.5598715626250161</v>
      </c>
      <c r="N83" s="122">
        <f t="shared" si="68"/>
        <v>46.66157024163094</v>
      </c>
      <c r="O83" s="122">
        <f t="shared" si="69"/>
        <v>45.365876395374983</v>
      </c>
    </row>
    <row r="84" spans="2:17" ht="15" x14ac:dyDescent="0.2">
      <c r="B84" s="208">
        <v>8</v>
      </c>
      <c r="C84" s="143" t="s">
        <v>132</v>
      </c>
      <c r="D84" s="66">
        <v>1700</v>
      </c>
      <c r="E84" s="72">
        <v>0.23666666666666666</v>
      </c>
      <c r="F84" s="122">
        <f t="shared" si="61"/>
        <v>78.205178107999998</v>
      </c>
      <c r="G84" s="69"/>
      <c r="H84" s="70"/>
      <c r="I84" s="122">
        <f t="shared" si="70"/>
        <v>78.205178107999998</v>
      </c>
      <c r="J84" s="68">
        <f t="shared" si="62"/>
        <v>0.399606430008</v>
      </c>
      <c r="K84" s="156">
        <v>0.13742293700399999</v>
      </c>
      <c r="L84" s="68"/>
      <c r="M84" s="122">
        <f t="shared" si="67"/>
        <v>0.53702936701199999</v>
      </c>
      <c r="N84" s="122">
        <f t="shared" si="68"/>
        <v>77.805571677991992</v>
      </c>
      <c r="O84" s="122">
        <f t="shared" si="69"/>
        <v>77.668148740988002</v>
      </c>
    </row>
    <row r="85" spans="2:17" ht="15" x14ac:dyDescent="0.2">
      <c r="B85" s="208">
        <v>9</v>
      </c>
      <c r="C85" s="143" t="s">
        <v>505</v>
      </c>
      <c r="D85" s="66">
        <v>1800</v>
      </c>
      <c r="E85" s="209">
        <v>9.6675000000000011E-2</v>
      </c>
      <c r="F85" s="122">
        <f t="shared" si="61"/>
        <v>1.1846070449999999</v>
      </c>
      <c r="G85" s="69"/>
      <c r="H85" s="68"/>
      <c r="I85" s="122">
        <f>F85+G85-H85</f>
        <v>1.1846070449999999</v>
      </c>
      <c r="J85" s="68">
        <f t="shared" si="62"/>
        <v>0.38571782593567505</v>
      </c>
      <c r="K85" s="156">
        <v>0.10306969746783751</v>
      </c>
      <c r="L85" s="68"/>
      <c r="M85" s="122">
        <f>J85+K85-L85</f>
        <v>0.48878752340351256</v>
      </c>
      <c r="N85" s="122">
        <f>F85-J85</f>
        <v>0.79888921906432486</v>
      </c>
      <c r="O85" s="122">
        <f>I85-M85</f>
        <v>0.6958195215964873</v>
      </c>
    </row>
    <row r="86" spans="2:17" ht="15" x14ac:dyDescent="0.2">
      <c r="B86" s="208">
        <v>10</v>
      </c>
      <c r="C86" s="143" t="s">
        <v>506</v>
      </c>
      <c r="D86" s="66">
        <v>1900</v>
      </c>
      <c r="E86" s="67">
        <v>0.23333333333333331</v>
      </c>
      <c r="F86" s="122">
        <f t="shared" si="61"/>
        <v>0.79299182699999993</v>
      </c>
      <c r="G86" s="69"/>
      <c r="H86" s="68"/>
      <c r="I86" s="122">
        <f>F86+G86-H86</f>
        <v>0.79299182699999993</v>
      </c>
      <c r="J86" s="68">
        <f t="shared" si="62"/>
        <v>0.68714895753333327</v>
      </c>
      <c r="K86" s="156">
        <v>3.398436361666668E-2</v>
      </c>
      <c r="L86" s="68"/>
      <c r="M86" s="122">
        <f t="shared" ref="M86:M88" si="71">J86+K86-L86</f>
        <v>0.72113332114999995</v>
      </c>
      <c r="N86" s="122">
        <f t="shared" ref="N86:N88" si="72">F86-J86</f>
        <v>0.10584286946666666</v>
      </c>
      <c r="O86" s="122">
        <f t="shared" ref="O86:O88" si="73">I86-M86</f>
        <v>7.1858505849999976E-2</v>
      </c>
    </row>
    <row r="87" spans="2:17" ht="15" x14ac:dyDescent="0.2">
      <c r="B87" s="208">
        <v>11</v>
      </c>
      <c r="C87" s="143" t="s">
        <v>134</v>
      </c>
      <c r="D87" s="66">
        <v>2100</v>
      </c>
      <c r="E87" s="67">
        <v>9.6675000000000011E-2</v>
      </c>
      <c r="F87" s="122">
        <f t="shared" si="61"/>
        <v>0.49949814399999998</v>
      </c>
      <c r="G87" s="69"/>
      <c r="H87" s="68"/>
      <c r="I87" s="122">
        <f t="shared" ref="I87:I88" si="74">F87+G87-H87</f>
        <v>0.49949814399999998</v>
      </c>
      <c r="J87" s="68">
        <f t="shared" si="62"/>
        <v>0.18404839022816</v>
      </c>
      <c r="K87" s="156">
        <v>2.4055672114080003E-2</v>
      </c>
      <c r="L87" s="68"/>
      <c r="M87" s="122">
        <f t="shared" si="71"/>
        <v>0.20810406234223999</v>
      </c>
      <c r="N87" s="122">
        <f t="shared" si="72"/>
        <v>0.31544975377183998</v>
      </c>
      <c r="O87" s="122">
        <f t="shared" si="73"/>
        <v>0.29139408165775998</v>
      </c>
    </row>
    <row r="88" spans="2:17" ht="15" x14ac:dyDescent="0.2">
      <c r="B88" s="208"/>
      <c r="C88" s="143" t="s">
        <v>524</v>
      </c>
      <c r="D88" s="66">
        <v>0</v>
      </c>
      <c r="E88" s="72">
        <v>0.2</v>
      </c>
      <c r="F88" s="122">
        <f t="shared" si="61"/>
        <v>5.1367748241977269</v>
      </c>
      <c r="G88" s="69"/>
      <c r="H88" s="70"/>
      <c r="I88" s="122">
        <f t="shared" si="74"/>
        <v>5.1367748241977269</v>
      </c>
      <c r="J88" s="68">
        <f t="shared" si="62"/>
        <v>1.5136037472593182</v>
      </c>
      <c r="K88" s="156">
        <v>1.0090691648395456</v>
      </c>
      <c r="L88" s="68"/>
      <c r="M88" s="122">
        <f t="shared" si="71"/>
        <v>2.522672912098864</v>
      </c>
      <c r="N88" s="122">
        <f t="shared" si="72"/>
        <v>3.6231710769384087</v>
      </c>
      <c r="O88" s="122">
        <f t="shared" si="73"/>
        <v>2.6141019120988629</v>
      </c>
      <c r="Q88" s="243"/>
    </row>
    <row r="89" spans="2:17" ht="15" x14ac:dyDescent="0.2">
      <c r="B89" s="208"/>
      <c r="C89" s="66" t="s">
        <v>139</v>
      </c>
      <c r="D89" s="66"/>
      <c r="E89" s="210">
        <f>IFERROR((K89-L89)/AVERAGE(F89,I89),0)</f>
        <v>3.48732164808222E-2</v>
      </c>
      <c r="F89" s="123">
        <f>I72</f>
        <v>9971.5796676709997</v>
      </c>
      <c r="G89" s="123">
        <f>'F3'!K12</f>
        <v>0</v>
      </c>
      <c r="H89" s="123">
        <f t="shared" ref="H89:L89" si="75">SUM(H77:H88)</f>
        <v>0</v>
      </c>
      <c r="I89" s="123">
        <f>F89</f>
        <v>9971.5796676709997</v>
      </c>
      <c r="J89" s="123">
        <f>M72</f>
        <v>1671.8525723713274</v>
      </c>
      <c r="K89" s="123">
        <v>347.74105640645587</v>
      </c>
      <c r="L89" s="123">
        <f t="shared" si="75"/>
        <v>0</v>
      </c>
      <c r="M89" s="123">
        <f>J89+K89</f>
        <v>2019.5936287777831</v>
      </c>
      <c r="N89" s="123">
        <f>F89-J89</f>
        <v>8299.7270952996732</v>
      </c>
      <c r="O89" s="123">
        <f>I89-M89</f>
        <v>7951.9860388932166</v>
      </c>
      <c r="P89" s="243"/>
      <c r="Q89" s="243"/>
    </row>
    <row r="90" spans="2:17" ht="15" thickBot="1" x14ac:dyDescent="0.25">
      <c r="F90" s="243">
        <f>SUM(F77:F88)</f>
        <v>9971.5927885509973</v>
      </c>
      <c r="G90" s="243">
        <f t="shared" ref="G90:O90" si="76">SUM(G77:G88)</f>
        <v>0</v>
      </c>
      <c r="H90" s="243">
        <f t="shared" si="76"/>
        <v>0</v>
      </c>
      <c r="I90" s="243">
        <f t="shared" si="76"/>
        <v>9971.5927885509973</v>
      </c>
      <c r="J90" s="243">
        <f t="shared" si="76"/>
        <v>1671.8525723713271</v>
      </c>
      <c r="K90" s="243">
        <f t="shared" si="76"/>
        <v>347.74105640645587</v>
      </c>
      <c r="L90" s="243">
        <f t="shared" si="76"/>
        <v>0</v>
      </c>
      <c r="M90" s="243">
        <f t="shared" si="76"/>
        <v>2019.5936287777836</v>
      </c>
      <c r="N90" s="243">
        <f>SUM(N77:N88)</f>
        <v>8299.7402161796745</v>
      </c>
      <c r="O90" s="243">
        <f t="shared" si="76"/>
        <v>7951.9991597732178</v>
      </c>
      <c r="P90" s="243"/>
    </row>
    <row r="91" spans="2:17" ht="15" x14ac:dyDescent="0.2">
      <c r="B91" s="330" t="s">
        <v>489</v>
      </c>
      <c r="C91" s="331"/>
      <c r="D91" s="331"/>
      <c r="E91" s="331"/>
      <c r="F91" s="331"/>
      <c r="G91" s="331"/>
      <c r="H91" s="331"/>
      <c r="I91" s="331"/>
      <c r="J91" s="331"/>
      <c r="K91" s="331"/>
      <c r="L91" s="331"/>
      <c r="M91" s="331"/>
      <c r="N91" s="331"/>
      <c r="O91" s="332"/>
    </row>
    <row r="92" spans="2:17" ht="15" x14ac:dyDescent="0.2">
      <c r="B92" s="335" t="s">
        <v>2</v>
      </c>
      <c r="C92" s="337" t="s">
        <v>303</v>
      </c>
      <c r="D92" s="333" t="s">
        <v>291</v>
      </c>
      <c r="E92" s="333" t="s">
        <v>292</v>
      </c>
      <c r="F92" s="333" t="s">
        <v>293</v>
      </c>
      <c r="G92" s="333"/>
      <c r="H92" s="333"/>
      <c r="I92" s="333"/>
      <c r="J92" s="333" t="s">
        <v>294</v>
      </c>
      <c r="K92" s="333"/>
      <c r="L92" s="333"/>
      <c r="M92" s="333"/>
      <c r="N92" s="333" t="s">
        <v>295</v>
      </c>
      <c r="O92" s="334"/>
    </row>
    <row r="93" spans="2:17" ht="60" x14ac:dyDescent="0.2">
      <c r="B93" s="336"/>
      <c r="C93" s="338"/>
      <c r="D93" s="339"/>
      <c r="E93" s="339"/>
      <c r="F93" s="206" t="s">
        <v>296</v>
      </c>
      <c r="G93" s="206" t="s">
        <v>138</v>
      </c>
      <c r="H93" s="206" t="s">
        <v>297</v>
      </c>
      <c r="I93" s="206" t="s">
        <v>298</v>
      </c>
      <c r="J93" s="206" t="s">
        <v>299</v>
      </c>
      <c r="K93" s="206" t="s">
        <v>138</v>
      </c>
      <c r="L93" s="206" t="s">
        <v>300</v>
      </c>
      <c r="M93" s="206" t="s">
        <v>301</v>
      </c>
      <c r="N93" s="206" t="s">
        <v>296</v>
      </c>
      <c r="O93" s="207" t="s">
        <v>298</v>
      </c>
    </row>
    <row r="94" spans="2:17" ht="15" x14ac:dyDescent="0.2">
      <c r="B94" s="208">
        <v>1</v>
      </c>
      <c r="C94" s="71" t="s">
        <v>500</v>
      </c>
      <c r="D94" s="66">
        <v>1000</v>
      </c>
      <c r="E94" s="209">
        <v>0</v>
      </c>
      <c r="F94" s="122">
        <f t="shared" ref="F94:F105" si="77">I77</f>
        <v>122.78735859999999</v>
      </c>
      <c r="G94" s="69">
        <v>0</v>
      </c>
      <c r="H94" s="68"/>
      <c r="I94" s="122">
        <f>F94+G94-H94</f>
        <v>122.78735859999999</v>
      </c>
      <c r="J94" s="68">
        <f>M77</f>
        <v>0</v>
      </c>
      <c r="K94" s="156">
        <v>0</v>
      </c>
      <c r="L94" s="68"/>
      <c r="M94" s="122">
        <f>J94+K94-L94</f>
        <v>0</v>
      </c>
      <c r="N94" s="122">
        <f>F94-J94</f>
        <v>122.78735859999999</v>
      </c>
      <c r="O94" s="122">
        <f>I94-M94</f>
        <v>122.78735859999999</v>
      </c>
    </row>
    <row r="95" spans="2:17" ht="15" x14ac:dyDescent="0.2">
      <c r="B95" s="208">
        <v>2</v>
      </c>
      <c r="C95" s="65" t="s">
        <v>128</v>
      </c>
      <c r="D95" s="66">
        <v>1100</v>
      </c>
      <c r="E95" s="67">
        <v>2.975714285714286E-2</v>
      </c>
      <c r="F95" s="122">
        <f t="shared" si="77"/>
        <v>627.290287853</v>
      </c>
      <c r="G95" s="69">
        <v>0</v>
      </c>
      <c r="H95" s="68"/>
      <c r="I95" s="122">
        <f>F95+G95-H95</f>
        <v>627.290287853</v>
      </c>
      <c r="J95" s="68">
        <f t="shared" ref="J95:J105" si="78">M78</f>
        <v>130.11824345505795</v>
      </c>
      <c r="K95" s="156">
        <v>16.79973003768599</v>
      </c>
      <c r="L95" s="68"/>
      <c r="M95" s="122">
        <f t="shared" ref="M95:M97" si="79">J95+K95-L95</f>
        <v>146.91797349274395</v>
      </c>
      <c r="N95" s="122">
        <f t="shared" ref="N95:N97" si="80">F95-J95</f>
        <v>497.17204439794205</v>
      </c>
      <c r="O95" s="122">
        <f t="shared" ref="O95:O97" si="81">I95-M95</f>
        <v>480.37231436025604</v>
      </c>
    </row>
    <row r="96" spans="2:17" ht="15" x14ac:dyDescent="0.2">
      <c r="B96" s="208">
        <v>3</v>
      </c>
      <c r="C96" s="71" t="s">
        <v>525</v>
      </c>
      <c r="D96" s="66">
        <v>1200</v>
      </c>
      <c r="E96" s="67">
        <v>3.4539130434782607E-2</v>
      </c>
      <c r="F96" s="122">
        <f t="shared" si="77"/>
        <v>660.21025725699997</v>
      </c>
      <c r="G96" s="69">
        <v>0</v>
      </c>
      <c r="H96" s="68"/>
      <c r="I96" s="122">
        <f t="shared" ref="I96:I97" si="82">F96+G96-H96</f>
        <v>660.21025725699997</v>
      </c>
      <c r="J96" s="68">
        <f t="shared" si="78"/>
        <v>156.67051632937302</v>
      </c>
      <c r="K96" s="156">
        <v>20.465806367457674</v>
      </c>
      <c r="L96" s="68"/>
      <c r="M96" s="122">
        <f t="shared" si="79"/>
        <v>177.13632269683069</v>
      </c>
      <c r="N96" s="122">
        <f t="shared" si="80"/>
        <v>503.53974092762695</v>
      </c>
      <c r="O96" s="122">
        <f t="shared" si="81"/>
        <v>483.07393456016928</v>
      </c>
    </row>
    <row r="97" spans="2:17" ht="15" x14ac:dyDescent="0.2">
      <c r="B97" s="208">
        <v>4</v>
      </c>
      <c r="C97" s="143" t="s">
        <v>127</v>
      </c>
      <c r="D97" s="66">
        <v>1300</v>
      </c>
      <c r="E97" s="72">
        <v>3.4539130434782607E-2</v>
      </c>
      <c r="F97" s="122">
        <f t="shared" si="77"/>
        <v>7488.3648341778025</v>
      </c>
      <c r="G97" s="69">
        <v>0</v>
      </c>
      <c r="H97" s="70"/>
      <c r="I97" s="122">
        <f t="shared" si="82"/>
        <v>7488.3648341778025</v>
      </c>
      <c r="J97" s="68">
        <f t="shared" si="78"/>
        <v>1487.4266293638757</v>
      </c>
      <c r="K97" s="156">
        <v>281.9360613349229</v>
      </c>
      <c r="L97" s="68"/>
      <c r="M97" s="122">
        <f t="shared" si="79"/>
        <v>1769.3626906987986</v>
      </c>
      <c r="N97" s="122">
        <f t="shared" si="80"/>
        <v>6000.9382048139269</v>
      </c>
      <c r="O97" s="122">
        <f t="shared" si="81"/>
        <v>5719.0021434790042</v>
      </c>
    </row>
    <row r="98" spans="2:17" ht="15" x14ac:dyDescent="0.2">
      <c r="B98" s="208">
        <v>5</v>
      </c>
      <c r="C98" s="143" t="s">
        <v>502</v>
      </c>
      <c r="D98" s="66">
        <v>1400</v>
      </c>
      <c r="E98" s="209">
        <v>3.4539130434782607E-2</v>
      </c>
      <c r="F98" s="122">
        <f t="shared" si="77"/>
        <v>117.38</v>
      </c>
      <c r="G98" s="69">
        <v>0</v>
      </c>
      <c r="H98" s="68"/>
      <c r="I98" s="122">
        <f>F98+G98-H98</f>
        <v>117.38</v>
      </c>
      <c r="J98" s="68">
        <f t="shared" si="78"/>
        <v>13.81131430239126</v>
      </c>
      <c r="K98" s="156">
        <v>0.62046093913043487</v>
      </c>
      <c r="L98" s="68"/>
      <c r="M98" s="122">
        <f>J98+K98-L98</f>
        <v>14.431775241521695</v>
      </c>
      <c r="N98" s="122">
        <f>F98-J98</f>
        <v>103.56868569760874</v>
      </c>
      <c r="O98" s="122">
        <f>I98-M98</f>
        <v>102.9482247584783</v>
      </c>
    </row>
    <row r="99" spans="2:17" ht="15" x14ac:dyDescent="0.2">
      <c r="B99" s="208">
        <v>6</v>
      </c>
      <c r="C99" s="143" t="s">
        <v>503</v>
      </c>
      <c r="D99" s="66">
        <v>1500</v>
      </c>
      <c r="E99" s="67">
        <v>3.4539130434782607E-2</v>
      </c>
      <c r="F99" s="122">
        <f t="shared" si="77"/>
        <v>816.81525275699994</v>
      </c>
      <c r="G99" s="69">
        <v>0</v>
      </c>
      <c r="H99" s="68"/>
      <c r="I99" s="122">
        <f>F99+G99-H99</f>
        <v>816.81525275699994</v>
      </c>
      <c r="J99" s="68">
        <f t="shared" si="78"/>
        <v>219.52932657845366</v>
      </c>
      <c r="K99" s="156">
        <v>25.390879700484554</v>
      </c>
      <c r="L99" s="68"/>
      <c r="M99" s="122">
        <f t="shared" ref="M99:M101" si="83">J99+K99-L99</f>
        <v>244.92020627893822</v>
      </c>
      <c r="N99" s="122">
        <f t="shared" ref="N99:N101" si="84">F99-J99</f>
        <v>597.28592617854633</v>
      </c>
      <c r="O99" s="122">
        <f t="shared" ref="O99:O101" si="85">I99-M99</f>
        <v>571.89504647806166</v>
      </c>
    </row>
    <row r="100" spans="2:17" ht="15" x14ac:dyDescent="0.2">
      <c r="B100" s="208">
        <v>7</v>
      </c>
      <c r="C100" s="143" t="s">
        <v>504</v>
      </c>
      <c r="D100" s="66">
        <v>1600</v>
      </c>
      <c r="E100" s="67">
        <v>2.975714285714286E-2</v>
      </c>
      <c r="F100" s="122">
        <f t="shared" si="77"/>
        <v>52.925747957999995</v>
      </c>
      <c r="G100" s="69">
        <v>0</v>
      </c>
      <c r="H100" s="68"/>
      <c r="I100" s="122">
        <f t="shared" ref="I100:I101" si="86">F100+G100-H100</f>
        <v>52.925747957999995</v>
      </c>
      <c r="J100" s="68">
        <f t="shared" si="78"/>
        <v>7.5598715626250161</v>
      </c>
      <c r="K100" s="156">
        <v>1.3492567033988143</v>
      </c>
      <c r="L100" s="68"/>
      <c r="M100" s="122">
        <f t="shared" si="83"/>
        <v>8.9091282660238313</v>
      </c>
      <c r="N100" s="122">
        <f t="shared" si="84"/>
        <v>45.365876395374983</v>
      </c>
      <c r="O100" s="122">
        <f t="shared" si="85"/>
        <v>44.01661969197616</v>
      </c>
    </row>
    <row r="101" spans="2:17" ht="15" x14ac:dyDescent="0.2">
      <c r="B101" s="208">
        <v>8</v>
      </c>
      <c r="C101" s="143" t="s">
        <v>132</v>
      </c>
      <c r="D101" s="66">
        <v>1700</v>
      </c>
      <c r="E101" s="72">
        <v>0.23666666666666666</v>
      </c>
      <c r="F101" s="122">
        <f t="shared" si="77"/>
        <v>78.205178107999998</v>
      </c>
      <c r="G101" s="69">
        <v>0</v>
      </c>
      <c r="H101" s="70"/>
      <c r="I101" s="122">
        <f t="shared" si="86"/>
        <v>78.205178107999998</v>
      </c>
      <c r="J101" s="68">
        <f t="shared" si="78"/>
        <v>0.53702936701199999</v>
      </c>
      <c r="K101" s="156">
        <v>4.2666788954000001E-2</v>
      </c>
      <c r="L101" s="68"/>
      <c r="M101" s="122">
        <f t="shared" si="83"/>
        <v>0.57969615596599999</v>
      </c>
      <c r="N101" s="122">
        <f t="shared" si="84"/>
        <v>77.668148740988002</v>
      </c>
      <c r="O101" s="122">
        <f t="shared" si="85"/>
        <v>77.625481952033994</v>
      </c>
    </row>
    <row r="102" spans="2:17" ht="15" x14ac:dyDescent="0.2">
      <c r="B102" s="208">
        <v>9</v>
      </c>
      <c r="C102" s="143" t="s">
        <v>505</v>
      </c>
      <c r="D102" s="66">
        <v>1800</v>
      </c>
      <c r="E102" s="209">
        <v>9.6675000000000011E-2</v>
      </c>
      <c r="F102" s="122">
        <f t="shared" si="77"/>
        <v>1.1846070449999999</v>
      </c>
      <c r="G102" s="69">
        <v>0</v>
      </c>
      <c r="H102" s="68"/>
      <c r="I102" s="122">
        <f>F102+G102-H102</f>
        <v>1.1846070449999999</v>
      </c>
      <c r="J102" s="68">
        <f t="shared" si="78"/>
        <v>0.48878752340351256</v>
      </c>
      <c r="K102" s="156">
        <v>0.10306969746783751</v>
      </c>
      <c r="L102" s="68"/>
      <c r="M102" s="122">
        <f>J102+K102-L102</f>
        <v>0.59185722087135006</v>
      </c>
      <c r="N102" s="122">
        <f>F102-J102</f>
        <v>0.6958195215964873</v>
      </c>
      <c r="O102" s="122">
        <f>I102-M102</f>
        <v>0.59274982412864985</v>
      </c>
    </row>
    <row r="103" spans="2:17" ht="15" x14ac:dyDescent="0.2">
      <c r="B103" s="208">
        <v>10</v>
      </c>
      <c r="C103" s="143" t="s">
        <v>506</v>
      </c>
      <c r="D103" s="66">
        <v>1900</v>
      </c>
      <c r="E103" s="67">
        <v>0.23333333333333331</v>
      </c>
      <c r="F103" s="122">
        <f t="shared" si="77"/>
        <v>0.79299182699999993</v>
      </c>
      <c r="G103" s="69">
        <v>0</v>
      </c>
      <c r="H103" s="68"/>
      <c r="I103" s="122">
        <f>F103+G103-H103</f>
        <v>0.79299182699999993</v>
      </c>
      <c r="J103" s="68">
        <f t="shared" si="78"/>
        <v>0.72113332114999995</v>
      </c>
      <c r="K103" s="156">
        <v>0</v>
      </c>
      <c r="L103" s="68"/>
      <c r="M103" s="122">
        <f t="shared" ref="M103:M105" si="87">J103+K103-L103</f>
        <v>0.72113332114999995</v>
      </c>
      <c r="N103" s="122">
        <f t="shared" ref="N103:N105" si="88">F103-J103</f>
        <v>7.1858505849999976E-2</v>
      </c>
      <c r="O103" s="122">
        <f t="shared" ref="O103:O105" si="89">I103-M103</f>
        <v>7.1858505849999976E-2</v>
      </c>
    </row>
    <row r="104" spans="2:17" ht="15" x14ac:dyDescent="0.2">
      <c r="B104" s="208">
        <v>11</v>
      </c>
      <c r="C104" s="143" t="s">
        <v>134</v>
      </c>
      <c r="D104" s="66">
        <v>2100</v>
      </c>
      <c r="E104" s="67">
        <v>9.6675000000000011E-2</v>
      </c>
      <c r="F104" s="122">
        <f t="shared" si="77"/>
        <v>0.49949814399999998</v>
      </c>
      <c r="G104" s="69">
        <v>0</v>
      </c>
      <c r="H104" s="68"/>
      <c r="I104" s="122">
        <f t="shared" ref="I104:I105" si="90">F104+G104-H104</f>
        <v>0.49949814399999998</v>
      </c>
      <c r="J104" s="68">
        <f t="shared" si="78"/>
        <v>0.20810406234223999</v>
      </c>
      <c r="K104" s="156">
        <v>2.4055672114080003E-2</v>
      </c>
      <c r="L104" s="68"/>
      <c r="M104" s="122">
        <f t="shared" si="87"/>
        <v>0.23215973445631999</v>
      </c>
      <c r="N104" s="122">
        <f t="shared" si="88"/>
        <v>0.29139408165775998</v>
      </c>
      <c r="O104" s="122">
        <f t="shared" si="89"/>
        <v>0.26733840954367999</v>
      </c>
    </row>
    <row r="105" spans="2:17" ht="15" x14ac:dyDescent="0.2">
      <c r="B105" s="208"/>
      <c r="C105" s="143" t="s">
        <v>524</v>
      </c>
      <c r="D105" s="66">
        <v>0</v>
      </c>
      <c r="E105" s="72">
        <v>0.2</v>
      </c>
      <c r="F105" s="122">
        <f t="shared" si="77"/>
        <v>5.1367748241977269</v>
      </c>
      <c r="G105" s="69">
        <v>0</v>
      </c>
      <c r="H105" s="70"/>
      <c r="I105" s="122">
        <f t="shared" si="90"/>
        <v>5.1367748241977269</v>
      </c>
      <c r="J105" s="68">
        <f t="shared" si="78"/>
        <v>2.522672912098864</v>
      </c>
      <c r="K105" s="156">
        <v>1.0090691648395456</v>
      </c>
      <c r="L105" s="68"/>
      <c r="M105" s="122">
        <f t="shared" si="87"/>
        <v>3.5317420769384098</v>
      </c>
      <c r="N105" s="122">
        <f t="shared" si="88"/>
        <v>2.6141019120988629</v>
      </c>
      <c r="O105" s="122">
        <f t="shared" si="89"/>
        <v>1.6050327472593171</v>
      </c>
    </row>
    <row r="106" spans="2:17" ht="15" x14ac:dyDescent="0.2">
      <c r="B106" s="208"/>
      <c r="C106" s="66" t="s">
        <v>139</v>
      </c>
      <c r="D106" s="66"/>
      <c r="E106" s="210">
        <f>IFERROR((K106-L106)/AVERAGE(F106,I106),0)</f>
        <v>3.48732164808222E-2</v>
      </c>
      <c r="F106" s="123">
        <f>I89</f>
        <v>9971.5796676709997</v>
      </c>
      <c r="G106" s="123">
        <f>'F3'!L12</f>
        <v>0</v>
      </c>
      <c r="H106" s="123">
        <f t="shared" ref="H106:L106" si="91">SUM(H94:H105)</f>
        <v>0</v>
      </c>
      <c r="I106" s="123">
        <f>F106</f>
        <v>9971.5796676709997</v>
      </c>
      <c r="J106" s="123">
        <f>M89</f>
        <v>2019.5936287777831</v>
      </c>
      <c r="K106" s="266">
        <v>347.74105640645587</v>
      </c>
      <c r="L106" s="123">
        <f t="shared" si="91"/>
        <v>0</v>
      </c>
      <c r="M106" s="123">
        <f>J106+K106</f>
        <v>2367.3346851842389</v>
      </c>
      <c r="N106" s="123">
        <f>F106-J106</f>
        <v>7951.9860388932166</v>
      </c>
      <c r="O106" s="123">
        <f>I106-M106</f>
        <v>7604.2449824867608</v>
      </c>
      <c r="P106" s="243">
        <f>K106-K107</f>
        <v>0</v>
      </c>
      <c r="Q106" s="243"/>
    </row>
    <row r="107" spans="2:17" ht="15" thickBot="1" x14ac:dyDescent="0.25">
      <c r="F107" s="243">
        <f>SUM(F94:F105)</f>
        <v>9971.5927885509973</v>
      </c>
      <c r="G107" s="243">
        <f t="shared" ref="G107:O107" si="92">SUM(G94:G105)</f>
        <v>0</v>
      </c>
      <c r="H107" s="243">
        <f t="shared" si="92"/>
        <v>0</v>
      </c>
      <c r="I107" s="243">
        <f t="shared" si="92"/>
        <v>9971.5927885509973</v>
      </c>
      <c r="J107" s="243">
        <f t="shared" si="92"/>
        <v>2019.5936287777836</v>
      </c>
      <c r="K107" s="243">
        <f t="shared" si="92"/>
        <v>347.74105640645587</v>
      </c>
      <c r="L107" s="243">
        <f t="shared" si="92"/>
        <v>0</v>
      </c>
      <c r="M107" s="243">
        <f t="shared" si="92"/>
        <v>2367.3346851842384</v>
      </c>
      <c r="N107" s="243">
        <f>SUM(N94:N105)</f>
        <v>7951.9991597732178</v>
      </c>
      <c r="O107" s="243">
        <f t="shared" si="92"/>
        <v>7604.2581033667611</v>
      </c>
      <c r="P107" s="243">
        <f>K97+P106</f>
        <v>281.9360613349229</v>
      </c>
      <c r="Q107" s="243"/>
    </row>
    <row r="108" spans="2:17" ht="15" x14ac:dyDescent="0.2">
      <c r="B108" s="330" t="s">
        <v>490</v>
      </c>
      <c r="C108" s="331"/>
      <c r="D108" s="331"/>
      <c r="E108" s="331"/>
      <c r="F108" s="331"/>
      <c r="G108" s="331"/>
      <c r="H108" s="331"/>
      <c r="I108" s="331"/>
      <c r="J108" s="331"/>
      <c r="K108" s="331"/>
      <c r="L108" s="331"/>
      <c r="M108" s="331"/>
      <c r="N108" s="331"/>
      <c r="O108" s="332"/>
    </row>
    <row r="109" spans="2:17" ht="15" x14ac:dyDescent="0.2">
      <c r="B109" s="335" t="s">
        <v>2</v>
      </c>
      <c r="C109" s="337" t="s">
        <v>303</v>
      </c>
      <c r="D109" s="333" t="s">
        <v>291</v>
      </c>
      <c r="E109" s="333" t="s">
        <v>292</v>
      </c>
      <c r="F109" s="333" t="s">
        <v>293</v>
      </c>
      <c r="G109" s="333"/>
      <c r="H109" s="333"/>
      <c r="I109" s="333"/>
      <c r="J109" s="333" t="s">
        <v>294</v>
      </c>
      <c r="K109" s="333"/>
      <c r="L109" s="333"/>
      <c r="M109" s="333"/>
      <c r="N109" s="333" t="s">
        <v>295</v>
      </c>
      <c r="O109" s="334"/>
    </row>
    <row r="110" spans="2:17" ht="60" x14ac:dyDescent="0.2">
      <c r="B110" s="336"/>
      <c r="C110" s="338"/>
      <c r="D110" s="339"/>
      <c r="E110" s="339"/>
      <c r="F110" s="206" t="s">
        <v>296</v>
      </c>
      <c r="G110" s="206" t="s">
        <v>138</v>
      </c>
      <c r="H110" s="206" t="s">
        <v>297</v>
      </c>
      <c r="I110" s="206" t="s">
        <v>298</v>
      </c>
      <c r="J110" s="206" t="s">
        <v>299</v>
      </c>
      <c r="K110" s="206" t="s">
        <v>138</v>
      </c>
      <c r="L110" s="206" t="s">
        <v>300</v>
      </c>
      <c r="M110" s="206" t="s">
        <v>301</v>
      </c>
      <c r="N110" s="206" t="s">
        <v>296</v>
      </c>
      <c r="O110" s="207" t="s">
        <v>298</v>
      </c>
    </row>
    <row r="111" spans="2:17" ht="15" x14ac:dyDescent="0.2">
      <c r="B111" s="208">
        <v>1</v>
      </c>
      <c r="C111" s="71" t="s">
        <v>500</v>
      </c>
      <c r="D111" s="66">
        <v>1000</v>
      </c>
      <c r="E111" s="209">
        <v>0</v>
      </c>
      <c r="F111" s="122">
        <f t="shared" ref="F111:F122" si="93">I94</f>
        <v>122.78735859999999</v>
      </c>
      <c r="G111" s="69"/>
      <c r="H111" s="68"/>
      <c r="I111" s="122">
        <f>F111+G111-H111</f>
        <v>122.78735859999999</v>
      </c>
      <c r="J111" s="68">
        <f>M94</f>
        <v>0</v>
      </c>
      <c r="K111" s="156">
        <v>0</v>
      </c>
      <c r="L111" s="68"/>
      <c r="M111" s="122">
        <f>J111+K111-L111</f>
        <v>0</v>
      </c>
      <c r="N111" s="122">
        <f>F111-J111</f>
        <v>122.78735859999999</v>
      </c>
      <c r="O111" s="122">
        <f>I111-M111</f>
        <v>122.78735859999999</v>
      </c>
    </row>
    <row r="112" spans="2:17" ht="15" x14ac:dyDescent="0.2">
      <c r="B112" s="208">
        <v>2</v>
      </c>
      <c r="C112" s="65" t="s">
        <v>128</v>
      </c>
      <c r="D112" s="66">
        <v>1100</v>
      </c>
      <c r="E112" s="67">
        <v>2.975714285714286E-2</v>
      </c>
      <c r="F112" s="122">
        <f t="shared" si="93"/>
        <v>627.290287853</v>
      </c>
      <c r="G112" s="69"/>
      <c r="H112" s="68"/>
      <c r="I112" s="122">
        <f>F112+G112-H112</f>
        <v>627.290287853</v>
      </c>
      <c r="J112" s="68">
        <f t="shared" ref="J112:J122" si="94">M95</f>
        <v>146.91797349274395</v>
      </c>
      <c r="K112" s="156">
        <v>16.79973003768599</v>
      </c>
      <c r="L112" s="68"/>
      <c r="M112" s="122">
        <f t="shared" ref="M112:M114" si="95">J112+K112-L112</f>
        <v>163.71770353042996</v>
      </c>
      <c r="N112" s="122">
        <f t="shared" ref="N112:N114" si="96">F112-J112</f>
        <v>480.37231436025604</v>
      </c>
      <c r="O112" s="122">
        <f t="shared" ref="O112:O114" si="97">I112-M112</f>
        <v>463.57258432257004</v>
      </c>
    </row>
    <row r="113" spans="2:17" ht="15" x14ac:dyDescent="0.2">
      <c r="B113" s="208">
        <v>3</v>
      </c>
      <c r="C113" s="71" t="s">
        <v>525</v>
      </c>
      <c r="D113" s="66">
        <v>1200</v>
      </c>
      <c r="E113" s="67">
        <v>3.4539130434782607E-2</v>
      </c>
      <c r="F113" s="122">
        <f t="shared" si="93"/>
        <v>660.21025725699997</v>
      </c>
      <c r="G113" s="69"/>
      <c r="H113" s="68"/>
      <c r="I113" s="122">
        <f t="shared" ref="I113:I114" si="98">F113+G113-H113</f>
        <v>660.21025725699997</v>
      </c>
      <c r="J113" s="68">
        <f t="shared" si="94"/>
        <v>177.13632269683069</v>
      </c>
      <c r="K113" s="156">
        <v>20.465806367457674</v>
      </c>
      <c r="L113" s="68"/>
      <c r="M113" s="122">
        <f t="shared" si="95"/>
        <v>197.60212906428836</v>
      </c>
      <c r="N113" s="122">
        <f t="shared" si="96"/>
        <v>483.07393456016928</v>
      </c>
      <c r="O113" s="122">
        <f t="shared" si="97"/>
        <v>462.6081281927116</v>
      </c>
    </row>
    <row r="114" spans="2:17" ht="15" x14ac:dyDescent="0.2">
      <c r="B114" s="208">
        <v>4</v>
      </c>
      <c r="C114" s="143" t="s">
        <v>127</v>
      </c>
      <c r="D114" s="66">
        <v>1300</v>
      </c>
      <c r="E114" s="72">
        <v>3.4539130434782607E-2</v>
      </c>
      <c r="F114" s="122">
        <f t="shared" si="93"/>
        <v>7488.3648341778025</v>
      </c>
      <c r="G114" s="69"/>
      <c r="H114" s="70"/>
      <c r="I114" s="122">
        <f t="shared" si="98"/>
        <v>7488.3648341778025</v>
      </c>
      <c r="J114" s="68">
        <f t="shared" si="94"/>
        <v>1769.3626906987986</v>
      </c>
      <c r="K114" s="156">
        <v>281.95481751213953</v>
      </c>
      <c r="L114" s="68"/>
      <c r="M114" s="122">
        <f t="shared" si="95"/>
        <v>2051.3175082109383</v>
      </c>
      <c r="N114" s="122">
        <f t="shared" si="96"/>
        <v>5719.0021434790042</v>
      </c>
      <c r="O114" s="122">
        <f t="shared" si="97"/>
        <v>5437.0473259668643</v>
      </c>
    </row>
    <row r="115" spans="2:17" ht="15" x14ac:dyDescent="0.2">
      <c r="B115" s="208">
        <v>5</v>
      </c>
      <c r="C115" s="143" t="s">
        <v>502</v>
      </c>
      <c r="D115" s="66">
        <v>1400</v>
      </c>
      <c r="E115" s="209">
        <v>3.4539130434782607E-2</v>
      </c>
      <c r="F115" s="122">
        <f t="shared" si="93"/>
        <v>117.38</v>
      </c>
      <c r="G115" s="69"/>
      <c r="H115" s="68"/>
      <c r="I115" s="122">
        <f>F115+G115-H115</f>
        <v>117.38</v>
      </c>
      <c r="J115" s="68">
        <f t="shared" si="94"/>
        <v>14.431775241521695</v>
      </c>
      <c r="K115" s="156">
        <v>0.62046093913043487</v>
      </c>
      <c r="L115" s="68"/>
      <c r="M115" s="122">
        <f>J115+K115-L115</f>
        <v>15.05223618065213</v>
      </c>
      <c r="N115" s="122">
        <f>F115-J115</f>
        <v>102.9482247584783</v>
      </c>
      <c r="O115" s="122">
        <f>I115-M115</f>
        <v>102.32776381934787</v>
      </c>
    </row>
    <row r="116" spans="2:17" ht="15" x14ac:dyDescent="0.2">
      <c r="B116" s="208">
        <v>6</v>
      </c>
      <c r="C116" s="143" t="s">
        <v>503</v>
      </c>
      <c r="D116" s="66">
        <v>1500</v>
      </c>
      <c r="E116" s="67">
        <v>3.4539130434782607E-2</v>
      </c>
      <c r="F116" s="122">
        <f t="shared" si="93"/>
        <v>816.81525275699994</v>
      </c>
      <c r="G116" s="69"/>
      <c r="H116" s="68"/>
      <c r="I116" s="122">
        <f>F116+G116-H116</f>
        <v>816.81525275699994</v>
      </c>
      <c r="J116" s="68">
        <f t="shared" si="94"/>
        <v>244.92020627893822</v>
      </c>
      <c r="K116" s="156">
        <v>25.390879700484554</v>
      </c>
      <c r="L116" s="68"/>
      <c r="M116" s="122">
        <f t="shared" ref="M116:M118" si="99">J116+K116-L116</f>
        <v>270.31108597942278</v>
      </c>
      <c r="N116" s="122">
        <f t="shared" ref="N116:N118" si="100">F116-J116</f>
        <v>571.89504647806166</v>
      </c>
      <c r="O116" s="122">
        <f t="shared" ref="O116:O118" si="101">I116-M116</f>
        <v>546.50416677757721</v>
      </c>
    </row>
    <row r="117" spans="2:17" ht="15" x14ac:dyDescent="0.2">
      <c r="B117" s="208">
        <v>7</v>
      </c>
      <c r="C117" s="143" t="s">
        <v>504</v>
      </c>
      <c r="D117" s="66">
        <v>1600</v>
      </c>
      <c r="E117" s="67">
        <v>2.975714285714286E-2</v>
      </c>
      <c r="F117" s="122">
        <f t="shared" si="93"/>
        <v>52.925747957999995</v>
      </c>
      <c r="G117" s="69"/>
      <c r="H117" s="68"/>
      <c r="I117" s="122">
        <f t="shared" ref="I117:I118" si="102">F117+G117-H117</f>
        <v>52.925747957999995</v>
      </c>
      <c r="J117" s="68">
        <f t="shared" si="94"/>
        <v>8.9091282660238313</v>
      </c>
      <c r="K117" s="156">
        <v>1.3760381319702431</v>
      </c>
      <c r="L117" s="68"/>
      <c r="M117" s="122">
        <f t="shared" si="99"/>
        <v>10.285166397994075</v>
      </c>
      <c r="N117" s="122">
        <f t="shared" si="100"/>
        <v>44.01661969197616</v>
      </c>
      <c r="O117" s="122">
        <f t="shared" si="101"/>
        <v>42.64058156000592</v>
      </c>
    </row>
    <row r="118" spans="2:17" ht="15" x14ac:dyDescent="0.2">
      <c r="B118" s="208">
        <v>8</v>
      </c>
      <c r="C118" s="143" t="s">
        <v>132</v>
      </c>
      <c r="D118" s="66">
        <v>1700</v>
      </c>
      <c r="E118" s="72">
        <v>0.23666666666666666</v>
      </c>
      <c r="F118" s="122">
        <f t="shared" si="93"/>
        <v>78.205178107999998</v>
      </c>
      <c r="G118" s="69"/>
      <c r="H118" s="70"/>
      <c r="I118" s="122">
        <f t="shared" si="102"/>
        <v>78.205178107999998</v>
      </c>
      <c r="J118" s="68">
        <f t="shared" si="94"/>
        <v>0.57969615596599999</v>
      </c>
      <c r="K118" s="156">
        <v>0</v>
      </c>
      <c r="L118" s="68"/>
      <c r="M118" s="122">
        <f t="shared" si="99"/>
        <v>0.57969615596599999</v>
      </c>
      <c r="N118" s="122">
        <f t="shared" si="100"/>
        <v>77.625481952033994</v>
      </c>
      <c r="O118" s="122">
        <f t="shared" si="101"/>
        <v>77.625481952033994</v>
      </c>
    </row>
    <row r="119" spans="2:17" ht="15" x14ac:dyDescent="0.2">
      <c r="B119" s="208">
        <v>9</v>
      </c>
      <c r="C119" s="143" t="s">
        <v>505</v>
      </c>
      <c r="D119" s="66">
        <v>1800</v>
      </c>
      <c r="E119" s="209">
        <v>9.6675000000000011E-2</v>
      </c>
      <c r="F119" s="122">
        <f t="shared" si="93"/>
        <v>1.1846070449999999</v>
      </c>
      <c r="G119" s="69"/>
      <c r="H119" s="68"/>
      <c r="I119" s="122">
        <f>F119+G119-H119</f>
        <v>1.1846070449999999</v>
      </c>
      <c r="J119" s="68">
        <f t="shared" si="94"/>
        <v>0.59185722087135006</v>
      </c>
      <c r="K119" s="156">
        <v>0.10306969746783751</v>
      </c>
      <c r="L119" s="68"/>
      <c r="M119" s="122">
        <f>J119+K119-L119</f>
        <v>0.69492691833918752</v>
      </c>
      <c r="N119" s="122">
        <f>F119-J119</f>
        <v>0.59274982412864985</v>
      </c>
      <c r="O119" s="122">
        <f>I119-M119</f>
        <v>0.4896801266608124</v>
      </c>
    </row>
    <row r="120" spans="2:17" ht="15" x14ac:dyDescent="0.2">
      <c r="B120" s="208">
        <v>10</v>
      </c>
      <c r="C120" s="143" t="s">
        <v>506</v>
      </c>
      <c r="D120" s="66">
        <v>1900</v>
      </c>
      <c r="E120" s="67">
        <v>0.23333333333333331</v>
      </c>
      <c r="F120" s="122">
        <f t="shared" si="93"/>
        <v>0.79299182699999993</v>
      </c>
      <c r="G120" s="69"/>
      <c r="H120" s="68"/>
      <c r="I120" s="122">
        <f>F120+G120-H120</f>
        <v>0.79299182699999993</v>
      </c>
      <c r="J120" s="68">
        <f t="shared" si="94"/>
        <v>0.72113332114999995</v>
      </c>
      <c r="K120" s="156">
        <v>0</v>
      </c>
      <c r="L120" s="68"/>
      <c r="M120" s="122">
        <f t="shared" ref="M120:M122" si="103">J120+K120-L120</f>
        <v>0.72113332114999995</v>
      </c>
      <c r="N120" s="122">
        <f t="shared" ref="N120:N122" si="104">F120-J120</f>
        <v>7.1858505849999976E-2</v>
      </c>
      <c r="O120" s="122">
        <f t="shared" ref="O120:O122" si="105">I120-M120</f>
        <v>7.1858505849999976E-2</v>
      </c>
    </row>
    <row r="121" spans="2:17" ht="15" x14ac:dyDescent="0.2">
      <c r="B121" s="208">
        <v>11</v>
      </c>
      <c r="C121" s="143" t="s">
        <v>134</v>
      </c>
      <c r="D121" s="66">
        <v>2100</v>
      </c>
      <c r="E121" s="67">
        <v>9.6675000000000011E-2</v>
      </c>
      <c r="F121" s="122">
        <f t="shared" si="93"/>
        <v>0.49949814399999998</v>
      </c>
      <c r="G121" s="69"/>
      <c r="H121" s="68"/>
      <c r="I121" s="122">
        <f t="shared" ref="I121:I122" si="106">F121+G121-H121</f>
        <v>0.49949814399999998</v>
      </c>
      <c r="J121" s="68">
        <f t="shared" si="94"/>
        <v>0.23215973445631999</v>
      </c>
      <c r="K121" s="156">
        <v>2.1184855279999998E-2</v>
      </c>
      <c r="L121" s="68"/>
      <c r="M121" s="122">
        <f t="shared" si="103"/>
        <v>0.25334458973632001</v>
      </c>
      <c r="N121" s="122">
        <f t="shared" si="104"/>
        <v>0.26733840954367999</v>
      </c>
      <c r="O121" s="122">
        <f t="shared" si="105"/>
        <v>0.24615355426367996</v>
      </c>
    </row>
    <row r="122" spans="2:17" ht="15" x14ac:dyDescent="0.2">
      <c r="B122" s="208"/>
      <c r="C122" s="143" t="s">
        <v>524</v>
      </c>
      <c r="D122" s="66">
        <v>0</v>
      </c>
      <c r="E122" s="72">
        <v>0.2</v>
      </c>
      <c r="F122" s="122">
        <f t="shared" si="93"/>
        <v>5.1367748241977269</v>
      </c>
      <c r="G122" s="69"/>
      <c r="H122" s="70"/>
      <c r="I122" s="122">
        <f t="shared" si="106"/>
        <v>5.1367748241977269</v>
      </c>
      <c r="J122" s="68">
        <f t="shared" si="94"/>
        <v>3.5317420769384098</v>
      </c>
      <c r="K122" s="156">
        <v>1.0090691648395456</v>
      </c>
      <c r="L122" s="68"/>
      <c r="M122" s="122">
        <f t="shared" si="103"/>
        <v>4.5408112417779556</v>
      </c>
      <c r="N122" s="122">
        <f t="shared" si="104"/>
        <v>1.6050327472593171</v>
      </c>
      <c r="O122" s="122">
        <f t="shared" si="105"/>
        <v>0.59596358241977132</v>
      </c>
    </row>
    <row r="123" spans="2:17" ht="15" x14ac:dyDescent="0.2">
      <c r="B123" s="208"/>
      <c r="C123" s="66" t="s">
        <v>139</v>
      </c>
      <c r="D123" s="66"/>
      <c r="E123" s="210">
        <f>IFERROR((K123-L123)/AVERAGE(F123,I123),0)</f>
        <v>3.48732164808222E-2</v>
      </c>
      <c r="F123" s="123">
        <f>I106</f>
        <v>9971.5796676709997</v>
      </c>
      <c r="G123" s="123">
        <f>'F3'!M12</f>
        <v>0</v>
      </c>
      <c r="H123" s="123">
        <f t="shared" ref="H123:L123" si="107">SUM(H111:H122)</f>
        <v>0</v>
      </c>
      <c r="I123" s="123">
        <f>F123</f>
        <v>9971.5796676709997</v>
      </c>
      <c r="J123" s="123">
        <f>M106</f>
        <v>2367.3346851842389</v>
      </c>
      <c r="K123" s="266">
        <v>347.74105640645587</v>
      </c>
      <c r="L123" s="123">
        <f t="shared" si="107"/>
        <v>0</v>
      </c>
      <c r="M123" s="123">
        <f>J123+K123</f>
        <v>2715.0757415906946</v>
      </c>
      <c r="N123" s="123">
        <f>F123-J123</f>
        <v>7604.2449824867608</v>
      </c>
      <c r="O123" s="123">
        <f>I123-M123</f>
        <v>7256.5039260803051</v>
      </c>
      <c r="Q123" s="243"/>
    </row>
    <row r="124" spans="2:17" hidden="1" x14ac:dyDescent="0.2">
      <c r="F124" s="243">
        <f>SUM(F111:F122)</f>
        <v>9971.5927885509973</v>
      </c>
      <c r="G124" s="243">
        <f t="shared" ref="G124:N124" si="108">SUM(G111:G122)</f>
        <v>0</v>
      </c>
      <c r="H124" s="243">
        <f t="shared" si="108"/>
        <v>0</v>
      </c>
      <c r="I124" s="243">
        <f t="shared" si="108"/>
        <v>9971.5927885509973</v>
      </c>
      <c r="J124" s="243">
        <f t="shared" si="108"/>
        <v>2367.3346851842384</v>
      </c>
      <c r="K124" s="243">
        <f t="shared" si="108"/>
        <v>347.74105640645587</v>
      </c>
      <c r="L124" s="243">
        <f t="shared" si="108"/>
        <v>0</v>
      </c>
      <c r="M124" s="243">
        <f t="shared" si="108"/>
        <v>2715.0757415906946</v>
      </c>
      <c r="N124" s="243">
        <f t="shared" si="108"/>
        <v>7604.2581033667611</v>
      </c>
      <c r="O124" s="243">
        <f>SUM(O111:O122)</f>
        <v>7256.5170469603036</v>
      </c>
    </row>
    <row r="125" spans="2:17" x14ac:dyDescent="0.2">
      <c r="F125" s="243"/>
      <c r="G125" s="243"/>
      <c r="H125" s="243"/>
      <c r="I125" s="243"/>
      <c r="J125" s="243"/>
      <c r="K125" s="243"/>
      <c r="L125" s="243"/>
      <c r="M125" s="243"/>
      <c r="N125" s="243"/>
      <c r="O125" s="243"/>
      <c r="Q125" s="243"/>
    </row>
    <row r="126" spans="2:17" x14ac:dyDescent="0.2">
      <c r="K126" s="243"/>
    </row>
  </sheetData>
  <mergeCells count="59">
    <mergeCell ref="B108:O108"/>
    <mergeCell ref="B109:B110"/>
    <mergeCell ref="C109:C110"/>
    <mergeCell ref="D109:D110"/>
    <mergeCell ref="E109:E110"/>
    <mergeCell ref="F109:I109"/>
    <mergeCell ref="J109:M109"/>
    <mergeCell ref="N109:O109"/>
    <mergeCell ref="B91:O91"/>
    <mergeCell ref="B92:B93"/>
    <mergeCell ref="C92:C93"/>
    <mergeCell ref="D92:D93"/>
    <mergeCell ref="E92:E93"/>
    <mergeCell ref="F92:I92"/>
    <mergeCell ref="J92:M92"/>
    <mergeCell ref="N92:O92"/>
    <mergeCell ref="B74:O74"/>
    <mergeCell ref="B75:B76"/>
    <mergeCell ref="C75:C76"/>
    <mergeCell ref="D75:D76"/>
    <mergeCell ref="E75:E76"/>
    <mergeCell ref="F75:I75"/>
    <mergeCell ref="J75:M75"/>
    <mergeCell ref="N75:O75"/>
    <mergeCell ref="B57:O57"/>
    <mergeCell ref="B58:B59"/>
    <mergeCell ref="C58:C59"/>
    <mergeCell ref="D58:D59"/>
    <mergeCell ref="E58:E59"/>
    <mergeCell ref="F58:I58"/>
    <mergeCell ref="J58:M58"/>
    <mergeCell ref="N58:O58"/>
    <mergeCell ref="D24:D25"/>
    <mergeCell ref="E24:E25"/>
    <mergeCell ref="F24:I24"/>
    <mergeCell ref="B40:O40"/>
    <mergeCell ref="B41:B42"/>
    <mergeCell ref="C41:C42"/>
    <mergeCell ref="D41:D42"/>
    <mergeCell ref="E41:E42"/>
    <mergeCell ref="F41:I41"/>
    <mergeCell ref="J41:M41"/>
    <mergeCell ref="N41:O41"/>
    <mergeCell ref="B2:O2"/>
    <mergeCell ref="B3:O3"/>
    <mergeCell ref="B4:O4"/>
    <mergeCell ref="B6:O6"/>
    <mergeCell ref="J24:M24"/>
    <mergeCell ref="N24:O24"/>
    <mergeCell ref="B23:O23"/>
    <mergeCell ref="B7:B8"/>
    <mergeCell ref="C7:C8"/>
    <mergeCell ref="D7:D8"/>
    <mergeCell ref="E7:E8"/>
    <mergeCell ref="F7:I7"/>
    <mergeCell ref="J7:M7"/>
    <mergeCell ref="N7:O7"/>
    <mergeCell ref="B24:B25"/>
    <mergeCell ref="C24:C25"/>
  </mergeCells>
  <pageMargins left="1.0236220472440944" right="0.23622047244094491" top="0.38" bottom="0.3" header="0.23622047244094491" footer="0.23622047244094491"/>
  <pageSetup paperSize="9" scale="62" orientation="landscape" r:id="rId1"/>
  <headerFooter alignWithMargins="0">
    <oddHeader>&amp;F</oddHeader>
  </headerFooter>
  <rowBreaks count="2" manualBreakCount="2">
    <brk id="39" max="16383" man="1"/>
    <brk id="9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62"/>
  <sheetViews>
    <sheetView showGridLines="0" view="pageBreakPreview" zoomScale="90" zoomScaleNormal="80" zoomScaleSheetLayoutView="90" workbookViewId="0">
      <selection activeCell="O27" sqref="O27"/>
    </sheetView>
  </sheetViews>
  <sheetFormatPr defaultColWidth="9.28515625" defaultRowHeight="15" x14ac:dyDescent="0.2"/>
  <cols>
    <col min="1" max="1" width="2.7109375" style="166" customWidth="1"/>
    <col min="2" max="2" width="6.28515625" style="166" customWidth="1"/>
    <col min="3" max="3" width="56.7109375" style="166" customWidth="1"/>
    <col min="4" max="4" width="13.7109375" style="166" bestFit="1" customWidth="1"/>
    <col min="5" max="5" width="12.5703125" style="166" bestFit="1" customWidth="1"/>
    <col min="6" max="6" width="13.42578125" style="166" bestFit="1" customWidth="1"/>
    <col min="7" max="7" width="13.7109375" style="166" bestFit="1" customWidth="1"/>
    <col min="8" max="8" width="12.5703125" style="166" customWidth="1"/>
    <col min="9" max="9" width="11.7109375" style="166" bestFit="1" customWidth="1"/>
    <col min="10" max="10" width="13.7109375" style="166" bestFit="1" customWidth="1"/>
    <col min="11" max="16" width="11.7109375" style="166" bestFit="1" customWidth="1"/>
    <col min="17" max="16384" width="9.28515625" style="166"/>
  </cols>
  <sheetData>
    <row r="1" spans="2:13" ht="15.75" x14ac:dyDescent="0.2">
      <c r="B1" s="165"/>
    </row>
    <row r="2" spans="2:13" ht="15.75" x14ac:dyDescent="0.2">
      <c r="B2" s="294" t="s">
        <v>551</v>
      </c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</row>
    <row r="3" spans="2:13" ht="15.75" x14ac:dyDescent="0.2">
      <c r="B3" s="294" t="s">
        <v>519</v>
      </c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</row>
    <row r="4" spans="2:13" ht="15.75" x14ac:dyDescent="0.2">
      <c r="B4" s="294" t="s">
        <v>566</v>
      </c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</row>
    <row r="5" spans="2:13" ht="15.75" x14ac:dyDescent="0.2">
      <c r="B5" s="73" t="s">
        <v>57</v>
      </c>
      <c r="C5" s="165" t="s">
        <v>309</v>
      </c>
      <c r="D5" s="167"/>
      <c r="E5" s="167"/>
      <c r="F5" s="167"/>
      <c r="G5" s="167"/>
      <c r="H5" s="167"/>
      <c r="I5" s="167"/>
      <c r="J5" s="167"/>
    </row>
    <row r="6" spans="2:13" ht="15.75" x14ac:dyDescent="0.2">
      <c r="M6" s="7" t="s">
        <v>4</v>
      </c>
    </row>
    <row r="7" spans="2:13" s="6" customFormat="1" ht="39.75" customHeight="1" x14ac:dyDescent="0.2">
      <c r="B7" s="301" t="s">
        <v>210</v>
      </c>
      <c r="C7" s="304" t="s">
        <v>18</v>
      </c>
      <c r="D7" s="308" t="s">
        <v>520</v>
      </c>
      <c r="E7" s="309"/>
      <c r="F7" s="310"/>
      <c r="G7" s="308" t="s">
        <v>521</v>
      </c>
      <c r="H7" s="309"/>
      <c r="I7" s="340" t="s">
        <v>252</v>
      </c>
      <c r="J7" s="340"/>
      <c r="K7" s="340"/>
      <c r="L7" s="340"/>
      <c r="M7" s="340"/>
    </row>
    <row r="8" spans="2:13" s="6" customFormat="1" ht="47.25" x14ac:dyDescent="0.2">
      <c r="B8" s="302"/>
      <c r="C8" s="304"/>
      <c r="D8" s="147" t="s">
        <v>397</v>
      </c>
      <c r="E8" s="147" t="s">
        <v>270</v>
      </c>
      <c r="F8" s="147" t="s">
        <v>226</v>
      </c>
      <c r="G8" s="147" t="s">
        <v>397</v>
      </c>
      <c r="H8" s="147" t="s">
        <v>269</v>
      </c>
      <c r="I8" s="147" t="s">
        <v>486</v>
      </c>
      <c r="J8" s="147" t="s">
        <v>487</v>
      </c>
      <c r="K8" s="147" t="s">
        <v>488</v>
      </c>
      <c r="L8" s="147" t="s">
        <v>489</v>
      </c>
      <c r="M8" s="147" t="s">
        <v>490</v>
      </c>
    </row>
    <row r="9" spans="2:13" s="6" customFormat="1" ht="15.75" x14ac:dyDescent="0.2">
      <c r="B9" s="303"/>
      <c r="C9" s="305"/>
      <c r="D9" s="147" t="s">
        <v>10</v>
      </c>
      <c r="E9" s="147" t="s">
        <v>12</v>
      </c>
      <c r="F9" s="147" t="s">
        <v>259</v>
      </c>
      <c r="G9" s="147" t="s">
        <v>10</v>
      </c>
      <c r="H9" s="147" t="s">
        <v>5</v>
      </c>
      <c r="I9" s="147" t="s">
        <v>8</v>
      </c>
      <c r="J9" s="147" t="s">
        <v>8</v>
      </c>
      <c r="K9" s="147" t="s">
        <v>8</v>
      </c>
      <c r="L9" s="147" t="s">
        <v>8</v>
      </c>
      <c r="M9" s="147" t="s">
        <v>8</v>
      </c>
    </row>
    <row r="10" spans="2:13" x14ac:dyDescent="0.2">
      <c r="B10" s="168">
        <v>1</v>
      </c>
      <c r="C10" s="169" t="s">
        <v>188</v>
      </c>
      <c r="D10" s="170">
        <f>'F4'!F21*70%</f>
        <v>4862.4034697385005</v>
      </c>
      <c r="E10" s="171">
        <f>D10</f>
        <v>4862.4034697385005</v>
      </c>
      <c r="F10" s="171">
        <f>E10</f>
        <v>4862.4034697385005</v>
      </c>
      <c r="G10" s="172"/>
      <c r="H10" s="172">
        <f>'F4'!F38*70%</f>
        <v>5081.3850833696997</v>
      </c>
      <c r="I10" s="172">
        <f>H10+H14</f>
        <v>5211.6970833696996</v>
      </c>
      <c r="J10" s="172">
        <f t="shared" ref="J10:M10" si="0">I10+I14</f>
        <v>6139.6475963696994</v>
      </c>
      <c r="K10" s="172">
        <f t="shared" si="0"/>
        <v>6980.1057673696996</v>
      </c>
      <c r="L10" s="172">
        <f t="shared" si="0"/>
        <v>6980.1057673696996</v>
      </c>
      <c r="M10" s="172">
        <f t="shared" si="0"/>
        <v>6980.1057673696996</v>
      </c>
    </row>
    <row r="11" spans="2:13" x14ac:dyDescent="0.2">
      <c r="B11" s="173">
        <f>B10+1</f>
        <v>2</v>
      </c>
      <c r="C11" s="169" t="s">
        <v>189</v>
      </c>
      <c r="D11" s="170">
        <f>'F4'!J21</f>
        <v>400.78036400299999</v>
      </c>
      <c r="E11" s="171">
        <f>D11</f>
        <v>400.78036400299999</v>
      </c>
      <c r="F11" s="171">
        <f>E11</f>
        <v>400.78036400299999</v>
      </c>
      <c r="G11" s="172"/>
      <c r="H11" s="172">
        <f>'F4'!J38</f>
        <v>761.66063824600008</v>
      </c>
      <c r="I11" s="172">
        <f>H11+H15</f>
        <v>1133.5140439740001</v>
      </c>
      <c r="J11" s="172">
        <f t="shared" ref="J11:M11" si="1">I11+I15</f>
        <v>1375.5679445363</v>
      </c>
      <c r="K11" s="172">
        <f t="shared" si="1"/>
        <v>1671.8525723713274</v>
      </c>
      <c r="L11" s="172">
        <f t="shared" si="1"/>
        <v>2019.5936287777831</v>
      </c>
      <c r="M11" s="172">
        <f t="shared" si="1"/>
        <v>2367.3346851842389</v>
      </c>
    </row>
    <row r="12" spans="2:13" ht="15.75" x14ac:dyDescent="0.2">
      <c r="B12" s="173">
        <f t="shared" ref="B12:B22" si="2">B11+1</f>
        <v>3</v>
      </c>
      <c r="C12" s="174" t="s">
        <v>190</v>
      </c>
      <c r="D12" s="175">
        <f>D10-D11</f>
        <v>4461.6231057355008</v>
      </c>
      <c r="E12" s="175">
        <f t="shared" ref="E12:M12" si="3">E10-E11</f>
        <v>4461.6231057355008</v>
      </c>
      <c r="F12" s="175">
        <f t="shared" si="3"/>
        <v>4461.6231057355008</v>
      </c>
      <c r="G12" s="175">
        <f>G10-G11</f>
        <v>0</v>
      </c>
      <c r="H12" s="175">
        <f t="shared" si="3"/>
        <v>4319.7244451236993</v>
      </c>
      <c r="I12" s="175">
        <f>I10-I11</f>
        <v>4078.1830393956998</v>
      </c>
      <c r="J12" s="175">
        <f t="shared" si="3"/>
        <v>4764.0796518333991</v>
      </c>
      <c r="K12" s="175">
        <f t="shared" si="3"/>
        <v>5308.2531949983722</v>
      </c>
      <c r="L12" s="175">
        <f t="shared" si="3"/>
        <v>4960.5121385919165</v>
      </c>
      <c r="M12" s="175">
        <f t="shared" si="3"/>
        <v>4612.7710821854607</v>
      </c>
    </row>
    <row r="13" spans="2:13" ht="30" x14ac:dyDescent="0.2">
      <c r="B13" s="173">
        <f t="shared" si="2"/>
        <v>4</v>
      </c>
      <c r="C13" s="176" t="s">
        <v>191</v>
      </c>
      <c r="D13" s="177"/>
      <c r="E13" s="177"/>
      <c r="F13" s="177"/>
      <c r="G13" s="177"/>
      <c r="H13" s="177"/>
      <c r="I13" s="177"/>
      <c r="J13" s="177"/>
      <c r="K13" s="177"/>
      <c r="L13" s="177"/>
      <c r="M13" s="177"/>
    </row>
    <row r="14" spans="2:13" s="181" customFormat="1" ht="30" x14ac:dyDescent="0.2">
      <c r="B14" s="173">
        <f t="shared" si="2"/>
        <v>5</v>
      </c>
      <c r="C14" s="178" t="s">
        <v>547</v>
      </c>
      <c r="D14" s="177"/>
      <c r="E14" s="179">
        <f>F3.1!H25*70%</f>
        <v>218.98215529259997</v>
      </c>
      <c r="F14" s="179">
        <f>E14</f>
        <v>218.98215529259997</v>
      </c>
      <c r="G14" s="180"/>
      <c r="H14" s="180">
        <f>'F4'!G38*70%</f>
        <v>130.31199999999998</v>
      </c>
      <c r="I14" s="180">
        <f>F3.1!H45*70%</f>
        <v>927.95051299999989</v>
      </c>
      <c r="J14" s="180">
        <f>F3.1!H51*70%</f>
        <v>840.45817099999999</v>
      </c>
      <c r="K14" s="180">
        <f>F3.1!H57*70%</f>
        <v>0</v>
      </c>
      <c r="L14" s="180">
        <f>F3.1!H63*70%</f>
        <v>0</v>
      </c>
      <c r="M14" s="180">
        <f>F3.1!H69*70%</f>
        <v>0</v>
      </c>
    </row>
    <row r="15" spans="2:13" x14ac:dyDescent="0.2">
      <c r="B15" s="173">
        <f t="shared" si="2"/>
        <v>6</v>
      </c>
      <c r="C15" s="176" t="s">
        <v>196</v>
      </c>
      <c r="D15" s="182">
        <f>'F4'!K21</f>
        <v>360.88027424299997</v>
      </c>
      <c r="E15" s="182">
        <f>D15</f>
        <v>360.88027424299997</v>
      </c>
      <c r="F15" s="182">
        <f>'F1'!H12</f>
        <v>360.88027424299997</v>
      </c>
      <c r="G15" s="182">
        <f>'F1'!I12</f>
        <v>300.23</v>
      </c>
      <c r="H15" s="182">
        <f>'F1'!J12</f>
        <v>371.85340572799993</v>
      </c>
      <c r="I15" s="182">
        <f>'F1'!K12</f>
        <v>242.05390056230002</v>
      </c>
      <c r="J15" s="182">
        <f>'F1'!L12</f>
        <v>296.28462783502727</v>
      </c>
      <c r="K15" s="182">
        <f>'F1'!M12</f>
        <v>347.74105640645587</v>
      </c>
      <c r="L15" s="182">
        <f>'F1'!N12</f>
        <v>347.74105640645587</v>
      </c>
      <c r="M15" s="182">
        <f>'F1'!O12</f>
        <v>347.74105640645587</v>
      </c>
    </row>
    <row r="16" spans="2:13" ht="15.75" x14ac:dyDescent="0.2">
      <c r="B16" s="173">
        <f t="shared" si="2"/>
        <v>7</v>
      </c>
      <c r="C16" s="169" t="s">
        <v>192</v>
      </c>
      <c r="D16" s="175">
        <f>D12-D13+D14-D15</f>
        <v>4100.742831492501</v>
      </c>
      <c r="E16" s="175">
        <f t="shared" ref="E16:M16" si="4">E12-E13+E14-E15</f>
        <v>4319.7249867851006</v>
      </c>
      <c r="F16" s="175">
        <f t="shared" si="4"/>
        <v>4319.7249867851006</v>
      </c>
      <c r="G16" s="175">
        <f t="shared" si="4"/>
        <v>-300.23</v>
      </c>
      <c r="H16" s="175">
        <f t="shared" si="4"/>
        <v>4078.1830393956993</v>
      </c>
      <c r="I16" s="175">
        <f t="shared" si="4"/>
        <v>4764.0796518333991</v>
      </c>
      <c r="J16" s="175">
        <f t="shared" si="4"/>
        <v>5308.2531949983722</v>
      </c>
      <c r="K16" s="175">
        <f t="shared" si="4"/>
        <v>4960.5121385919165</v>
      </c>
      <c r="L16" s="175">
        <f t="shared" si="4"/>
        <v>4612.7710821854607</v>
      </c>
      <c r="M16" s="175">
        <f t="shared" si="4"/>
        <v>4265.030025779005</v>
      </c>
    </row>
    <row r="17" spans="2:13" ht="15.75" x14ac:dyDescent="0.2">
      <c r="B17" s="173">
        <f t="shared" si="2"/>
        <v>8</v>
      </c>
      <c r="C17" s="169" t="s">
        <v>193</v>
      </c>
      <c r="D17" s="175">
        <f>D10-D13+D14-D15</f>
        <v>4501.5231954955007</v>
      </c>
      <c r="E17" s="175">
        <f t="shared" ref="E17:M17" si="5">E10-E13+E14-E15</f>
        <v>4720.5053507881003</v>
      </c>
      <c r="F17" s="175">
        <f t="shared" si="5"/>
        <v>4720.5053507881003</v>
      </c>
      <c r="G17" s="175">
        <f t="shared" si="5"/>
        <v>-300.23</v>
      </c>
      <c r="H17" s="175">
        <f t="shared" si="5"/>
        <v>4839.8436776416993</v>
      </c>
      <c r="I17" s="175">
        <f t="shared" si="5"/>
        <v>5897.5936958073989</v>
      </c>
      <c r="J17" s="175">
        <f t="shared" si="5"/>
        <v>6683.8211395346725</v>
      </c>
      <c r="K17" s="175">
        <f t="shared" si="5"/>
        <v>6632.3647109632439</v>
      </c>
      <c r="L17" s="175">
        <f t="shared" si="5"/>
        <v>6632.3647109632439</v>
      </c>
      <c r="M17" s="175">
        <f t="shared" si="5"/>
        <v>6632.3647109632439</v>
      </c>
    </row>
    <row r="18" spans="2:13" ht="15.75" x14ac:dyDescent="0.2">
      <c r="B18" s="173">
        <f t="shared" si="2"/>
        <v>9</v>
      </c>
      <c r="C18" s="169" t="s">
        <v>232</v>
      </c>
      <c r="D18" s="175">
        <f>AVERAGE(D12,D16)</f>
        <v>4281.1829686140009</v>
      </c>
      <c r="E18" s="175">
        <f t="shared" ref="E18:M18" si="6">AVERAGE(E12,E16)</f>
        <v>4390.6740462603011</v>
      </c>
      <c r="F18" s="175">
        <f t="shared" si="6"/>
        <v>4390.6740462603011</v>
      </c>
      <c r="G18" s="175">
        <f t="shared" si="6"/>
        <v>-150.11500000000001</v>
      </c>
      <c r="H18" s="175">
        <f t="shared" si="6"/>
        <v>4198.9537422596995</v>
      </c>
      <c r="I18" s="175">
        <f t="shared" si="6"/>
        <v>4421.131345614549</v>
      </c>
      <c r="J18" s="175">
        <f t="shared" si="6"/>
        <v>5036.1664234158852</v>
      </c>
      <c r="K18" s="175">
        <f t="shared" si="6"/>
        <v>5134.3826667951444</v>
      </c>
      <c r="L18" s="175">
        <f t="shared" si="6"/>
        <v>4786.6416103886886</v>
      </c>
      <c r="M18" s="175">
        <f t="shared" si="6"/>
        <v>4438.9005539822329</v>
      </c>
    </row>
    <row r="19" spans="2:13" x14ac:dyDescent="0.2">
      <c r="B19" s="173">
        <f t="shared" si="2"/>
        <v>10</v>
      </c>
      <c r="C19" s="176" t="s">
        <v>231</v>
      </c>
      <c r="D19" s="183">
        <v>0.10680000000000001</v>
      </c>
      <c r="E19" s="183">
        <v>0.1008</v>
      </c>
      <c r="F19" s="183">
        <f>E19</f>
        <v>0.1008</v>
      </c>
      <c r="G19" s="183">
        <v>0.10680000000000001</v>
      </c>
      <c r="H19" s="183">
        <v>0.10349999999999999</v>
      </c>
      <c r="I19" s="183">
        <v>0.1037</v>
      </c>
      <c r="J19" s="183">
        <v>0.1038</v>
      </c>
      <c r="K19" s="183">
        <v>0.1038</v>
      </c>
      <c r="L19" s="183">
        <v>0.1038</v>
      </c>
      <c r="M19" s="183">
        <v>0.10390000000000001</v>
      </c>
    </row>
    <row r="20" spans="2:13" ht="15.75" x14ac:dyDescent="0.2">
      <c r="B20" s="173">
        <f t="shared" si="2"/>
        <v>11</v>
      </c>
      <c r="C20" s="169" t="s">
        <v>310</v>
      </c>
      <c r="D20" s="175">
        <f>D18*D19</f>
        <v>457.23034104797534</v>
      </c>
      <c r="E20" s="175">
        <f>E18*E19</f>
        <v>442.57994386303835</v>
      </c>
      <c r="F20" s="175">
        <f t="shared" ref="F20:M20" si="7">F18*F19</f>
        <v>442.57994386303835</v>
      </c>
      <c r="G20" s="175">
        <f t="shared" si="7"/>
        <v>-16.032282000000002</v>
      </c>
      <c r="H20" s="175">
        <f t="shared" si="7"/>
        <v>434.59171232387888</v>
      </c>
      <c r="I20" s="175">
        <f t="shared" si="7"/>
        <v>458.47132054022876</v>
      </c>
      <c r="J20" s="175">
        <f t="shared" si="7"/>
        <v>522.75407475056886</v>
      </c>
      <c r="K20" s="175">
        <f t="shared" si="7"/>
        <v>532.94892081333603</v>
      </c>
      <c r="L20" s="175">
        <f t="shared" si="7"/>
        <v>496.85339915834589</v>
      </c>
      <c r="M20" s="175">
        <f t="shared" si="7"/>
        <v>461.201767558754</v>
      </c>
    </row>
    <row r="21" spans="2:13" x14ac:dyDescent="0.2">
      <c r="B21" s="173">
        <f t="shared" si="2"/>
        <v>12</v>
      </c>
      <c r="C21" s="169" t="s">
        <v>313</v>
      </c>
      <c r="D21" s="184"/>
      <c r="E21" s="184"/>
      <c r="F21" s="184"/>
      <c r="G21" s="184"/>
      <c r="H21" s="184"/>
      <c r="I21" s="184"/>
      <c r="J21" s="184"/>
      <c r="K21" s="184"/>
      <c r="L21" s="184"/>
      <c r="M21" s="184"/>
    </row>
    <row r="22" spans="2:13" ht="15.75" x14ac:dyDescent="0.2">
      <c r="B22" s="173">
        <f t="shared" si="2"/>
        <v>13</v>
      </c>
      <c r="C22" s="169" t="s">
        <v>314</v>
      </c>
      <c r="D22" s="175">
        <v>398.79</v>
      </c>
      <c r="E22" s="175">
        <f t="shared" ref="E22:M22" si="8">E20+E21</f>
        <v>442.57994386303835</v>
      </c>
      <c r="F22" s="175">
        <f t="shared" si="8"/>
        <v>442.57994386303835</v>
      </c>
      <c r="G22" s="175">
        <v>420.94</v>
      </c>
      <c r="H22" s="175">
        <f t="shared" si="8"/>
        <v>434.59171232387888</v>
      </c>
      <c r="I22" s="175">
        <f t="shared" si="8"/>
        <v>458.47132054022876</v>
      </c>
      <c r="J22" s="175">
        <f t="shared" si="8"/>
        <v>522.75407475056886</v>
      </c>
      <c r="K22" s="175">
        <f t="shared" si="8"/>
        <v>532.94892081333603</v>
      </c>
      <c r="L22" s="175">
        <f t="shared" si="8"/>
        <v>496.85339915834589</v>
      </c>
      <c r="M22" s="175">
        <f t="shared" si="8"/>
        <v>461.201767558754</v>
      </c>
    </row>
    <row r="23" spans="2:13" x14ac:dyDescent="0.2">
      <c r="B23" s="1"/>
    </row>
    <row r="24" spans="2:13" x14ac:dyDescent="0.2">
      <c r="B24" s="1"/>
      <c r="C24" s="166" t="s">
        <v>272</v>
      </c>
    </row>
    <row r="25" spans="2:13" x14ac:dyDescent="0.2">
      <c r="C25" s="166" t="s">
        <v>435</v>
      </c>
    </row>
    <row r="27" spans="2:13" ht="15.75" x14ac:dyDescent="0.2">
      <c r="B27" s="73" t="s">
        <v>62</v>
      </c>
      <c r="C27" s="165" t="s">
        <v>311</v>
      </c>
    </row>
    <row r="28" spans="2:13" ht="15.75" x14ac:dyDescent="0.2">
      <c r="J28" s="7" t="s">
        <v>4</v>
      </c>
    </row>
    <row r="29" spans="2:13" ht="15" customHeight="1" x14ac:dyDescent="0.2">
      <c r="B29" s="301" t="s">
        <v>210</v>
      </c>
      <c r="C29" s="304" t="s">
        <v>18</v>
      </c>
      <c r="D29" s="267" t="s">
        <v>559</v>
      </c>
      <c r="E29" s="267" t="s">
        <v>494</v>
      </c>
      <c r="F29" s="268" t="s">
        <v>495</v>
      </c>
      <c r="G29" s="269" t="s">
        <v>496</v>
      </c>
      <c r="H29" s="270" t="s">
        <v>497</v>
      </c>
      <c r="I29" s="270" t="s">
        <v>498</v>
      </c>
      <c r="J29" s="271" t="s">
        <v>499</v>
      </c>
    </row>
    <row r="30" spans="2:13" ht="15.75" x14ac:dyDescent="0.2">
      <c r="B30" s="302"/>
      <c r="C30" s="304"/>
      <c r="D30" s="147" t="s">
        <v>270</v>
      </c>
      <c r="E30" s="147" t="s">
        <v>260</v>
      </c>
      <c r="F30" s="147" t="s">
        <v>261</v>
      </c>
      <c r="G30" s="147" t="s">
        <v>269</v>
      </c>
      <c r="H30" s="147" t="s">
        <v>253</v>
      </c>
      <c r="I30" s="147" t="s">
        <v>254</v>
      </c>
      <c r="J30" s="147" t="s">
        <v>255</v>
      </c>
    </row>
    <row r="31" spans="2:13" ht="15.75" x14ac:dyDescent="0.2">
      <c r="B31" s="303"/>
      <c r="C31" s="305"/>
      <c r="D31" s="147" t="s">
        <v>12</v>
      </c>
      <c r="E31" s="147" t="s">
        <v>3</v>
      </c>
      <c r="F31" s="147" t="s">
        <v>5</v>
      </c>
      <c r="G31" s="147" t="s">
        <v>5</v>
      </c>
      <c r="H31" s="147" t="s">
        <v>8</v>
      </c>
      <c r="I31" s="147" t="s">
        <v>8</v>
      </c>
      <c r="J31" s="147" t="s">
        <v>8</v>
      </c>
    </row>
    <row r="32" spans="2:13" ht="15.75" x14ac:dyDescent="0.2">
      <c r="B32" s="173">
        <v>1</v>
      </c>
      <c r="C32" s="272" t="s">
        <v>560</v>
      </c>
      <c r="D32" s="171"/>
      <c r="E32" s="169"/>
      <c r="F32" s="169"/>
      <c r="G32" s="169"/>
      <c r="H32" s="169"/>
      <c r="I32" s="169"/>
      <c r="J32" s="169"/>
    </row>
    <row r="33" spans="2:10" x14ac:dyDescent="0.2">
      <c r="B33" s="169"/>
      <c r="C33" s="171" t="s">
        <v>13</v>
      </c>
      <c r="D33" s="171">
        <v>6047.09</v>
      </c>
      <c r="E33" s="171">
        <v>5745.33</v>
      </c>
      <c r="F33" s="171">
        <v>5466.55</v>
      </c>
      <c r="G33" s="171">
        <v>5238.7800000000007</v>
      </c>
      <c r="H33" s="171">
        <v>4811.130000000001</v>
      </c>
      <c r="I33" s="171">
        <v>4383.4800000000014</v>
      </c>
      <c r="J33" s="171">
        <v>3955.8300000000013</v>
      </c>
    </row>
    <row r="34" spans="2:10" x14ac:dyDescent="0.2">
      <c r="B34" s="169"/>
      <c r="C34" s="171" t="s">
        <v>177</v>
      </c>
      <c r="D34" s="171">
        <v>0.61</v>
      </c>
      <c r="E34" s="171">
        <v>129.22</v>
      </c>
      <c r="F34" s="171">
        <v>196.09</v>
      </c>
      <c r="G34" s="171">
        <v>0</v>
      </c>
      <c r="H34" s="171">
        <v>0</v>
      </c>
      <c r="I34" s="171">
        <v>0</v>
      </c>
      <c r="J34" s="171">
        <v>0</v>
      </c>
    </row>
    <row r="35" spans="2:10" x14ac:dyDescent="0.2">
      <c r="B35" s="169"/>
      <c r="C35" s="171" t="s">
        <v>14</v>
      </c>
      <c r="D35" s="171">
        <v>302.37</v>
      </c>
      <c r="E35" s="171">
        <v>408</v>
      </c>
      <c r="F35" s="171">
        <v>423.86</v>
      </c>
      <c r="G35" s="171">
        <v>427.65</v>
      </c>
      <c r="H35" s="171">
        <v>427.65</v>
      </c>
      <c r="I35" s="171">
        <v>427.65</v>
      </c>
      <c r="J35" s="171">
        <v>427.65</v>
      </c>
    </row>
    <row r="36" spans="2:10" ht="15.75" x14ac:dyDescent="0.2">
      <c r="B36" s="169"/>
      <c r="C36" s="171" t="s">
        <v>15</v>
      </c>
      <c r="D36" s="186">
        <v>5745.33</v>
      </c>
      <c r="E36" s="186">
        <v>5466.55</v>
      </c>
      <c r="F36" s="186">
        <v>5238.7800000000007</v>
      </c>
      <c r="G36" s="186">
        <v>4811.130000000001</v>
      </c>
      <c r="H36" s="186">
        <v>4383.4800000000014</v>
      </c>
      <c r="I36" s="186">
        <v>3955.8300000000013</v>
      </c>
      <c r="J36" s="186">
        <v>3528.1800000000012</v>
      </c>
    </row>
    <row r="37" spans="2:10" ht="15.75" x14ac:dyDescent="0.2">
      <c r="B37" s="169"/>
      <c r="C37" s="171" t="s">
        <v>233</v>
      </c>
      <c r="D37" s="186">
        <v>5936.4087301587297</v>
      </c>
      <c r="E37" s="186">
        <v>5545.7198443579764</v>
      </c>
      <c r="F37" s="186">
        <v>5421.5953307393002</v>
      </c>
      <c r="G37" s="186">
        <v>5043.9688715953307</v>
      </c>
      <c r="H37" s="186">
        <v>4616.3424124513622</v>
      </c>
      <c r="I37" s="186">
        <v>4199.6108949416348</v>
      </c>
      <c r="J37" s="186">
        <v>3760.9922178988327</v>
      </c>
    </row>
    <row r="38" spans="2:10" x14ac:dyDescent="0.2">
      <c r="B38" s="169"/>
      <c r="C38" s="171" t="s">
        <v>16</v>
      </c>
      <c r="D38" s="171">
        <v>10.08</v>
      </c>
      <c r="E38" s="171">
        <v>10.28</v>
      </c>
      <c r="F38" s="171">
        <v>10.28</v>
      </c>
      <c r="G38" s="171">
        <v>10.28</v>
      </c>
      <c r="H38" s="171">
        <v>10.28</v>
      </c>
      <c r="I38" s="171">
        <v>10.28</v>
      </c>
      <c r="J38" s="171">
        <v>10.28</v>
      </c>
    </row>
    <row r="39" spans="2:10" ht="15.75" x14ac:dyDescent="0.2">
      <c r="B39" s="169"/>
      <c r="C39" s="171" t="s">
        <v>310</v>
      </c>
      <c r="D39" s="186">
        <v>598.39</v>
      </c>
      <c r="E39" s="186">
        <v>570.09999999999991</v>
      </c>
      <c r="F39" s="186">
        <v>557.34</v>
      </c>
      <c r="G39" s="186">
        <v>518.52</v>
      </c>
      <c r="H39" s="186">
        <v>474.56</v>
      </c>
      <c r="I39" s="186">
        <v>431.72</v>
      </c>
      <c r="J39" s="186">
        <v>386.63</v>
      </c>
    </row>
    <row r="40" spans="2:10" x14ac:dyDescent="0.2">
      <c r="B40" s="169"/>
      <c r="C40" s="171" t="s">
        <v>313</v>
      </c>
      <c r="D40" s="171">
        <v>0</v>
      </c>
      <c r="E40" s="171">
        <v>0</v>
      </c>
      <c r="F40" s="171">
        <v>0</v>
      </c>
      <c r="G40" s="171">
        <v>0</v>
      </c>
      <c r="H40" s="171">
        <v>0</v>
      </c>
      <c r="I40" s="171">
        <v>0</v>
      </c>
      <c r="J40" s="171">
        <v>0</v>
      </c>
    </row>
    <row r="41" spans="2:10" ht="15.75" x14ac:dyDescent="0.2">
      <c r="B41" s="169"/>
      <c r="C41" s="171" t="s">
        <v>314</v>
      </c>
      <c r="D41" s="186">
        <v>598.39</v>
      </c>
      <c r="E41" s="186">
        <v>570.09999999999991</v>
      </c>
      <c r="F41" s="186">
        <v>557.34</v>
      </c>
      <c r="G41" s="186">
        <v>518.52</v>
      </c>
      <c r="H41" s="186">
        <v>474.56</v>
      </c>
      <c r="I41" s="186">
        <v>431.72</v>
      </c>
      <c r="J41" s="186">
        <v>386.63</v>
      </c>
    </row>
    <row r="42" spans="2:10" ht="15.75" x14ac:dyDescent="0.2">
      <c r="B42" s="173">
        <v>2</v>
      </c>
      <c r="C42" s="272" t="s">
        <v>561</v>
      </c>
      <c r="D42" s="171"/>
      <c r="E42" s="171"/>
      <c r="F42" s="171"/>
      <c r="G42" s="171"/>
      <c r="H42" s="171"/>
      <c r="I42" s="171"/>
      <c r="J42" s="171"/>
    </row>
    <row r="43" spans="2:10" x14ac:dyDescent="0.2">
      <c r="B43" s="169"/>
      <c r="C43" s="171" t="s">
        <v>13</v>
      </c>
      <c r="D43" s="171">
        <v>418.12</v>
      </c>
      <c r="E43" s="171">
        <v>418.12</v>
      </c>
      <c r="F43" s="171">
        <v>468.12</v>
      </c>
      <c r="G43" s="171">
        <v>601.37</v>
      </c>
      <c r="H43" s="171">
        <v>560.13</v>
      </c>
      <c r="I43" s="171">
        <v>518.89</v>
      </c>
      <c r="J43" s="171">
        <v>477.65</v>
      </c>
    </row>
    <row r="44" spans="2:10" x14ac:dyDescent="0.2">
      <c r="B44" s="169"/>
      <c r="C44" s="171" t="s">
        <v>177</v>
      </c>
      <c r="D44" s="171">
        <v>0</v>
      </c>
      <c r="E44" s="171">
        <v>50</v>
      </c>
      <c r="F44" s="171">
        <v>149.37</v>
      </c>
      <c r="G44" s="171">
        <v>0</v>
      </c>
      <c r="H44" s="171">
        <v>0</v>
      </c>
      <c r="I44" s="171">
        <v>0</v>
      </c>
      <c r="J44" s="171">
        <v>0</v>
      </c>
    </row>
    <row r="45" spans="2:10" x14ac:dyDescent="0.2">
      <c r="B45" s="169"/>
      <c r="C45" s="171" t="s">
        <v>14</v>
      </c>
      <c r="D45" s="171">
        <v>0</v>
      </c>
      <c r="E45" s="171">
        <v>0</v>
      </c>
      <c r="F45" s="171">
        <v>16.12</v>
      </c>
      <c r="G45" s="171">
        <v>41.24</v>
      </c>
      <c r="H45" s="171">
        <v>41.24</v>
      </c>
      <c r="I45" s="171">
        <v>41.24</v>
      </c>
      <c r="J45" s="171">
        <v>41.24</v>
      </c>
    </row>
    <row r="46" spans="2:10" ht="15.75" x14ac:dyDescent="0.2">
      <c r="B46" s="169"/>
      <c r="C46" s="171" t="s">
        <v>15</v>
      </c>
      <c r="D46" s="186">
        <v>418.12</v>
      </c>
      <c r="E46" s="186">
        <v>468.12</v>
      </c>
      <c r="F46" s="186">
        <v>601.37</v>
      </c>
      <c r="G46" s="186">
        <v>560.13</v>
      </c>
      <c r="H46" s="186">
        <v>518.89</v>
      </c>
      <c r="I46" s="186">
        <v>477.65</v>
      </c>
      <c r="J46" s="186">
        <v>436.40999999999997</v>
      </c>
    </row>
    <row r="47" spans="2:10" ht="15.75" x14ac:dyDescent="0.2">
      <c r="B47" s="169"/>
      <c r="C47" s="171" t="s">
        <v>233</v>
      </c>
      <c r="D47" s="186">
        <v>418.24953445065177</v>
      </c>
      <c r="E47" s="186">
        <v>419.28888888888889</v>
      </c>
      <c r="F47" s="186">
        <v>533.6</v>
      </c>
      <c r="G47" s="186">
        <v>582.5777777777779</v>
      </c>
      <c r="H47" s="186">
        <v>541.33333333333326</v>
      </c>
      <c r="I47" s="186">
        <v>501.42222222222222</v>
      </c>
      <c r="J47" s="186">
        <v>458.84444444444438</v>
      </c>
    </row>
    <row r="48" spans="2:10" x14ac:dyDescent="0.2">
      <c r="B48" s="169"/>
      <c r="C48" s="171" t="s">
        <v>16</v>
      </c>
      <c r="D48" s="171">
        <v>10.74</v>
      </c>
      <c r="E48" s="171">
        <v>11.25</v>
      </c>
      <c r="F48" s="171">
        <v>11.25</v>
      </c>
      <c r="G48" s="171">
        <v>11.25</v>
      </c>
      <c r="H48" s="171">
        <v>11.25</v>
      </c>
      <c r="I48" s="171">
        <v>11.25</v>
      </c>
      <c r="J48" s="171">
        <v>11.25</v>
      </c>
    </row>
    <row r="49" spans="2:10" ht="15.75" x14ac:dyDescent="0.2">
      <c r="B49" s="169"/>
      <c r="C49" s="171" t="s">
        <v>310</v>
      </c>
      <c r="D49" s="186">
        <v>44.92</v>
      </c>
      <c r="E49" s="186">
        <v>47.17</v>
      </c>
      <c r="F49" s="186">
        <v>60.03</v>
      </c>
      <c r="G49" s="186">
        <v>65.540000000000006</v>
      </c>
      <c r="H49" s="186">
        <v>60.9</v>
      </c>
      <c r="I49" s="186">
        <v>56.41</v>
      </c>
      <c r="J49" s="186">
        <v>51.62</v>
      </c>
    </row>
    <row r="50" spans="2:10" x14ac:dyDescent="0.2">
      <c r="B50" s="169"/>
      <c r="C50" s="171" t="s">
        <v>313</v>
      </c>
      <c r="D50" s="171">
        <v>0</v>
      </c>
      <c r="E50" s="171">
        <v>0</v>
      </c>
      <c r="F50" s="171">
        <v>0</v>
      </c>
      <c r="G50" s="171">
        <v>0</v>
      </c>
      <c r="H50" s="171">
        <v>0</v>
      </c>
      <c r="I50" s="171">
        <v>0</v>
      </c>
      <c r="J50" s="171">
        <v>0</v>
      </c>
    </row>
    <row r="51" spans="2:10" ht="15.75" x14ac:dyDescent="0.2">
      <c r="B51" s="169"/>
      <c r="C51" s="171" t="s">
        <v>314</v>
      </c>
      <c r="D51" s="186">
        <v>44.92</v>
      </c>
      <c r="E51" s="186">
        <v>47.17</v>
      </c>
      <c r="F51" s="186">
        <v>60.03</v>
      </c>
      <c r="G51" s="186">
        <v>65.540000000000006</v>
      </c>
      <c r="H51" s="186">
        <v>60.9</v>
      </c>
      <c r="I51" s="186">
        <v>56.41</v>
      </c>
      <c r="J51" s="186">
        <v>51.62</v>
      </c>
    </row>
    <row r="52" spans="2:10" x14ac:dyDescent="0.2">
      <c r="B52" s="169"/>
      <c r="C52" s="169" t="s">
        <v>312</v>
      </c>
      <c r="D52" s="171"/>
      <c r="E52" s="171"/>
      <c r="F52" s="171"/>
      <c r="G52" s="171"/>
      <c r="H52" s="171"/>
      <c r="I52" s="171"/>
      <c r="J52" s="171"/>
    </row>
    <row r="53" spans="2:10" ht="15.75" x14ac:dyDescent="0.2">
      <c r="B53" s="173"/>
      <c r="C53" s="185" t="s">
        <v>139</v>
      </c>
      <c r="D53" s="171"/>
      <c r="E53" s="171"/>
      <c r="F53" s="171"/>
      <c r="G53" s="171"/>
      <c r="H53" s="171"/>
      <c r="I53" s="171"/>
      <c r="J53" s="171"/>
    </row>
    <row r="54" spans="2:10" ht="15.75" x14ac:dyDescent="0.2">
      <c r="B54" s="169"/>
      <c r="C54" s="169" t="s">
        <v>13</v>
      </c>
      <c r="D54" s="186">
        <v>6465.21</v>
      </c>
      <c r="E54" s="186">
        <v>6163.45</v>
      </c>
      <c r="F54" s="186">
        <v>5934.67</v>
      </c>
      <c r="G54" s="186">
        <v>5840.1500000000005</v>
      </c>
      <c r="H54" s="186">
        <v>5371.2600000000011</v>
      </c>
      <c r="I54" s="186">
        <v>4902.3700000000017</v>
      </c>
      <c r="J54" s="186">
        <v>4433.4800000000014</v>
      </c>
    </row>
    <row r="55" spans="2:10" ht="15.75" x14ac:dyDescent="0.2">
      <c r="B55" s="169"/>
      <c r="C55" s="169" t="s">
        <v>177</v>
      </c>
      <c r="D55" s="186">
        <v>0.61</v>
      </c>
      <c r="E55" s="186">
        <v>179.22</v>
      </c>
      <c r="F55" s="186">
        <v>345.46000000000004</v>
      </c>
      <c r="G55" s="186">
        <v>0</v>
      </c>
      <c r="H55" s="186">
        <v>0</v>
      </c>
      <c r="I55" s="186">
        <v>0</v>
      </c>
      <c r="J55" s="186">
        <v>0</v>
      </c>
    </row>
    <row r="56" spans="2:10" ht="15.75" x14ac:dyDescent="0.2">
      <c r="B56" s="169"/>
      <c r="C56" s="169" t="s">
        <v>14</v>
      </c>
      <c r="D56" s="186">
        <v>302.37</v>
      </c>
      <c r="E56" s="186">
        <v>408</v>
      </c>
      <c r="F56" s="186">
        <v>439.98</v>
      </c>
      <c r="G56" s="186">
        <v>468.89</v>
      </c>
      <c r="H56" s="186">
        <v>468.89</v>
      </c>
      <c r="I56" s="186">
        <v>468.89</v>
      </c>
      <c r="J56" s="186">
        <v>468.89</v>
      </c>
    </row>
    <row r="57" spans="2:10" ht="15.75" x14ac:dyDescent="0.2">
      <c r="B57" s="169"/>
      <c r="C57" s="169" t="s">
        <v>15</v>
      </c>
      <c r="D57" s="186">
        <v>6163.45</v>
      </c>
      <c r="E57" s="186">
        <v>5934.67</v>
      </c>
      <c r="F57" s="186">
        <v>5840.15</v>
      </c>
      <c r="G57" s="186">
        <v>5371.26</v>
      </c>
      <c r="H57" s="186">
        <v>4902.3700000000008</v>
      </c>
      <c r="I57" s="186">
        <v>4433.4800000000014</v>
      </c>
      <c r="J57" s="186">
        <v>3964.5900000000015</v>
      </c>
    </row>
    <row r="58" spans="2:10" ht="15.75" x14ac:dyDescent="0.2">
      <c r="B58" s="169"/>
      <c r="C58" s="169" t="s">
        <v>233</v>
      </c>
      <c r="D58" s="186">
        <v>6354.6582646093811</v>
      </c>
      <c r="E58" s="186">
        <v>5965.0087332468656</v>
      </c>
      <c r="F58" s="186">
        <v>5955.1953307393005</v>
      </c>
      <c r="G58" s="186">
        <v>5626.5466493731083</v>
      </c>
      <c r="H58" s="186">
        <v>5157.6757457846952</v>
      </c>
      <c r="I58" s="186">
        <v>4701.0331171638572</v>
      </c>
      <c r="J58" s="186">
        <v>4219.8366623432767</v>
      </c>
    </row>
    <row r="59" spans="2:10" ht="15.75" x14ac:dyDescent="0.2">
      <c r="B59" s="169"/>
      <c r="C59" s="169" t="s">
        <v>16</v>
      </c>
      <c r="D59" s="186">
        <v>10.123439738415957</v>
      </c>
      <c r="E59" s="186">
        <v>10.34818267003623</v>
      </c>
      <c r="F59" s="186">
        <v>10.366914361537111</v>
      </c>
      <c r="G59" s="186">
        <v>10.380434685724573</v>
      </c>
      <c r="H59" s="186">
        <v>10.381808132037476</v>
      </c>
      <c r="I59" s="186">
        <v>10.383462269555119</v>
      </c>
      <c r="J59" s="186">
        <v>10.385473066074544</v>
      </c>
    </row>
    <row r="60" spans="2:10" ht="15.75" x14ac:dyDescent="0.2">
      <c r="B60" s="169"/>
      <c r="C60" s="169" t="s">
        <v>310</v>
      </c>
      <c r="D60" s="186">
        <v>643.30999999999995</v>
      </c>
      <c r="E60" s="186">
        <v>617.26999999999987</v>
      </c>
      <c r="F60" s="186">
        <v>617.37</v>
      </c>
      <c r="G60" s="186">
        <v>584.05999999999995</v>
      </c>
      <c r="H60" s="186">
        <v>535.46</v>
      </c>
      <c r="I60" s="186">
        <v>488.13</v>
      </c>
      <c r="J60" s="186">
        <v>438.25</v>
      </c>
    </row>
    <row r="61" spans="2:10" ht="15.75" x14ac:dyDescent="0.2">
      <c r="B61" s="169"/>
      <c r="C61" s="169" t="s">
        <v>313</v>
      </c>
      <c r="D61" s="186">
        <v>0</v>
      </c>
      <c r="E61" s="186">
        <v>0</v>
      </c>
      <c r="F61" s="186">
        <v>0</v>
      </c>
      <c r="G61" s="186">
        <v>0</v>
      </c>
      <c r="H61" s="186">
        <v>0</v>
      </c>
      <c r="I61" s="186">
        <v>0</v>
      </c>
      <c r="J61" s="186">
        <v>0</v>
      </c>
    </row>
    <row r="62" spans="2:10" ht="15.75" x14ac:dyDescent="0.2">
      <c r="B62" s="169"/>
      <c r="C62" s="169" t="s">
        <v>314</v>
      </c>
      <c r="D62" s="186">
        <v>643.30999999999995</v>
      </c>
      <c r="E62" s="186">
        <v>617.26999999999987</v>
      </c>
      <c r="F62" s="186">
        <v>617.37</v>
      </c>
      <c r="G62" s="186">
        <v>584.05999999999995</v>
      </c>
      <c r="H62" s="186">
        <v>535.46</v>
      </c>
      <c r="I62" s="186">
        <v>488.13</v>
      </c>
      <c r="J62" s="186">
        <v>438.25</v>
      </c>
    </row>
  </sheetData>
  <mergeCells count="10">
    <mergeCell ref="B29:B31"/>
    <mergeCell ref="C29:C31"/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0.35" bottom="0.35" header="0.25" footer="0.25"/>
  <pageSetup paperSize="9" scale="53" orientation="landscape" r:id="rId1"/>
  <headerFooter alignWithMargins="0">
    <oddHeader>&amp;F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3"/>
  <sheetViews>
    <sheetView showGridLines="0" view="pageBreakPreview" zoomScale="90" zoomScaleNormal="80" zoomScaleSheetLayoutView="90" workbookViewId="0">
      <selection activeCell="B4" sqref="B4:M4"/>
    </sheetView>
  </sheetViews>
  <sheetFormatPr defaultColWidth="9.28515625" defaultRowHeight="15" x14ac:dyDescent="0.2"/>
  <cols>
    <col min="1" max="1" width="4.28515625" style="166" customWidth="1"/>
    <col min="2" max="2" width="6.28515625" style="166" customWidth="1"/>
    <col min="3" max="3" width="35.5703125" style="166" customWidth="1"/>
    <col min="4" max="4" width="13.7109375" style="166" bestFit="1" customWidth="1"/>
    <col min="5" max="5" width="12.5703125" style="166" bestFit="1" customWidth="1"/>
    <col min="6" max="6" width="13.42578125" style="166" bestFit="1" customWidth="1"/>
    <col min="7" max="7" width="13.7109375" style="166" bestFit="1" customWidth="1"/>
    <col min="8" max="8" width="12.5703125" style="166" customWidth="1"/>
    <col min="9" max="9" width="11.7109375" style="166" bestFit="1" customWidth="1"/>
    <col min="10" max="10" width="13.7109375" style="166" bestFit="1" customWidth="1"/>
    <col min="11" max="16" width="11.7109375" style="166" bestFit="1" customWidth="1"/>
    <col min="17" max="16384" width="9.28515625" style="166"/>
  </cols>
  <sheetData>
    <row r="1" spans="2:13" ht="15.75" x14ac:dyDescent="0.2">
      <c r="B1" s="165"/>
    </row>
    <row r="2" spans="2:13" ht="15.75" x14ac:dyDescent="0.2">
      <c r="B2" s="294" t="s">
        <v>551</v>
      </c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</row>
    <row r="3" spans="2:13" ht="15.75" x14ac:dyDescent="0.2">
      <c r="B3" s="294" t="s">
        <v>519</v>
      </c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</row>
    <row r="4" spans="2:13" ht="15.75" x14ac:dyDescent="0.2">
      <c r="B4" s="341" t="s">
        <v>567</v>
      </c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</row>
    <row r="5" spans="2:13" ht="15.75" x14ac:dyDescent="0.2">
      <c r="B5" s="73"/>
      <c r="C5" s="165"/>
      <c r="D5" s="167"/>
      <c r="E5" s="167"/>
      <c r="F5" s="167"/>
      <c r="G5" s="167"/>
      <c r="H5" s="167"/>
      <c r="I5" s="167"/>
      <c r="J5" s="167"/>
    </row>
    <row r="6" spans="2:13" ht="15.75" x14ac:dyDescent="0.2">
      <c r="M6" s="7" t="s">
        <v>4</v>
      </c>
    </row>
    <row r="7" spans="2:13" s="6" customFormat="1" ht="15" customHeight="1" x14ac:dyDescent="0.2">
      <c r="B7" s="301" t="s">
        <v>210</v>
      </c>
      <c r="C7" s="304" t="s">
        <v>18</v>
      </c>
      <c r="D7" s="308" t="s">
        <v>484</v>
      </c>
      <c r="E7" s="309"/>
      <c r="F7" s="310"/>
      <c r="G7" s="308" t="s">
        <v>485</v>
      </c>
      <c r="H7" s="309"/>
      <c r="I7" s="340" t="s">
        <v>252</v>
      </c>
      <c r="J7" s="340"/>
      <c r="K7" s="340"/>
      <c r="L7" s="340"/>
      <c r="M7" s="340"/>
    </row>
    <row r="8" spans="2:13" s="6" customFormat="1" ht="47.25" x14ac:dyDescent="0.2">
      <c r="B8" s="302"/>
      <c r="C8" s="304"/>
      <c r="D8" s="147" t="s">
        <v>397</v>
      </c>
      <c r="E8" s="147" t="s">
        <v>270</v>
      </c>
      <c r="F8" s="147" t="s">
        <v>226</v>
      </c>
      <c r="G8" s="147" t="s">
        <v>397</v>
      </c>
      <c r="H8" s="147" t="s">
        <v>269</v>
      </c>
      <c r="I8" s="147" t="s">
        <v>486</v>
      </c>
      <c r="J8" s="147" t="s">
        <v>487</v>
      </c>
      <c r="K8" s="147" t="s">
        <v>488</v>
      </c>
      <c r="L8" s="147" t="s">
        <v>489</v>
      </c>
      <c r="M8" s="147" t="s">
        <v>490</v>
      </c>
    </row>
    <row r="9" spans="2:13" s="6" customFormat="1" ht="15.75" x14ac:dyDescent="0.2">
      <c r="B9" s="303"/>
      <c r="C9" s="305"/>
      <c r="D9" s="147" t="s">
        <v>10</v>
      </c>
      <c r="E9" s="147" t="s">
        <v>12</v>
      </c>
      <c r="F9" s="147" t="s">
        <v>259</v>
      </c>
      <c r="G9" s="147" t="s">
        <v>10</v>
      </c>
      <c r="H9" s="147" t="s">
        <v>5</v>
      </c>
      <c r="I9" s="147" t="s">
        <v>8</v>
      </c>
      <c r="J9" s="147" t="s">
        <v>8</v>
      </c>
      <c r="K9" s="147" t="s">
        <v>8</v>
      </c>
      <c r="L9" s="147" t="s">
        <v>8</v>
      </c>
      <c r="M9" s="147" t="s">
        <v>8</v>
      </c>
    </row>
    <row r="10" spans="2:13" x14ac:dyDescent="0.2">
      <c r="B10" s="168">
        <v>1</v>
      </c>
      <c r="C10" s="169" t="s">
        <v>315</v>
      </c>
      <c r="D10" s="170">
        <f>'F10'!E23*'F12'!E19*30/365/10</f>
        <v>142.20206266279141</v>
      </c>
      <c r="E10" s="170">
        <f>F10</f>
        <v>154.71071986668147</v>
      </c>
      <c r="F10" s="170">
        <f>'F10'!G23*'F12'!G19*30/365/10</f>
        <v>154.71071986668147</v>
      </c>
      <c r="G10" s="170">
        <f>'F10'!H23*'F12'!H19*30/365/10</f>
        <v>170.30997793974188</v>
      </c>
      <c r="H10" s="170">
        <f>'F10'!I23*'F12'!I19*30/365/10</f>
        <v>186.54714036969852</v>
      </c>
      <c r="I10" s="180">
        <f>1080*24*0.85*(1-0.085)*'F12'!J19*20/10000</f>
        <v>133.09647713079079</v>
      </c>
      <c r="J10" s="180">
        <f>1080*24*0.85*(1-0.085)*'F12'!K19*20/10000</f>
        <v>135.7584066734066</v>
      </c>
      <c r="K10" s="180">
        <f>1080*24*0.85*(1-0.085)*'F12'!L19*20/10000</f>
        <v>138.47357480687472</v>
      </c>
      <c r="L10" s="180">
        <f>1080*24*0.85*(1-0.085)*'F12'!M19*20/10000</f>
        <v>141.24304630301219</v>
      </c>
      <c r="M10" s="180">
        <f>1080*24*0.85*(1-0.085)*'F12'!N19*20/10000</f>
        <v>144.06790722907243</v>
      </c>
    </row>
    <row r="11" spans="2:13" x14ac:dyDescent="0.2">
      <c r="B11" s="173">
        <f>B10+1</f>
        <v>2</v>
      </c>
      <c r="C11" s="169" t="s">
        <v>316</v>
      </c>
      <c r="D11" s="170">
        <f>'F10'!E23*'F12'!E19*30/365/10</f>
        <v>142.20206266279141</v>
      </c>
      <c r="E11" s="170">
        <f t="shared" ref="E11:E15" si="0">F11</f>
        <v>154.71071986668147</v>
      </c>
      <c r="F11" s="179">
        <f>'F10'!G23*'F12'!G19*30/365/10</f>
        <v>154.71071986668147</v>
      </c>
      <c r="G11" s="179">
        <f>'F10'!H23*'F12'!H19*30/365/10</f>
        <v>170.30997793974188</v>
      </c>
      <c r="H11" s="179">
        <f>'F10'!I23*'F12'!I19*30/365/10</f>
        <v>186.54714036969852</v>
      </c>
      <c r="I11" s="180">
        <f>1080*24*0.85*(1-0.085)*'F12'!J19*30/10000</f>
        <v>199.64471569618621</v>
      </c>
      <c r="J11" s="180">
        <f>1080*24*0.85*(1-0.085)*'F12'!K19*30/10000</f>
        <v>203.63761001010988</v>
      </c>
      <c r="K11" s="180">
        <f>1080*24*0.85*(1-0.085)*'F12'!L19*30/10000</f>
        <v>207.71036221031207</v>
      </c>
      <c r="L11" s="180">
        <f>1080*24*0.85*(1-0.085)*'F12'!M19*30/10000</f>
        <v>211.86456945451829</v>
      </c>
      <c r="M11" s="180">
        <f>1080*24*0.85*(1-0.085)*'F12'!N19*30/10000</f>
        <v>216.10186084360868</v>
      </c>
    </row>
    <row r="12" spans="2:13" x14ac:dyDescent="0.2">
      <c r="B12" s="173">
        <f t="shared" ref="B12:B20" si="1">B11+1</f>
        <v>3</v>
      </c>
      <c r="C12" s="174" t="s">
        <v>317</v>
      </c>
      <c r="D12" s="179">
        <f>'F10'!E23*'F12'!E20*2/12/10</f>
        <v>3.6670249407195454</v>
      </c>
      <c r="E12" s="170">
        <f t="shared" si="0"/>
        <v>31.56780149427405</v>
      </c>
      <c r="F12" s="179">
        <f>'F10'!G23*'F12'!G20*2/12/10</f>
        <v>31.56780149427405</v>
      </c>
      <c r="G12" s="179">
        <f>'F10'!H23*'F12'!H20*2/12/10</f>
        <v>3.7346667448917579</v>
      </c>
      <c r="H12" s="179">
        <f>'F10'!I23*'F12'!I20*2/12/10</f>
        <v>3.0048068235000014</v>
      </c>
      <c r="I12" s="170">
        <f>1080*24*0.85*(1-0.085)*'F12'!J20*365*1/12/10000</f>
        <v>2.2369131315186213</v>
      </c>
      <c r="J12" s="170">
        <f>1080*24*0.85*(1-0.085)*'F12'!K20*365*1/12/10000</f>
        <v>2.2816513941489931</v>
      </c>
      <c r="K12" s="170">
        <f>1080*24*0.85*(1-0.085)*'F12'!L20*365*1/12/10000</f>
        <v>2.3272844220319735</v>
      </c>
      <c r="L12" s="170">
        <f>1080*24*0.85*(1-0.085)*'F12'!M20*365*1/12/10000</f>
        <v>2.3738301104726127</v>
      </c>
      <c r="M12" s="170">
        <f>1080*24*0.85*(1-0.085)*'F12'!N20*365*1/12/10000</f>
        <v>2.4213067126820649</v>
      </c>
    </row>
    <row r="13" spans="2:13" x14ac:dyDescent="0.2">
      <c r="B13" s="173">
        <f t="shared" si="1"/>
        <v>4</v>
      </c>
      <c r="C13" s="176" t="s">
        <v>318</v>
      </c>
      <c r="D13" s="177">
        <f>'F1'!F11/12</f>
        <v>13.329855</v>
      </c>
      <c r="E13" s="170">
        <f t="shared" si="0"/>
        <v>32.713399013486985</v>
      </c>
      <c r="F13" s="177">
        <f>'F1'!H11/12</f>
        <v>32.713399013486985</v>
      </c>
      <c r="G13" s="177">
        <f>'F1'!I11/12</f>
        <v>14.128949999999998</v>
      </c>
      <c r="H13" s="177">
        <f>'F1'!J11/12</f>
        <v>36.621850916501948</v>
      </c>
      <c r="I13" s="187">
        <f>'F1'!K11/12</f>
        <v>36.835347254376913</v>
      </c>
      <c r="J13" s="177">
        <f>'F1'!L11/12</f>
        <v>39.493365519335327</v>
      </c>
      <c r="K13" s="177">
        <f>'F1'!M11/12</f>
        <v>42.184661030295565</v>
      </c>
      <c r="L13" s="177">
        <f>'F1'!N11/12</f>
        <v>44.274264380211797</v>
      </c>
      <c r="M13" s="177">
        <f>'F1'!O11/12</f>
        <v>46.484459296652112</v>
      </c>
    </row>
    <row r="14" spans="2:13" s="181" customFormat="1" ht="15.75" x14ac:dyDescent="0.2">
      <c r="B14" s="173">
        <f t="shared" si="1"/>
        <v>5</v>
      </c>
      <c r="C14" s="178" t="s">
        <v>319</v>
      </c>
      <c r="D14" s="177">
        <f>'F1'!F11*20%</f>
        <v>31.991652000000002</v>
      </c>
      <c r="E14" s="170">
        <f t="shared" si="0"/>
        <v>78.512157632368769</v>
      </c>
      <c r="F14" s="177">
        <f>'F1'!H11*20%</f>
        <v>78.512157632368769</v>
      </c>
      <c r="G14" s="177">
        <f>'F1'!I11*20%</f>
        <v>33.909479999999995</v>
      </c>
      <c r="H14" s="179">
        <f>'F1'!J11*20%</f>
        <v>87.892442199604673</v>
      </c>
      <c r="I14" s="179">
        <f>'F4'!F55*1%</f>
        <v>74.452815476710001</v>
      </c>
      <c r="J14" s="179">
        <f>'F4'!F72*1%</f>
        <v>87.70925137671</v>
      </c>
      <c r="K14" s="179">
        <f>'F4'!F89*1%</f>
        <v>99.715796676709999</v>
      </c>
      <c r="L14" s="179">
        <f>'F4'!F106*1%</f>
        <v>99.715796676709999</v>
      </c>
      <c r="M14" s="179">
        <f>'F4'!F123*1%</f>
        <v>99.715796676709999</v>
      </c>
    </row>
    <row r="15" spans="2:13" x14ac:dyDescent="0.2">
      <c r="B15" s="173">
        <f t="shared" si="1"/>
        <v>6</v>
      </c>
      <c r="C15" s="176" t="s">
        <v>548</v>
      </c>
      <c r="D15" s="177">
        <f>('F1'!F22+'F1'!F16)*2/12</f>
        <v>518.23758422915773</v>
      </c>
      <c r="E15" s="170">
        <f t="shared" ca="1" si="0"/>
        <v>632.56849850987589</v>
      </c>
      <c r="F15" s="177">
        <f ca="1">('F1'!H22+'F1'!H16)*2/12</f>
        <v>632.56849850987589</v>
      </c>
      <c r="G15" s="177">
        <f>('F1'!I22+'F1'!I16)*2/12</f>
        <v>585.73168867825734</v>
      </c>
      <c r="H15" s="177">
        <f ca="1">('F1'!J22+'F1'!J16)*2/12</f>
        <v>681.78082042417975</v>
      </c>
      <c r="I15" s="187">
        <f ca="1">('F1'!K22+'F1'!K16)*45/365</f>
        <v>515.38477980497237</v>
      </c>
      <c r="J15" s="187">
        <f ca="1">('F1'!L22+'F1'!L16)*45/365</f>
        <v>550.33319193699469</v>
      </c>
      <c r="K15" s="187">
        <f ca="1">('F1'!M22+'F1'!M16)*45/365</f>
        <v>573.42167166238664</v>
      </c>
      <c r="L15" s="187">
        <f ca="1">('F1'!N22+'F1'!N16)*45/365</f>
        <v>579.16811700642529</v>
      </c>
      <c r="M15" s="187">
        <f ca="1">('F1'!O22+'F1'!O16)*45/365</f>
        <v>583.70047860627812</v>
      </c>
    </row>
    <row r="16" spans="2:13" x14ac:dyDescent="0.2">
      <c r="B16" s="173"/>
      <c r="C16" s="176" t="s">
        <v>320</v>
      </c>
      <c r="D16" s="177"/>
      <c r="E16" s="190"/>
      <c r="F16" s="171"/>
      <c r="G16" s="190"/>
      <c r="H16" s="190"/>
      <c r="I16" s="179"/>
      <c r="J16" s="190"/>
      <c r="K16" s="190"/>
      <c r="L16" s="190"/>
      <c r="M16" s="190"/>
    </row>
    <row r="17" spans="2:13" x14ac:dyDescent="0.2">
      <c r="B17" s="173">
        <f>B15+1</f>
        <v>7</v>
      </c>
      <c r="C17" s="169" t="s">
        <v>549</v>
      </c>
      <c r="D17" s="177">
        <f>'F10'!E23*'F12'!E21*30/365/10</f>
        <v>144.0104585239682</v>
      </c>
      <c r="E17" s="177">
        <f>F17</f>
        <v>170.27840279536457</v>
      </c>
      <c r="F17" s="177">
        <f>'F10'!G23*'F12'!G21*30/365/10</f>
        <v>170.27840279536457</v>
      </c>
      <c r="G17" s="177">
        <f>'F10'!H23*'F12'!H21*30/365/10</f>
        <v>172.15173140297622</v>
      </c>
      <c r="H17" s="177">
        <f>'F10'!I23*'F12'!I21*30/365/10</f>
        <v>188.02896291279441</v>
      </c>
      <c r="I17" s="187">
        <f>1080*24*0.85*(1-0.085)*30*'F12'!J21/10000</f>
        <v>201.85098618206752</v>
      </c>
      <c r="J17" s="177">
        <f>1080*24*0.85*(1-0.085)*30*'F12'!K21/10000</f>
        <v>205.88800590570892</v>
      </c>
      <c r="K17" s="177">
        <f>1080*24*0.85*(1-0.085)*30*'F12'!L21/10000</f>
        <v>210.00576602382307</v>
      </c>
      <c r="L17" s="177">
        <f>1080*24*0.85*(1-0.085)*30*'F12'!M21/10000</f>
        <v>214.20588134429954</v>
      </c>
      <c r="M17" s="177">
        <f>1080*24*0.85*(1-0.085)*30*'F12'!N21/10000</f>
        <v>218.48999897118546</v>
      </c>
    </row>
    <row r="18" spans="2:13" ht="15.75" x14ac:dyDescent="0.2">
      <c r="B18" s="173">
        <f t="shared" si="1"/>
        <v>8</v>
      </c>
      <c r="C18" s="169" t="s">
        <v>55</v>
      </c>
      <c r="D18" s="175">
        <f t="shared" ref="D18:H18" si="2">SUM(D10:D15)-D17</f>
        <v>707.61978297149187</v>
      </c>
      <c r="E18" s="175">
        <f t="shared" ca="1" si="2"/>
        <v>914.50489358800405</v>
      </c>
      <c r="F18" s="175">
        <f t="shared" ca="1" si="2"/>
        <v>914.50489358800405</v>
      </c>
      <c r="G18" s="175">
        <f t="shared" si="2"/>
        <v>805.97300989965663</v>
      </c>
      <c r="H18" s="175">
        <f t="shared" ca="1" si="2"/>
        <v>994.36523819038894</v>
      </c>
      <c r="I18" s="175">
        <f t="shared" ref="I18:M18" ca="1" si="3">SUM(I10:I15)-I17</f>
        <v>759.8000623124874</v>
      </c>
      <c r="J18" s="175">
        <f t="shared" ca="1" si="3"/>
        <v>813.32547100499653</v>
      </c>
      <c r="K18" s="175">
        <f t="shared" ca="1" si="3"/>
        <v>853.82758478478786</v>
      </c>
      <c r="L18" s="175">
        <f t="shared" ca="1" si="3"/>
        <v>864.43374258705057</v>
      </c>
      <c r="M18" s="175">
        <f t="shared" ca="1" si="3"/>
        <v>874.001810393818</v>
      </c>
    </row>
    <row r="19" spans="2:13" x14ac:dyDescent="0.2">
      <c r="B19" s="173">
        <f t="shared" si="1"/>
        <v>9</v>
      </c>
      <c r="C19" s="169" t="s">
        <v>321</v>
      </c>
      <c r="D19" s="211">
        <v>8.5500000000000007E-2</v>
      </c>
      <c r="E19" s="211">
        <v>9.4382191780821911E-2</v>
      </c>
      <c r="F19" s="211">
        <f>E19</f>
        <v>9.4382191780821911E-2</v>
      </c>
      <c r="G19" s="211">
        <v>8.5500000000000007E-2</v>
      </c>
      <c r="H19" s="211">
        <v>0.1008</v>
      </c>
      <c r="I19" s="211">
        <v>0.10150000000000001</v>
      </c>
      <c r="J19" s="211">
        <v>0.10150000000000001</v>
      </c>
      <c r="K19" s="211">
        <v>0.10150000000000001</v>
      </c>
      <c r="L19" s="211">
        <v>0.10150000000000001</v>
      </c>
      <c r="M19" s="211">
        <v>0.10150000000000001</v>
      </c>
    </row>
    <row r="20" spans="2:13" ht="15.75" x14ac:dyDescent="0.2">
      <c r="B20" s="173">
        <f t="shared" si="1"/>
        <v>10</v>
      </c>
      <c r="C20" s="176" t="s">
        <v>322</v>
      </c>
      <c r="D20" s="175">
        <v>63.34</v>
      </c>
      <c r="E20" s="175">
        <f t="shared" ref="E20:M20" ca="1" si="4">E18*E19</f>
        <v>86.312976251123132</v>
      </c>
      <c r="F20" s="175">
        <f t="shared" ca="1" si="4"/>
        <v>86.312976251123132</v>
      </c>
      <c r="G20" s="175">
        <v>66.11</v>
      </c>
      <c r="H20" s="175">
        <f t="shared" ca="1" si="4"/>
        <v>100.23201600959121</v>
      </c>
      <c r="I20" s="175">
        <f t="shared" ca="1" si="4"/>
        <v>77.11970632471747</v>
      </c>
      <c r="J20" s="175">
        <f t="shared" ca="1" si="4"/>
        <v>82.552535307007147</v>
      </c>
      <c r="K20" s="175">
        <f t="shared" ca="1" si="4"/>
        <v>86.663499855655971</v>
      </c>
      <c r="L20" s="175">
        <f t="shared" ca="1" si="4"/>
        <v>87.740024872585636</v>
      </c>
      <c r="M20" s="175">
        <f t="shared" ca="1" si="4"/>
        <v>88.711183754972538</v>
      </c>
    </row>
    <row r="22" spans="2:13" x14ac:dyDescent="0.2">
      <c r="C22" s="166" t="s">
        <v>272</v>
      </c>
    </row>
    <row r="23" spans="2:13" x14ac:dyDescent="0.2">
      <c r="C23" s="166" t="s">
        <v>434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8" orientation="landscape" r:id="rId1"/>
  <headerFooter alignWithMargins="0">
    <oddHeader>&amp;F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4"/>
  <sheetViews>
    <sheetView showGridLines="0" view="pageBreakPreview" zoomScale="90" zoomScaleNormal="80" zoomScaleSheetLayoutView="90" workbookViewId="0">
      <selection activeCell="H26" sqref="H26"/>
    </sheetView>
  </sheetViews>
  <sheetFormatPr defaultColWidth="9.28515625" defaultRowHeight="15" x14ac:dyDescent="0.2"/>
  <cols>
    <col min="1" max="1" width="3.28515625" style="166" customWidth="1"/>
    <col min="2" max="2" width="6.28515625" style="166" customWidth="1"/>
    <col min="3" max="3" width="60.28515625" style="166" customWidth="1"/>
    <col min="4" max="4" width="12.42578125" style="166" customWidth="1"/>
    <col min="5" max="5" width="11" style="166" customWidth="1"/>
    <col min="6" max="6" width="13.42578125" style="166" bestFit="1" customWidth="1"/>
    <col min="7" max="8" width="12.140625" style="166" customWidth="1"/>
    <col min="9" max="13" width="11.28515625" style="166" customWidth="1"/>
    <col min="14" max="16" width="11.7109375" style="166" bestFit="1" customWidth="1"/>
    <col min="17" max="16384" width="9.28515625" style="166"/>
  </cols>
  <sheetData>
    <row r="1" spans="2:13" ht="15.75" x14ac:dyDescent="0.2">
      <c r="B1" s="165"/>
    </row>
    <row r="2" spans="2:13" ht="15.75" x14ac:dyDescent="0.2">
      <c r="B2" s="294" t="s">
        <v>551</v>
      </c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</row>
    <row r="3" spans="2:13" ht="15.75" x14ac:dyDescent="0.2">
      <c r="B3" s="294" t="s">
        <v>519</v>
      </c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</row>
    <row r="4" spans="2:13" ht="15.75" x14ac:dyDescent="0.2">
      <c r="B4" s="341" t="s">
        <v>568</v>
      </c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</row>
    <row r="5" spans="2:13" ht="15.75" x14ac:dyDescent="0.2">
      <c r="B5" s="73"/>
      <c r="C5" s="165"/>
      <c r="D5" s="167"/>
      <c r="E5" s="167"/>
      <c r="F5" s="167"/>
      <c r="G5" s="167"/>
      <c r="H5" s="167"/>
      <c r="I5" s="167"/>
      <c r="J5" s="167"/>
    </row>
    <row r="6" spans="2:13" ht="15.75" x14ac:dyDescent="0.2">
      <c r="M6" s="7" t="s">
        <v>4</v>
      </c>
    </row>
    <row r="7" spans="2:13" s="6" customFormat="1" ht="15" customHeight="1" x14ac:dyDescent="0.2">
      <c r="B7" s="301" t="s">
        <v>210</v>
      </c>
      <c r="C7" s="304" t="s">
        <v>18</v>
      </c>
      <c r="D7" s="308" t="s">
        <v>484</v>
      </c>
      <c r="E7" s="309"/>
      <c r="F7" s="310"/>
      <c r="G7" s="308" t="s">
        <v>485</v>
      </c>
      <c r="H7" s="309"/>
      <c r="I7" s="340" t="s">
        <v>252</v>
      </c>
      <c r="J7" s="340"/>
      <c r="K7" s="340"/>
      <c r="L7" s="340"/>
      <c r="M7" s="340"/>
    </row>
    <row r="8" spans="2:13" s="6" customFormat="1" ht="47.25" x14ac:dyDescent="0.2">
      <c r="B8" s="302"/>
      <c r="C8" s="304"/>
      <c r="D8" s="147" t="s">
        <v>397</v>
      </c>
      <c r="E8" s="147" t="s">
        <v>270</v>
      </c>
      <c r="F8" s="147" t="s">
        <v>226</v>
      </c>
      <c r="G8" s="147" t="s">
        <v>397</v>
      </c>
      <c r="H8" s="147" t="s">
        <v>269</v>
      </c>
      <c r="I8" s="147" t="s">
        <v>486</v>
      </c>
      <c r="J8" s="147" t="s">
        <v>487</v>
      </c>
      <c r="K8" s="147" t="s">
        <v>488</v>
      </c>
      <c r="L8" s="147" t="s">
        <v>489</v>
      </c>
      <c r="M8" s="147" t="s">
        <v>490</v>
      </c>
    </row>
    <row r="9" spans="2:13" s="6" customFormat="1" ht="31.5" x14ac:dyDescent="0.2">
      <c r="B9" s="303"/>
      <c r="C9" s="305"/>
      <c r="D9" s="147" t="s">
        <v>10</v>
      </c>
      <c r="E9" s="147" t="s">
        <v>12</v>
      </c>
      <c r="F9" s="147" t="s">
        <v>259</v>
      </c>
      <c r="G9" s="147" t="s">
        <v>10</v>
      </c>
      <c r="H9" s="147" t="s">
        <v>5</v>
      </c>
      <c r="I9" s="147" t="s">
        <v>8</v>
      </c>
      <c r="J9" s="147" t="s">
        <v>8</v>
      </c>
      <c r="K9" s="147" t="s">
        <v>8</v>
      </c>
      <c r="L9" s="147" t="s">
        <v>8</v>
      </c>
      <c r="M9" s="147" t="s">
        <v>8</v>
      </c>
    </row>
    <row r="10" spans="2:13" x14ac:dyDescent="0.2">
      <c r="B10" s="168">
        <v>1</v>
      </c>
      <c r="C10" s="169" t="s">
        <v>242</v>
      </c>
      <c r="D10" s="170">
        <f>'F4'!F21*30%</f>
        <v>2083.8872013165001</v>
      </c>
      <c r="E10" s="179">
        <f>D10</f>
        <v>2083.8872013165001</v>
      </c>
      <c r="F10" s="179">
        <f>E10</f>
        <v>2083.8872013165001</v>
      </c>
      <c r="G10" s="180"/>
      <c r="H10" s="180">
        <f>'F4'!F38*30%</f>
        <v>2177.7364643013002</v>
      </c>
      <c r="I10" s="180">
        <f>H10+H12</f>
        <v>2233.5844643013002</v>
      </c>
      <c r="J10" s="180">
        <f>I10+I12</f>
        <v>2631.2775413013001</v>
      </c>
      <c r="K10" s="180">
        <f>J10+J12</f>
        <v>2991.4739003013001</v>
      </c>
      <c r="L10" s="180">
        <f>K10+K12</f>
        <v>2991.4739003013001</v>
      </c>
      <c r="M10" s="180">
        <f>L10+L12</f>
        <v>2991.4739003013001</v>
      </c>
    </row>
    <row r="11" spans="2:13" x14ac:dyDescent="0.2">
      <c r="B11" s="173">
        <f>B10+1</f>
        <v>2</v>
      </c>
      <c r="C11" s="169" t="s">
        <v>243</v>
      </c>
      <c r="D11" s="170">
        <f>'F4'!G21</f>
        <v>312.83087661600001</v>
      </c>
      <c r="E11" s="179">
        <f>F3.1!H25</f>
        <v>312.83165041799998</v>
      </c>
      <c r="F11" s="179">
        <f>E11</f>
        <v>312.83165041799998</v>
      </c>
      <c r="G11" s="180"/>
      <c r="H11" s="180">
        <f>'F4'!G38</f>
        <v>186.16</v>
      </c>
      <c r="I11" s="180">
        <f>F3.1!H45</f>
        <v>1325.6435899999999</v>
      </c>
      <c r="J11" s="180">
        <f>F3.1!H51</f>
        <v>1200.65453</v>
      </c>
      <c r="K11" s="180">
        <f>F3.1!H57</f>
        <v>0</v>
      </c>
      <c r="L11" s="180">
        <f>F3.1!H63</f>
        <v>0</v>
      </c>
      <c r="M11" s="180">
        <f>F3.1!H69</f>
        <v>0</v>
      </c>
    </row>
    <row r="12" spans="2:13" x14ac:dyDescent="0.2">
      <c r="B12" s="173">
        <f t="shared" ref="B12:B22" si="0">B11+1</f>
        <v>3</v>
      </c>
      <c r="C12" s="174" t="s">
        <v>19</v>
      </c>
      <c r="D12" s="170">
        <f>D11*30%</f>
        <v>93.849262984800006</v>
      </c>
      <c r="E12" s="170">
        <f>E11*30%</f>
        <v>93.849495125399997</v>
      </c>
      <c r="F12" s="170">
        <f>F11*30%</f>
        <v>93.849495125399997</v>
      </c>
      <c r="G12" s="170">
        <f t="shared" ref="G12" si="1">G11*25%</f>
        <v>0</v>
      </c>
      <c r="H12" s="170">
        <f t="shared" ref="H12:M12" si="2">H11*30%</f>
        <v>55.847999999999999</v>
      </c>
      <c r="I12" s="170">
        <f t="shared" si="2"/>
        <v>397.69307699999996</v>
      </c>
      <c r="J12" s="170">
        <f t="shared" si="2"/>
        <v>360.19635899999997</v>
      </c>
      <c r="K12" s="170">
        <f t="shared" si="2"/>
        <v>0</v>
      </c>
      <c r="L12" s="170">
        <f t="shared" si="2"/>
        <v>0</v>
      </c>
      <c r="M12" s="170">
        <f t="shared" si="2"/>
        <v>0</v>
      </c>
    </row>
    <row r="13" spans="2:13" ht="30" x14ac:dyDescent="0.2">
      <c r="B13" s="173">
        <f t="shared" si="0"/>
        <v>4</v>
      </c>
      <c r="C13" s="176" t="s">
        <v>20</v>
      </c>
      <c r="D13" s="187"/>
      <c r="E13" s="179"/>
      <c r="F13" s="170"/>
      <c r="G13" s="179"/>
      <c r="H13" s="179"/>
      <c r="I13" s="179"/>
      <c r="J13" s="179"/>
      <c r="K13" s="179"/>
      <c r="L13" s="179"/>
      <c r="M13" s="179"/>
    </row>
    <row r="14" spans="2:13" s="181" customFormat="1" ht="15.75" x14ac:dyDescent="0.2">
      <c r="B14" s="173">
        <f t="shared" si="0"/>
        <v>5</v>
      </c>
      <c r="C14" s="178" t="s">
        <v>21</v>
      </c>
      <c r="D14" s="188">
        <f>D10+D12-D13</f>
        <v>2177.7364643013002</v>
      </c>
      <c r="E14" s="188">
        <f t="shared" ref="E14:M14" si="3">E10+E12-E13</f>
        <v>2177.7366964419002</v>
      </c>
      <c r="F14" s="188">
        <f>F10+F12-F13</f>
        <v>2177.7366964419002</v>
      </c>
      <c r="G14" s="188">
        <f t="shared" si="3"/>
        <v>0</v>
      </c>
      <c r="H14" s="188">
        <f t="shared" si="3"/>
        <v>2233.5844643013002</v>
      </c>
      <c r="I14" s="188">
        <f t="shared" si="3"/>
        <v>2631.2775413013001</v>
      </c>
      <c r="J14" s="188">
        <f t="shared" si="3"/>
        <v>2991.4739003013001</v>
      </c>
      <c r="K14" s="188">
        <f t="shared" si="3"/>
        <v>2991.4739003013001</v>
      </c>
      <c r="L14" s="188">
        <f t="shared" si="3"/>
        <v>2991.4739003013001</v>
      </c>
      <c r="M14" s="188">
        <f t="shared" si="3"/>
        <v>2991.4739003013001</v>
      </c>
    </row>
    <row r="15" spans="2:13" s="181" customFormat="1" ht="15.75" x14ac:dyDescent="0.2">
      <c r="B15" s="173"/>
      <c r="C15" s="189" t="s">
        <v>323</v>
      </c>
      <c r="D15" s="177"/>
      <c r="E15" s="190"/>
      <c r="F15" s="191"/>
      <c r="G15" s="190"/>
      <c r="H15" s="190"/>
      <c r="I15" s="190"/>
      <c r="J15" s="190"/>
      <c r="K15" s="190"/>
      <c r="L15" s="190"/>
      <c r="M15" s="190"/>
    </row>
    <row r="16" spans="2:13" s="181" customFormat="1" ht="15.75" x14ac:dyDescent="0.2">
      <c r="B16" s="173">
        <f>B14+1</f>
        <v>6</v>
      </c>
      <c r="C16" s="178" t="s">
        <v>324</v>
      </c>
      <c r="D16" s="192">
        <v>0.155</v>
      </c>
      <c r="E16" s="192">
        <v>0.155</v>
      </c>
      <c r="F16" s="192">
        <v>0.155</v>
      </c>
      <c r="G16" s="192">
        <v>0.155</v>
      </c>
      <c r="H16" s="192">
        <v>0.155</v>
      </c>
      <c r="I16" s="192">
        <v>0.155</v>
      </c>
      <c r="J16" s="192">
        <v>0.155</v>
      </c>
      <c r="K16" s="192">
        <v>0.155</v>
      </c>
      <c r="L16" s="192">
        <v>0.155</v>
      </c>
      <c r="M16" s="192">
        <v>0.155</v>
      </c>
    </row>
    <row r="17" spans="2:13" s="181" customFormat="1" ht="15.75" x14ac:dyDescent="0.2">
      <c r="B17" s="173">
        <f>B16+1</f>
        <v>7</v>
      </c>
      <c r="C17" s="178" t="s">
        <v>325</v>
      </c>
      <c r="D17" s="183">
        <v>0.17471999999999999</v>
      </c>
      <c r="E17" s="193">
        <v>0.25168000000000001</v>
      </c>
      <c r="F17" s="193">
        <v>0.25168000000000001</v>
      </c>
      <c r="G17" s="193">
        <v>0.17471999999999999</v>
      </c>
      <c r="H17" s="193">
        <v>0.25168000000000001</v>
      </c>
      <c r="I17" s="193">
        <v>0.25168000000000001</v>
      </c>
      <c r="J17" s="193">
        <v>0.25168000000000001</v>
      </c>
      <c r="K17" s="193">
        <v>0.25168000000000001</v>
      </c>
      <c r="L17" s="193">
        <v>0.25168000000000001</v>
      </c>
      <c r="M17" s="193">
        <v>0.25168000000000001</v>
      </c>
    </row>
    <row r="18" spans="2:13" s="181" customFormat="1" ht="15.75" x14ac:dyDescent="0.2">
      <c r="B18" s="173">
        <f>B17+1</f>
        <v>8</v>
      </c>
      <c r="C18" s="194" t="s">
        <v>323</v>
      </c>
      <c r="D18" s="195">
        <f>D16/(1-D17)</f>
        <v>0.18781504459092671</v>
      </c>
      <c r="E18" s="195">
        <f t="shared" ref="E18:M18" si="4">E16/(1-E17)</f>
        <v>0.20713063929869574</v>
      </c>
      <c r="F18" s="195">
        <f>F16/(1-F17)</f>
        <v>0.20713063929869574</v>
      </c>
      <c r="G18" s="195">
        <f t="shared" si="4"/>
        <v>0.18781504459092671</v>
      </c>
      <c r="H18" s="195">
        <f t="shared" si="4"/>
        <v>0.20713063929869574</v>
      </c>
      <c r="I18" s="195">
        <f t="shared" si="4"/>
        <v>0.20713063929869574</v>
      </c>
      <c r="J18" s="195">
        <f t="shared" si="4"/>
        <v>0.20713063929869574</v>
      </c>
      <c r="K18" s="195">
        <f t="shared" si="4"/>
        <v>0.20713063929869574</v>
      </c>
      <c r="L18" s="195">
        <f t="shared" si="4"/>
        <v>0.20713063929869574</v>
      </c>
      <c r="M18" s="195">
        <f t="shared" si="4"/>
        <v>0.20713063929869574</v>
      </c>
    </row>
    <row r="19" spans="2:13" ht="15.75" x14ac:dyDescent="0.2">
      <c r="B19" s="173"/>
      <c r="C19" s="189" t="s">
        <v>194</v>
      </c>
      <c r="D19" s="196"/>
      <c r="E19" s="174"/>
      <c r="F19" s="9"/>
      <c r="G19" s="174"/>
      <c r="H19" s="174"/>
      <c r="I19" s="174"/>
      <c r="J19" s="174"/>
      <c r="K19" s="174"/>
      <c r="L19" s="174"/>
      <c r="M19" s="174"/>
    </row>
    <row r="20" spans="2:13" ht="17.25" customHeight="1" x14ac:dyDescent="0.2">
      <c r="B20" s="173">
        <f>B18+1</f>
        <v>9</v>
      </c>
      <c r="C20" s="176" t="s">
        <v>244</v>
      </c>
      <c r="D20" s="175">
        <f>D10*D18</f>
        <v>391.38536763771992</v>
      </c>
      <c r="E20" s="175">
        <f t="shared" ref="E20:M20" si="5">E10*E18</f>
        <v>431.63688823505652</v>
      </c>
      <c r="F20" s="175">
        <f t="shared" si="5"/>
        <v>431.63688823505652</v>
      </c>
      <c r="G20" s="175">
        <f t="shared" si="5"/>
        <v>0</v>
      </c>
      <c r="H20" s="175">
        <f t="shared" si="5"/>
        <v>451.07594607480962</v>
      </c>
      <c r="I20" s="175">
        <f t="shared" si="5"/>
        <v>462.64377801836315</v>
      </c>
      <c r="J20" s="175">
        <f t="shared" si="5"/>
        <v>545.01819930203851</v>
      </c>
      <c r="K20" s="175">
        <f t="shared" si="5"/>
        <v>619.62590141477108</v>
      </c>
      <c r="L20" s="175">
        <f t="shared" si="5"/>
        <v>619.62590141477108</v>
      </c>
      <c r="M20" s="175">
        <f t="shared" si="5"/>
        <v>619.62590141477108</v>
      </c>
    </row>
    <row r="21" spans="2:13" ht="18.75" customHeight="1" x14ac:dyDescent="0.2">
      <c r="B21" s="173">
        <f t="shared" si="0"/>
        <v>10</v>
      </c>
      <c r="C21" s="176" t="s">
        <v>245</v>
      </c>
      <c r="D21" s="175">
        <f>AVERAGE(D10,D14)*D18-D20</f>
        <v>8.8131517561579926</v>
      </c>
      <c r="E21" s="175">
        <f t="shared" ref="E21:M21" si="6">AVERAGE(E10,E14)*E18-E20</f>
        <v>9.719552961591944</v>
      </c>
      <c r="F21" s="175">
        <f t="shared" si="6"/>
        <v>9.719552961591944</v>
      </c>
      <c r="G21" s="175">
        <f t="shared" si="6"/>
        <v>0</v>
      </c>
      <c r="H21" s="175">
        <f t="shared" si="6"/>
        <v>5.7839159717767643</v>
      </c>
      <c r="I21" s="175">
        <f t="shared" si="6"/>
        <v>41.187210641837737</v>
      </c>
      <c r="J21" s="175">
        <f t="shared" si="6"/>
        <v>37.303851056366398</v>
      </c>
      <c r="K21" s="175">
        <f t="shared" si="6"/>
        <v>0</v>
      </c>
      <c r="L21" s="175">
        <f t="shared" si="6"/>
        <v>0</v>
      </c>
      <c r="M21" s="175">
        <f t="shared" si="6"/>
        <v>0</v>
      </c>
    </row>
    <row r="22" spans="2:13" ht="15.75" x14ac:dyDescent="0.2">
      <c r="B22" s="173">
        <f t="shared" si="0"/>
        <v>11</v>
      </c>
      <c r="C22" s="185" t="s">
        <v>195</v>
      </c>
      <c r="D22" s="175">
        <v>406.16</v>
      </c>
      <c r="E22" s="175">
        <f t="shared" ref="E22:M22" si="7">E20+E21</f>
        <v>441.35644119664846</v>
      </c>
      <c r="F22" s="175">
        <f t="shared" si="7"/>
        <v>441.35644119664846</v>
      </c>
      <c r="G22" s="175">
        <v>463.05</v>
      </c>
      <c r="H22" s="175">
        <f t="shared" si="7"/>
        <v>456.85986204658639</v>
      </c>
      <c r="I22" s="175">
        <f t="shared" si="7"/>
        <v>503.83098866020089</v>
      </c>
      <c r="J22" s="175">
        <f t="shared" si="7"/>
        <v>582.32205035840491</v>
      </c>
      <c r="K22" s="175">
        <f t="shared" si="7"/>
        <v>619.62590141477108</v>
      </c>
      <c r="L22" s="175">
        <f t="shared" si="7"/>
        <v>619.62590141477108</v>
      </c>
      <c r="M22" s="175">
        <f t="shared" si="7"/>
        <v>619.62590141477108</v>
      </c>
    </row>
    <row r="23" spans="2:13" x14ac:dyDescent="0.2">
      <c r="C23" s="166" t="s">
        <v>272</v>
      </c>
    </row>
    <row r="24" spans="2:13" x14ac:dyDescent="0.2">
      <c r="C24" s="166" t="s">
        <v>435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2" orientation="landscape" r:id="rId1"/>
  <headerFooter alignWithMargins="0">
    <oddHeader>&amp;F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2"/>
  <sheetViews>
    <sheetView showGridLines="0" view="pageBreakPreview" zoomScale="90" zoomScaleNormal="90" zoomScaleSheetLayoutView="90" workbookViewId="0">
      <selection activeCell="F32" sqref="F32"/>
    </sheetView>
  </sheetViews>
  <sheetFormatPr defaultColWidth="9.28515625" defaultRowHeight="14.25" x14ac:dyDescent="0.2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13" width="11.28515625" style="5" customWidth="1"/>
    <col min="14" max="16" width="11.7109375" style="5" bestFit="1" customWidth="1"/>
    <col min="17" max="16384" width="9.28515625" style="5"/>
  </cols>
  <sheetData>
    <row r="1" spans="2:13" ht="15" x14ac:dyDescent="0.2">
      <c r="B1" s="26"/>
    </row>
    <row r="2" spans="2:13" ht="15.75" x14ac:dyDescent="0.2">
      <c r="B2" s="294" t="s">
        <v>551</v>
      </c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</row>
    <row r="3" spans="2:13" ht="15.75" x14ac:dyDescent="0.2">
      <c r="B3" s="294" t="s">
        <v>519</v>
      </c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</row>
    <row r="4" spans="2:13" ht="15.75" x14ac:dyDescent="0.2">
      <c r="B4" s="341" t="s">
        <v>569</v>
      </c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</row>
    <row r="5" spans="2:13" ht="15" x14ac:dyDescent="0.2">
      <c r="B5" s="36"/>
      <c r="C5" s="26"/>
      <c r="D5" s="27"/>
      <c r="E5" s="27"/>
      <c r="F5" s="27"/>
      <c r="G5" s="27"/>
      <c r="H5" s="27"/>
      <c r="I5" s="27"/>
      <c r="J5" s="27"/>
    </row>
    <row r="6" spans="2:13" ht="15" x14ac:dyDescent="0.2">
      <c r="M6" s="28" t="s">
        <v>4</v>
      </c>
    </row>
    <row r="7" spans="2:13" s="19" customFormat="1" ht="15" customHeight="1" x14ac:dyDescent="0.2">
      <c r="B7" s="326" t="s">
        <v>210</v>
      </c>
      <c r="C7" s="321" t="s">
        <v>18</v>
      </c>
      <c r="D7" s="315" t="s">
        <v>520</v>
      </c>
      <c r="E7" s="316"/>
      <c r="F7" s="317"/>
      <c r="G7" s="315" t="s">
        <v>521</v>
      </c>
      <c r="H7" s="316"/>
      <c r="I7" s="314" t="s">
        <v>252</v>
      </c>
      <c r="J7" s="314"/>
      <c r="K7" s="314"/>
      <c r="L7" s="314"/>
      <c r="M7" s="314"/>
    </row>
    <row r="8" spans="2:13" s="19" customFormat="1" ht="30" x14ac:dyDescent="0.2">
      <c r="B8" s="327"/>
      <c r="C8" s="321"/>
      <c r="D8" s="21" t="s">
        <v>397</v>
      </c>
      <c r="E8" s="21" t="s">
        <v>270</v>
      </c>
      <c r="F8" s="21" t="s">
        <v>226</v>
      </c>
      <c r="G8" s="21" t="s">
        <v>397</v>
      </c>
      <c r="H8" s="21" t="s">
        <v>269</v>
      </c>
      <c r="I8" s="21" t="s">
        <v>486</v>
      </c>
      <c r="J8" s="21" t="s">
        <v>487</v>
      </c>
      <c r="K8" s="21" t="s">
        <v>488</v>
      </c>
      <c r="L8" s="21" t="s">
        <v>489</v>
      </c>
      <c r="M8" s="21" t="s">
        <v>490</v>
      </c>
    </row>
    <row r="9" spans="2:13" s="19" customFormat="1" ht="15" x14ac:dyDescent="0.2">
      <c r="B9" s="328"/>
      <c r="C9" s="329"/>
      <c r="D9" s="21" t="s">
        <v>10</v>
      </c>
      <c r="E9" s="21" t="s">
        <v>12</v>
      </c>
      <c r="F9" s="21" t="s">
        <v>259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 x14ac:dyDescent="0.2">
      <c r="B10" s="62">
        <v>1</v>
      </c>
      <c r="C10" s="29" t="s">
        <v>326</v>
      </c>
      <c r="D10" s="2"/>
      <c r="E10" s="144">
        <v>6.1564199602177232E-2</v>
      </c>
      <c r="F10" s="144">
        <v>6.1564199602177232E-2</v>
      </c>
      <c r="G10" s="145"/>
      <c r="H10" s="145">
        <v>9.0284317459485286E-2</v>
      </c>
      <c r="I10" s="145">
        <v>6.1564199602177232E-2</v>
      </c>
      <c r="J10" s="145">
        <v>6.4026767586264327E-2</v>
      </c>
      <c r="K10" s="145">
        <v>6.6587838289714901E-2</v>
      </c>
      <c r="L10" s="145">
        <v>6.92513518213035E-2</v>
      </c>
      <c r="M10" s="145">
        <v>7.2021405894155649E-2</v>
      </c>
    </row>
    <row r="11" spans="2:13" x14ac:dyDescent="0.2">
      <c r="B11" s="62">
        <f>B10+1</f>
        <v>2</v>
      </c>
      <c r="C11" s="29" t="s">
        <v>327</v>
      </c>
      <c r="D11" s="2"/>
      <c r="E11" s="144">
        <v>0</v>
      </c>
      <c r="F11" s="144">
        <v>0</v>
      </c>
      <c r="G11" s="145"/>
      <c r="H11" s="145">
        <v>0</v>
      </c>
      <c r="I11" s="145">
        <v>0</v>
      </c>
      <c r="J11" s="145">
        <v>0</v>
      </c>
      <c r="K11" s="145">
        <v>0</v>
      </c>
      <c r="L11" s="145">
        <v>0</v>
      </c>
      <c r="M11" s="145">
        <v>0</v>
      </c>
    </row>
    <row r="12" spans="2:13" x14ac:dyDescent="0.2">
      <c r="B12" s="62">
        <f>B11+1</f>
        <v>3</v>
      </c>
      <c r="C12" s="29" t="s">
        <v>328</v>
      </c>
      <c r="D12" s="2"/>
      <c r="E12" s="144">
        <v>2.8545442368587422E-2</v>
      </c>
      <c r="F12" s="144">
        <v>2.8545442368587422E-2</v>
      </c>
      <c r="G12" s="145"/>
      <c r="H12" s="145">
        <v>0.28099637999999999</v>
      </c>
      <c r="I12" s="145">
        <v>2.8545442368587422E-2</v>
      </c>
      <c r="J12" s="145">
        <v>2.968726006333092E-2</v>
      </c>
      <c r="K12" s="145">
        <v>3.0874750465864159E-2</v>
      </c>
      <c r="L12" s="145">
        <v>3.2109740484498724E-2</v>
      </c>
      <c r="M12" s="145">
        <v>3.3394130103878671E-2</v>
      </c>
    </row>
    <row r="13" spans="2:13" x14ac:dyDescent="0.2">
      <c r="B13" s="23">
        <f t="shared" ref="B13:B21" si="0">B12+1</f>
        <v>4</v>
      </c>
      <c r="C13" s="31" t="s">
        <v>329</v>
      </c>
      <c r="D13" s="2"/>
      <c r="E13" s="144">
        <v>0</v>
      </c>
      <c r="F13" s="144">
        <v>0</v>
      </c>
      <c r="G13" s="145"/>
      <c r="H13" s="145">
        <v>0</v>
      </c>
      <c r="I13" s="145">
        <v>0</v>
      </c>
      <c r="J13" s="145">
        <v>0</v>
      </c>
      <c r="K13" s="145">
        <v>0</v>
      </c>
      <c r="L13" s="145">
        <v>0</v>
      </c>
      <c r="M13" s="145">
        <v>0</v>
      </c>
    </row>
    <row r="14" spans="2:13" ht="15.75" customHeight="1" x14ac:dyDescent="0.2">
      <c r="B14" s="23">
        <f t="shared" si="0"/>
        <v>5</v>
      </c>
      <c r="C14" s="74" t="s">
        <v>330</v>
      </c>
      <c r="D14" s="75"/>
      <c r="E14" s="146">
        <v>0</v>
      </c>
      <c r="F14" s="144">
        <v>0</v>
      </c>
      <c r="G14" s="146"/>
      <c r="H14" s="145">
        <v>0</v>
      </c>
      <c r="I14" s="146">
        <v>0</v>
      </c>
      <c r="J14" s="146">
        <v>0</v>
      </c>
      <c r="K14" s="146">
        <v>0</v>
      </c>
      <c r="L14" s="146">
        <v>0</v>
      </c>
      <c r="M14" s="146">
        <v>0</v>
      </c>
    </row>
    <row r="15" spans="2:13" s="35" customFormat="1" ht="15" x14ac:dyDescent="0.2">
      <c r="B15" s="23">
        <f t="shared" si="0"/>
        <v>6</v>
      </c>
      <c r="C15" s="39" t="s">
        <v>331</v>
      </c>
      <c r="D15" s="75"/>
      <c r="E15" s="146">
        <v>3.0012277302514916E-2</v>
      </c>
      <c r="F15" s="144">
        <v>3.0012277302514916E-2</v>
      </c>
      <c r="G15" s="146"/>
      <c r="H15" s="145">
        <v>2.4448522221022929E-2</v>
      </c>
      <c r="I15" s="146">
        <v>3.0012277302514916E-2</v>
      </c>
      <c r="J15" s="146">
        <v>3.1212768394615516E-2</v>
      </c>
      <c r="K15" s="146">
        <v>3.2461279130400138E-2</v>
      </c>
      <c r="L15" s="146">
        <v>3.3759730295616144E-2</v>
      </c>
      <c r="M15" s="146">
        <v>3.5110119507440793E-2</v>
      </c>
    </row>
    <row r="16" spans="2:13" s="35" customFormat="1" ht="15" x14ac:dyDescent="0.2">
      <c r="B16" s="23">
        <f t="shared" si="0"/>
        <v>7</v>
      </c>
      <c r="C16" s="74" t="s">
        <v>332</v>
      </c>
      <c r="D16" s="75"/>
      <c r="E16" s="146">
        <v>0</v>
      </c>
      <c r="F16" s="144">
        <v>0</v>
      </c>
      <c r="G16" s="146"/>
      <c r="H16" s="145">
        <v>0</v>
      </c>
      <c r="I16" s="146">
        <v>0</v>
      </c>
      <c r="J16" s="146">
        <v>0</v>
      </c>
      <c r="K16" s="146">
        <v>0</v>
      </c>
      <c r="L16" s="146">
        <v>0</v>
      </c>
      <c r="M16" s="146">
        <v>0</v>
      </c>
    </row>
    <row r="17" spans="2:13" s="35" customFormat="1" ht="12.75" customHeight="1" x14ac:dyDescent="0.2">
      <c r="B17" s="23">
        <f t="shared" si="0"/>
        <v>8</v>
      </c>
      <c r="C17" s="39" t="s">
        <v>333</v>
      </c>
      <c r="D17" s="75"/>
      <c r="E17" s="146">
        <v>2.6778098160455182E-3</v>
      </c>
      <c r="F17" s="144">
        <v>2.6778098160455182E-3</v>
      </c>
      <c r="G17" s="146"/>
      <c r="H17" s="145">
        <v>5.5570378918477163E-3</v>
      </c>
      <c r="I17" s="146">
        <v>2.6778098160455182E-3</v>
      </c>
      <c r="J17" s="146">
        <v>2.7849222086873391E-3</v>
      </c>
      <c r="K17" s="146">
        <v>2.8963190970348329E-3</v>
      </c>
      <c r="L17" s="146">
        <v>3.0121718609162264E-3</v>
      </c>
      <c r="M17" s="146">
        <v>3.1326587353528758E-3</v>
      </c>
    </row>
    <row r="18" spans="2:13" s="35" customFormat="1" ht="15" x14ac:dyDescent="0.2">
      <c r="B18" s="23">
        <f t="shared" si="0"/>
        <v>9</v>
      </c>
      <c r="C18" s="39" t="s">
        <v>162</v>
      </c>
      <c r="D18" s="75"/>
      <c r="E18" s="146">
        <v>1.92</v>
      </c>
      <c r="F18" s="144">
        <v>1.92</v>
      </c>
      <c r="G18" s="146"/>
      <c r="H18" s="145">
        <v>9.4</v>
      </c>
      <c r="I18" s="146">
        <v>10.686456400742115</v>
      </c>
      <c r="J18" s="146">
        <v>11.113914656771799</v>
      </c>
      <c r="K18" s="146">
        <v>11.558471243042671</v>
      </c>
      <c r="L18" s="146">
        <v>12.020810092764378</v>
      </c>
      <c r="M18" s="146">
        <v>12.501642496474954</v>
      </c>
    </row>
    <row r="19" spans="2:13" s="35" customFormat="1" ht="15" x14ac:dyDescent="0.2">
      <c r="B19" s="23">
        <f t="shared" si="0"/>
        <v>10</v>
      </c>
      <c r="C19" s="39" t="s">
        <v>334</v>
      </c>
      <c r="D19" s="75"/>
      <c r="E19" s="146">
        <v>0</v>
      </c>
      <c r="F19" s="144">
        <v>0</v>
      </c>
      <c r="G19" s="146"/>
      <c r="H19" s="145">
        <v>0</v>
      </c>
      <c r="I19" s="146">
        <v>0</v>
      </c>
      <c r="J19" s="146">
        <v>0</v>
      </c>
      <c r="K19" s="146">
        <v>0</v>
      </c>
      <c r="L19" s="146">
        <v>0</v>
      </c>
      <c r="M19" s="146">
        <v>0</v>
      </c>
    </row>
    <row r="20" spans="2:13" x14ac:dyDescent="0.2">
      <c r="B20" s="23">
        <f t="shared" si="0"/>
        <v>11</v>
      </c>
      <c r="C20" s="74" t="s">
        <v>173</v>
      </c>
      <c r="D20" s="75"/>
      <c r="E20" s="146">
        <v>7.3486348037870255E-2</v>
      </c>
      <c r="F20" s="144">
        <v>7.3486348037870255E-2</v>
      </c>
      <c r="G20" s="146"/>
      <c r="H20" s="145">
        <v>0.10070119495165991</v>
      </c>
      <c r="I20" s="146">
        <v>7.3486348037870255E-2</v>
      </c>
      <c r="J20" s="146">
        <v>7.6425801959385073E-2</v>
      </c>
      <c r="K20" s="146">
        <v>7.9482834037760478E-2</v>
      </c>
      <c r="L20" s="146">
        <v>8.2662147399270899E-2</v>
      </c>
      <c r="M20" s="146">
        <v>8.5968633295241736E-2</v>
      </c>
    </row>
    <row r="21" spans="2:13" x14ac:dyDescent="0.2">
      <c r="B21" s="23">
        <f t="shared" si="0"/>
        <v>12</v>
      </c>
      <c r="C21" s="74" t="s">
        <v>9</v>
      </c>
      <c r="D21" s="75"/>
      <c r="E21" s="146">
        <v>2.3837448465978439</v>
      </c>
      <c r="F21" s="144">
        <v>2.3837448465978439</v>
      </c>
      <c r="G21" s="146"/>
      <c r="H21" s="145">
        <v>0.26569641514307746</v>
      </c>
      <c r="I21" s="146">
        <v>0.7406809959201579</v>
      </c>
      <c r="J21" s="146">
        <v>0.77030823575696428</v>
      </c>
      <c r="K21" s="146">
        <v>0.80112056518724284</v>
      </c>
      <c r="L21" s="146">
        <v>0.83316538779473259</v>
      </c>
      <c r="M21" s="146">
        <v>0.86649200330652187</v>
      </c>
    </row>
    <row r="22" spans="2:13" ht="15" x14ac:dyDescent="0.2">
      <c r="B22" s="23"/>
      <c r="C22" s="33" t="s">
        <v>139</v>
      </c>
      <c r="D22" s="121">
        <v>9.49</v>
      </c>
      <c r="E22" s="121">
        <f t="shared" ref="E22:M22" si="1">SUM(E10:E21)</f>
        <v>4.5000309237250393</v>
      </c>
      <c r="F22" s="121">
        <f t="shared" si="1"/>
        <v>4.5000309237250393</v>
      </c>
      <c r="G22" s="121">
        <v>9.49</v>
      </c>
      <c r="H22" s="121">
        <f t="shared" si="1"/>
        <v>10.167683867667092</v>
      </c>
      <c r="I22" s="121">
        <f t="shared" si="1"/>
        <v>11.623423473789467</v>
      </c>
      <c r="J22" s="121">
        <f t="shared" si="1"/>
        <v>12.088360412741046</v>
      </c>
      <c r="K22" s="121">
        <f t="shared" si="1"/>
        <v>12.571894829250688</v>
      </c>
      <c r="L22" s="121">
        <f t="shared" si="1"/>
        <v>13.074770622420717</v>
      </c>
      <c r="M22" s="121">
        <f t="shared" si="1"/>
        <v>13.597761447317545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7" orientation="landscape" r:id="rId1"/>
  <headerFooter alignWithMargins="0">
    <oddHeader>&amp;F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1"/>
  <sheetViews>
    <sheetView showGridLines="0" zoomScale="80" zoomScaleNormal="80" zoomScaleSheetLayoutView="70" workbookViewId="0">
      <selection activeCell="B4" sqref="B4:J4"/>
    </sheetView>
  </sheetViews>
  <sheetFormatPr defaultColWidth="9.28515625" defaultRowHeight="14.25" x14ac:dyDescent="0.2"/>
  <cols>
    <col min="1" max="1" width="3.28515625" style="5" customWidth="1"/>
    <col min="2" max="2" width="8.28515625" style="5" customWidth="1"/>
    <col min="3" max="3" width="26.7109375" style="5" customWidth="1"/>
    <col min="4" max="4" width="23.7109375" style="5" customWidth="1"/>
    <col min="5" max="5" width="18" style="5" bestFit="1" customWidth="1"/>
    <col min="6" max="10" width="15.7109375" style="5" customWidth="1"/>
    <col min="11" max="16384" width="9.28515625" style="5"/>
  </cols>
  <sheetData>
    <row r="2" spans="2:10" ht="14.25" customHeight="1" x14ac:dyDescent="0.2">
      <c r="B2" s="323" t="s">
        <v>550</v>
      </c>
      <c r="C2" s="323"/>
      <c r="D2" s="323"/>
      <c r="E2" s="323"/>
      <c r="F2" s="323"/>
      <c r="G2" s="323"/>
      <c r="H2" s="323"/>
      <c r="I2" s="323"/>
      <c r="J2" s="323"/>
    </row>
    <row r="3" spans="2:10" ht="14.25" customHeight="1" x14ac:dyDescent="0.2">
      <c r="B3" s="323" t="s">
        <v>518</v>
      </c>
      <c r="C3" s="323"/>
      <c r="D3" s="323"/>
      <c r="E3" s="323"/>
      <c r="F3" s="323"/>
      <c r="G3" s="323"/>
      <c r="H3" s="323"/>
      <c r="I3" s="323"/>
      <c r="J3" s="323"/>
    </row>
    <row r="4" spans="2:10" ht="14.25" customHeight="1" x14ac:dyDescent="0.2">
      <c r="B4" s="311" t="s">
        <v>336</v>
      </c>
      <c r="C4" s="311"/>
      <c r="D4" s="311"/>
      <c r="E4" s="311"/>
      <c r="F4" s="311"/>
      <c r="G4" s="311"/>
      <c r="H4" s="311"/>
      <c r="I4" s="311"/>
      <c r="J4" s="311"/>
    </row>
    <row r="5" spans="2:10" ht="15" x14ac:dyDescent="0.2">
      <c r="B5" s="26"/>
      <c r="C5" s="78"/>
      <c r="D5" s="79"/>
    </row>
    <row r="6" spans="2:10" ht="15" customHeight="1" x14ac:dyDescent="0.2">
      <c r="B6" s="313" t="s">
        <v>2</v>
      </c>
      <c r="C6" s="314" t="s">
        <v>18</v>
      </c>
      <c r="D6" s="148" t="s">
        <v>520</v>
      </c>
      <c r="E6" s="217" t="s">
        <v>485</v>
      </c>
      <c r="F6" s="314" t="s">
        <v>252</v>
      </c>
      <c r="G6" s="314"/>
      <c r="H6" s="314"/>
      <c r="I6" s="314"/>
      <c r="J6" s="314"/>
    </row>
    <row r="7" spans="2:10" ht="15" x14ac:dyDescent="0.2">
      <c r="B7" s="313"/>
      <c r="C7" s="314"/>
      <c r="D7" s="21" t="s">
        <v>335</v>
      </c>
      <c r="E7" s="21" t="s">
        <v>269</v>
      </c>
      <c r="F7" s="21" t="s">
        <v>486</v>
      </c>
      <c r="G7" s="21" t="s">
        <v>487</v>
      </c>
      <c r="H7" s="21" t="s">
        <v>488</v>
      </c>
      <c r="I7" s="21" t="s">
        <v>489</v>
      </c>
      <c r="J7" s="21" t="s">
        <v>490</v>
      </c>
    </row>
    <row r="8" spans="2:10" ht="24.75" customHeight="1" x14ac:dyDescent="0.2">
      <c r="B8" s="342"/>
      <c r="C8" s="343"/>
      <c r="D8" s="21" t="s">
        <v>3</v>
      </c>
      <c r="E8" s="21" t="s">
        <v>5</v>
      </c>
      <c r="F8" s="21" t="s">
        <v>8</v>
      </c>
      <c r="G8" s="21" t="s">
        <v>8</v>
      </c>
      <c r="H8" s="21" t="s">
        <v>8</v>
      </c>
      <c r="I8" s="21" t="s">
        <v>8</v>
      </c>
      <c r="J8" s="21" t="s">
        <v>8</v>
      </c>
    </row>
    <row r="9" spans="2:10" ht="15" x14ac:dyDescent="0.2">
      <c r="B9" s="80">
        <v>1</v>
      </c>
      <c r="C9" s="81" t="s">
        <v>174</v>
      </c>
      <c r="D9" s="77"/>
      <c r="E9" s="77"/>
      <c r="F9" s="29"/>
      <c r="G9" s="29"/>
      <c r="H9" s="29"/>
      <c r="I9" s="29"/>
      <c r="J9" s="29"/>
    </row>
    <row r="10" spans="2:10" s="35" customFormat="1" ht="15" x14ac:dyDescent="0.2">
      <c r="B10" s="82" t="s">
        <v>57</v>
      </c>
      <c r="C10" s="40" t="s">
        <v>58</v>
      </c>
      <c r="D10" s="83"/>
      <c r="E10" s="40"/>
      <c r="F10" s="40"/>
      <c r="G10" s="40"/>
      <c r="H10" s="40"/>
      <c r="I10" s="40"/>
      <c r="J10" s="40"/>
    </row>
    <row r="11" spans="2:10" s="35" customFormat="1" ht="15" x14ac:dyDescent="0.2">
      <c r="B11" s="84"/>
      <c r="C11" s="31" t="s">
        <v>59</v>
      </c>
      <c r="D11" s="83"/>
      <c r="E11" s="40"/>
      <c r="F11" s="40"/>
      <c r="G11" s="40"/>
      <c r="H11" s="40"/>
      <c r="I11" s="40"/>
      <c r="J11" s="40"/>
    </row>
    <row r="12" spans="2:10" s="35" customFormat="1" ht="15" x14ac:dyDescent="0.2">
      <c r="B12" s="84"/>
      <c r="C12" s="31" t="s">
        <v>60</v>
      </c>
      <c r="D12" s="83"/>
      <c r="E12" s="40"/>
      <c r="F12" s="40"/>
      <c r="G12" s="40"/>
      <c r="H12" s="40"/>
      <c r="I12" s="40"/>
      <c r="J12" s="40"/>
    </row>
    <row r="13" spans="2:10" s="35" customFormat="1" ht="15" x14ac:dyDescent="0.2">
      <c r="B13" s="84"/>
      <c r="C13" s="31" t="s">
        <v>61</v>
      </c>
      <c r="D13" s="83"/>
      <c r="E13" s="40"/>
      <c r="F13" s="40"/>
      <c r="G13" s="40"/>
      <c r="H13" s="40"/>
      <c r="I13" s="40"/>
      <c r="J13" s="40"/>
    </row>
    <row r="14" spans="2:10" s="35" customFormat="1" ht="15" x14ac:dyDescent="0.2">
      <c r="B14" s="84"/>
      <c r="C14" s="85"/>
      <c r="D14" s="83"/>
      <c r="E14" s="40"/>
      <c r="F14" s="40"/>
      <c r="G14" s="40"/>
      <c r="H14" s="40"/>
      <c r="I14" s="40"/>
      <c r="J14" s="40"/>
    </row>
    <row r="15" spans="2:10" s="35" customFormat="1" ht="15" x14ac:dyDescent="0.2">
      <c r="B15" s="82" t="s">
        <v>62</v>
      </c>
      <c r="C15" s="86" t="s">
        <v>63</v>
      </c>
      <c r="D15" s="83"/>
      <c r="E15" s="40"/>
      <c r="F15" s="40"/>
      <c r="G15" s="40"/>
      <c r="H15" s="40"/>
      <c r="I15" s="40"/>
      <c r="J15" s="40"/>
    </row>
    <row r="16" spans="2:10" s="35" customFormat="1" ht="15" x14ac:dyDescent="0.2">
      <c r="B16" s="84"/>
      <c r="C16" s="31" t="s">
        <v>59</v>
      </c>
      <c r="D16" s="83"/>
      <c r="E16" s="40"/>
      <c r="F16" s="40"/>
      <c r="G16" s="40"/>
      <c r="H16" s="40"/>
      <c r="I16" s="40"/>
      <c r="J16" s="40"/>
    </row>
    <row r="17" spans="2:10" x14ac:dyDescent="0.2">
      <c r="B17" s="84"/>
      <c r="C17" s="31" t="s">
        <v>60</v>
      </c>
      <c r="D17" s="83"/>
      <c r="E17" s="29"/>
      <c r="F17" s="29"/>
      <c r="G17" s="29"/>
      <c r="H17" s="29"/>
      <c r="I17" s="29"/>
      <c r="J17" s="29"/>
    </row>
    <row r="18" spans="2:10" x14ac:dyDescent="0.2">
      <c r="B18" s="87"/>
      <c r="C18" s="31" t="s">
        <v>64</v>
      </c>
      <c r="D18" s="83"/>
      <c r="E18" s="29"/>
      <c r="F18" s="29"/>
      <c r="G18" s="29"/>
      <c r="H18" s="29"/>
      <c r="I18" s="29"/>
      <c r="J18" s="29"/>
    </row>
    <row r="19" spans="2:10" ht="15" x14ac:dyDescent="0.2">
      <c r="B19" s="87"/>
      <c r="C19" s="86"/>
      <c r="D19" s="83"/>
      <c r="E19" s="29"/>
      <c r="F19" s="29"/>
      <c r="G19" s="29"/>
      <c r="H19" s="29"/>
      <c r="I19" s="29"/>
      <c r="J19" s="29"/>
    </row>
    <row r="20" spans="2:10" ht="17.25" customHeight="1" x14ac:dyDescent="0.2">
      <c r="B20" s="82">
        <v>2</v>
      </c>
      <c r="C20" s="81" t="s">
        <v>175</v>
      </c>
      <c r="D20" s="83"/>
      <c r="E20" s="29"/>
      <c r="F20" s="29"/>
      <c r="G20" s="29"/>
      <c r="H20" s="29"/>
      <c r="I20" s="29"/>
      <c r="J20" s="29"/>
    </row>
    <row r="21" spans="2:10" ht="17.25" customHeight="1" x14ac:dyDescent="0.2">
      <c r="B21" s="82"/>
      <c r="C21" s="81" t="s">
        <v>65</v>
      </c>
      <c r="D21" s="83"/>
      <c r="E21" s="29"/>
      <c r="F21" s="29"/>
      <c r="G21" s="29"/>
      <c r="H21" s="29"/>
      <c r="I21" s="29"/>
      <c r="J21" s="29"/>
    </row>
    <row r="22" spans="2:10" ht="17.25" customHeight="1" x14ac:dyDescent="0.2">
      <c r="B22" s="82"/>
      <c r="C22" s="81" t="s">
        <v>65</v>
      </c>
      <c r="D22" s="83"/>
      <c r="E22" s="29"/>
      <c r="F22" s="29"/>
      <c r="G22" s="29"/>
      <c r="H22" s="29"/>
      <c r="I22" s="29"/>
      <c r="J22" s="29"/>
    </row>
    <row r="23" spans="2:10" ht="15" x14ac:dyDescent="0.2">
      <c r="B23" s="84"/>
      <c r="C23" s="86" t="s">
        <v>66</v>
      </c>
      <c r="D23" s="83"/>
      <c r="E23" s="29"/>
      <c r="F23" s="29"/>
      <c r="G23" s="29"/>
      <c r="H23" s="29"/>
      <c r="I23" s="29"/>
      <c r="J23" s="29"/>
    </row>
    <row r="25" spans="2:10" ht="15" x14ac:dyDescent="0.2">
      <c r="B25" s="88" t="s">
        <v>54</v>
      </c>
      <c r="C25" s="89"/>
      <c r="D25" s="89"/>
      <c r="E25" s="89"/>
    </row>
    <row r="26" spans="2:10" x14ac:dyDescent="0.2">
      <c r="B26" s="5" t="s">
        <v>228</v>
      </c>
      <c r="D26" s="90"/>
      <c r="E26" s="89"/>
    </row>
    <row r="27" spans="2:10" ht="18" customHeight="1" x14ac:dyDescent="0.2">
      <c r="B27" s="89"/>
      <c r="E27" s="89"/>
    </row>
    <row r="28" spans="2:10" x14ac:dyDescent="0.2">
      <c r="B28" s="89"/>
      <c r="C28" s="89"/>
      <c r="D28" s="89"/>
      <c r="E28" s="89"/>
    </row>
    <row r="29" spans="2:10" x14ac:dyDescent="0.2">
      <c r="B29" s="89"/>
      <c r="C29" s="89"/>
      <c r="D29" s="89"/>
      <c r="E29" s="89"/>
    </row>
    <row r="30" spans="2:10" x14ac:dyDescent="0.2">
      <c r="B30" s="89"/>
      <c r="C30" s="89"/>
      <c r="D30" s="89"/>
      <c r="E30" s="89"/>
    </row>
    <row r="31" spans="2:10" x14ac:dyDescent="0.2">
      <c r="B31" s="89"/>
      <c r="C31" s="89"/>
      <c r="D31" s="89"/>
      <c r="E31" s="89"/>
    </row>
  </sheetData>
  <mergeCells count="6">
    <mergeCell ref="B6:B8"/>
    <mergeCell ref="C6:C8"/>
    <mergeCell ref="F6:J6"/>
    <mergeCell ref="B2:J2"/>
    <mergeCell ref="B3:J3"/>
    <mergeCell ref="B4:J4"/>
  </mergeCells>
  <pageMargins left="0.75" right="0.75" top="1" bottom="1" header="0.5" footer="0.5"/>
  <pageSetup paperSize="9" scale="83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48"/>
  <sheetViews>
    <sheetView showGridLines="0" view="pageBreakPreview" zoomScale="70" zoomScaleNormal="82" zoomScaleSheetLayoutView="70" workbookViewId="0">
      <selection activeCell="B4" sqref="B4:O4"/>
    </sheetView>
  </sheetViews>
  <sheetFormatPr defaultColWidth="9.28515625" defaultRowHeight="12.75" x14ac:dyDescent="0.2"/>
  <cols>
    <col min="1" max="1" width="3.28515625" style="220" customWidth="1"/>
    <col min="2" max="2" width="6.28515625" style="220" customWidth="1"/>
    <col min="3" max="3" width="46" style="220" customWidth="1"/>
    <col min="4" max="4" width="11" style="223" customWidth="1"/>
    <col min="5" max="5" width="14" style="223" customWidth="1"/>
    <col min="6" max="6" width="12.140625" style="220" customWidth="1"/>
    <col min="7" max="7" width="15" style="220" customWidth="1"/>
    <col min="8" max="8" width="13.7109375" style="220" customWidth="1"/>
    <col min="9" max="9" width="16.140625" style="220" customWidth="1"/>
    <col min="10" max="14" width="12.7109375" style="220" customWidth="1"/>
    <col min="15" max="15" width="15.7109375" style="220" customWidth="1"/>
    <col min="16" max="16384" width="9.28515625" style="220"/>
  </cols>
  <sheetData>
    <row r="2" spans="2:15" ht="15.75" x14ac:dyDescent="0.2">
      <c r="B2" s="294" t="s">
        <v>550</v>
      </c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</row>
    <row r="3" spans="2:15" ht="15.75" x14ac:dyDescent="0.2">
      <c r="B3" s="294" t="s">
        <v>518</v>
      </c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</row>
    <row r="4" spans="2:15" s="221" customFormat="1" ht="15.75" x14ac:dyDescent="0.2">
      <c r="B4" s="294" t="s">
        <v>570</v>
      </c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</row>
    <row r="5" spans="2:15" s="221" customFormat="1" x14ac:dyDescent="0.2">
      <c r="C5" s="222"/>
      <c r="D5" s="223"/>
      <c r="E5" s="223"/>
      <c r="F5" s="224"/>
      <c r="G5" s="224"/>
      <c r="H5" s="224"/>
    </row>
    <row r="6" spans="2:15" ht="15" customHeight="1" x14ac:dyDescent="0.2">
      <c r="B6" s="344" t="s">
        <v>210</v>
      </c>
      <c r="C6" s="345" t="s">
        <v>18</v>
      </c>
      <c r="D6" s="345" t="s">
        <v>39</v>
      </c>
      <c r="E6" s="347" t="s">
        <v>520</v>
      </c>
      <c r="F6" s="348"/>
      <c r="G6" s="349"/>
      <c r="H6" s="347" t="s">
        <v>521</v>
      </c>
      <c r="I6" s="348"/>
      <c r="J6" s="346" t="s">
        <v>252</v>
      </c>
      <c r="K6" s="346"/>
      <c r="L6" s="346"/>
      <c r="M6" s="346"/>
      <c r="N6" s="346"/>
      <c r="O6" s="344" t="s">
        <v>11</v>
      </c>
    </row>
    <row r="7" spans="2:15" ht="25.5" x14ac:dyDescent="0.2">
      <c r="B7" s="345"/>
      <c r="C7" s="345"/>
      <c r="D7" s="345"/>
      <c r="E7" s="225" t="s">
        <v>397</v>
      </c>
      <c r="F7" s="225" t="s">
        <v>270</v>
      </c>
      <c r="G7" s="225" t="s">
        <v>226</v>
      </c>
      <c r="H7" s="225" t="s">
        <v>397</v>
      </c>
      <c r="I7" s="225" t="s">
        <v>269</v>
      </c>
      <c r="J7" s="225" t="s">
        <v>486</v>
      </c>
      <c r="K7" s="225" t="s">
        <v>487</v>
      </c>
      <c r="L7" s="225" t="s">
        <v>488</v>
      </c>
      <c r="M7" s="225" t="s">
        <v>489</v>
      </c>
      <c r="N7" s="225" t="s">
        <v>490</v>
      </c>
      <c r="O7" s="344"/>
    </row>
    <row r="8" spans="2:15" x14ac:dyDescent="0.2">
      <c r="B8" s="345"/>
      <c r="C8" s="345"/>
      <c r="D8" s="345"/>
      <c r="E8" s="225" t="s">
        <v>10</v>
      </c>
      <c r="F8" s="225" t="s">
        <v>12</v>
      </c>
      <c r="G8" s="225" t="s">
        <v>259</v>
      </c>
      <c r="H8" s="225" t="s">
        <v>10</v>
      </c>
      <c r="I8" s="225" t="s">
        <v>5</v>
      </c>
      <c r="J8" s="225" t="s">
        <v>8</v>
      </c>
      <c r="K8" s="225" t="s">
        <v>8</v>
      </c>
      <c r="L8" s="225" t="s">
        <v>8</v>
      </c>
      <c r="M8" s="225" t="s">
        <v>8</v>
      </c>
      <c r="N8" s="225" t="s">
        <v>8</v>
      </c>
      <c r="O8" s="342"/>
    </row>
    <row r="9" spans="2:15" x14ac:dyDescent="0.2">
      <c r="B9" s="225"/>
      <c r="C9" s="226"/>
      <c r="D9" s="227"/>
      <c r="E9" s="227"/>
      <c r="F9" s="228"/>
      <c r="G9" s="228"/>
      <c r="H9" s="228"/>
      <c r="I9" s="228"/>
      <c r="J9" s="228"/>
      <c r="K9" s="228"/>
      <c r="L9" s="228"/>
      <c r="M9" s="228"/>
      <c r="N9" s="228"/>
      <c r="O9" s="228"/>
    </row>
    <row r="10" spans="2:15" x14ac:dyDescent="0.2">
      <c r="B10" s="229">
        <v>1</v>
      </c>
      <c r="C10" s="230" t="s">
        <v>230</v>
      </c>
      <c r="D10" s="229" t="s">
        <v>40</v>
      </c>
      <c r="E10" s="225" t="s">
        <v>512</v>
      </c>
      <c r="F10" s="231">
        <v>1080</v>
      </c>
      <c r="G10" s="231"/>
      <c r="H10" s="231"/>
      <c r="I10" s="231"/>
      <c r="J10" s="228"/>
      <c r="K10" s="228"/>
      <c r="L10" s="228"/>
      <c r="M10" s="228"/>
      <c r="N10" s="228"/>
      <c r="O10" s="228"/>
    </row>
    <row r="11" spans="2:15" ht="51" x14ac:dyDescent="0.2">
      <c r="B11" s="229"/>
      <c r="C11" s="230" t="s">
        <v>367</v>
      </c>
      <c r="D11" s="229"/>
      <c r="E11" s="225" t="s">
        <v>513</v>
      </c>
      <c r="F11" s="231"/>
      <c r="G11" s="231"/>
      <c r="H11" s="231"/>
      <c r="I11" s="231"/>
      <c r="J11" s="228"/>
      <c r="K11" s="228"/>
      <c r="L11" s="228"/>
      <c r="M11" s="228"/>
      <c r="N11" s="228"/>
      <c r="O11" s="228"/>
    </row>
    <row r="12" spans="2:15" ht="13.5" customHeight="1" x14ac:dyDescent="0.2">
      <c r="B12" s="229"/>
      <c r="C12" s="230" t="s">
        <v>239</v>
      </c>
      <c r="D12" s="229"/>
      <c r="E12" s="225" t="s">
        <v>514</v>
      </c>
      <c r="F12" s="231"/>
      <c r="G12" s="231"/>
      <c r="H12" s="231"/>
      <c r="I12" s="231"/>
      <c r="J12" s="228"/>
      <c r="K12" s="228"/>
      <c r="L12" s="228"/>
      <c r="M12" s="228"/>
      <c r="N12" s="228"/>
      <c r="O12" s="228"/>
    </row>
    <row r="13" spans="2:15" x14ac:dyDescent="0.2">
      <c r="B13" s="229"/>
      <c r="C13" s="230"/>
      <c r="D13" s="229"/>
      <c r="E13" s="229"/>
      <c r="F13" s="231"/>
      <c r="G13" s="231"/>
      <c r="H13" s="231"/>
      <c r="I13" s="231"/>
      <c r="J13" s="228"/>
      <c r="K13" s="228"/>
      <c r="L13" s="228"/>
      <c r="M13" s="228"/>
      <c r="N13" s="228"/>
      <c r="O13" s="228"/>
    </row>
    <row r="14" spans="2:15" x14ac:dyDescent="0.2">
      <c r="B14" s="225">
        <v>2</v>
      </c>
      <c r="C14" s="226" t="s">
        <v>185</v>
      </c>
      <c r="D14" s="229"/>
      <c r="E14" s="229"/>
      <c r="F14" s="231"/>
      <c r="G14" s="231"/>
      <c r="H14" s="231"/>
      <c r="I14" s="231"/>
      <c r="J14" s="228"/>
      <c r="K14" s="228"/>
      <c r="L14" s="228"/>
      <c r="M14" s="228"/>
      <c r="N14" s="228"/>
      <c r="O14" s="228"/>
    </row>
    <row r="15" spans="2:15" x14ac:dyDescent="0.2">
      <c r="B15" s="229">
        <f>B14+0.1</f>
        <v>2.1</v>
      </c>
      <c r="C15" s="230" t="s">
        <v>41</v>
      </c>
      <c r="D15" s="229" t="s">
        <v>42</v>
      </c>
      <c r="E15" s="229">
        <v>85</v>
      </c>
      <c r="F15" s="229">
        <v>85</v>
      </c>
      <c r="G15" s="229">
        <v>85</v>
      </c>
      <c r="H15" s="229">
        <v>85</v>
      </c>
      <c r="I15" s="229">
        <v>85</v>
      </c>
      <c r="J15" s="229">
        <v>85</v>
      </c>
      <c r="K15" s="229">
        <v>85</v>
      </c>
      <c r="L15" s="229">
        <v>85</v>
      </c>
      <c r="M15" s="229">
        <v>85</v>
      </c>
      <c r="N15" s="229">
        <v>85</v>
      </c>
      <c r="O15" s="228"/>
    </row>
    <row r="16" spans="2:15" x14ac:dyDescent="0.2">
      <c r="B16" s="229">
        <f>B15+0.1</f>
        <v>2.2000000000000002</v>
      </c>
      <c r="C16" s="230" t="s">
        <v>165</v>
      </c>
      <c r="D16" s="229" t="s">
        <v>42</v>
      </c>
      <c r="E16" s="229"/>
      <c r="F16" s="229">
        <v>65.33</v>
      </c>
      <c r="G16" s="229">
        <v>65.33</v>
      </c>
      <c r="H16" s="229"/>
      <c r="I16" s="229">
        <v>74.11</v>
      </c>
      <c r="J16" s="229">
        <v>85</v>
      </c>
      <c r="K16" s="229">
        <v>85</v>
      </c>
      <c r="L16" s="229">
        <v>85</v>
      </c>
      <c r="M16" s="229">
        <v>85</v>
      </c>
      <c r="N16" s="229">
        <v>85</v>
      </c>
      <c r="O16" s="228"/>
    </row>
    <row r="17" spans="2:15" x14ac:dyDescent="0.2">
      <c r="B17" s="229"/>
      <c r="C17" s="230"/>
      <c r="D17" s="229"/>
      <c r="E17" s="229"/>
      <c r="F17" s="231"/>
      <c r="G17" s="231"/>
      <c r="H17" s="231"/>
      <c r="I17" s="231"/>
      <c r="J17" s="228"/>
      <c r="K17" s="228"/>
      <c r="L17" s="228"/>
      <c r="M17" s="228"/>
      <c r="N17" s="228"/>
      <c r="O17" s="228"/>
    </row>
    <row r="18" spans="2:15" x14ac:dyDescent="0.2">
      <c r="B18" s="225">
        <v>3</v>
      </c>
      <c r="C18" s="226" t="s">
        <v>186</v>
      </c>
      <c r="D18" s="229"/>
      <c r="E18" s="229"/>
      <c r="F18" s="231"/>
      <c r="G18" s="231"/>
      <c r="H18" s="231"/>
      <c r="I18" s="231"/>
      <c r="J18" s="228"/>
      <c r="K18" s="228"/>
      <c r="L18" s="228"/>
      <c r="M18" s="228"/>
      <c r="N18" s="228"/>
      <c r="O18" s="228"/>
    </row>
    <row r="19" spans="2:15" x14ac:dyDescent="0.2">
      <c r="B19" s="229">
        <f>B18+0.1</f>
        <v>3.1</v>
      </c>
      <c r="C19" s="230" t="s">
        <v>43</v>
      </c>
      <c r="D19" s="229" t="s">
        <v>42</v>
      </c>
      <c r="E19" s="229">
        <v>85</v>
      </c>
      <c r="F19" s="229">
        <v>85</v>
      </c>
      <c r="G19" s="229">
        <v>85</v>
      </c>
      <c r="H19" s="229">
        <v>85</v>
      </c>
      <c r="I19" s="229">
        <v>85</v>
      </c>
      <c r="J19" s="229">
        <v>85</v>
      </c>
      <c r="K19" s="229">
        <v>85</v>
      </c>
      <c r="L19" s="229">
        <v>85</v>
      </c>
      <c r="M19" s="229">
        <v>85</v>
      </c>
      <c r="N19" s="229">
        <v>85</v>
      </c>
      <c r="O19" s="228"/>
    </row>
    <row r="20" spans="2:15" x14ac:dyDescent="0.2">
      <c r="B20" s="229">
        <f>B19+0.1</f>
        <v>3.2</v>
      </c>
      <c r="C20" s="230" t="s">
        <v>166</v>
      </c>
      <c r="D20" s="229" t="s">
        <v>42</v>
      </c>
      <c r="E20" s="229"/>
      <c r="F20" s="229">
        <v>65.510000000000005</v>
      </c>
      <c r="G20" s="229">
        <v>65.510000000000005</v>
      </c>
      <c r="H20" s="229"/>
      <c r="I20" s="229">
        <v>73.3</v>
      </c>
      <c r="J20" s="229">
        <v>85.03</v>
      </c>
      <c r="K20" s="229">
        <v>85.03</v>
      </c>
      <c r="L20" s="229">
        <v>85.09</v>
      </c>
      <c r="M20" s="229">
        <v>85.04</v>
      </c>
      <c r="N20" s="229">
        <v>85.03</v>
      </c>
      <c r="O20" s="228"/>
    </row>
    <row r="21" spans="2:15" x14ac:dyDescent="0.2">
      <c r="B21" s="229"/>
      <c r="C21" s="230"/>
      <c r="D21" s="229"/>
      <c r="E21" s="229"/>
      <c r="F21" s="225"/>
      <c r="G21" s="225"/>
      <c r="H21" s="225"/>
      <c r="I21" s="225"/>
      <c r="J21" s="228"/>
      <c r="K21" s="228"/>
      <c r="L21" s="228"/>
      <c r="M21" s="228"/>
      <c r="N21" s="228"/>
      <c r="O21" s="228"/>
    </row>
    <row r="22" spans="2:15" x14ac:dyDescent="0.2">
      <c r="B22" s="225">
        <v>4</v>
      </c>
      <c r="C22" s="226" t="s">
        <v>56</v>
      </c>
      <c r="D22" s="229"/>
      <c r="E22" s="229"/>
      <c r="F22" s="225"/>
      <c r="G22" s="225"/>
      <c r="H22" s="225"/>
      <c r="I22" s="225"/>
      <c r="J22" s="228"/>
      <c r="K22" s="228"/>
      <c r="L22" s="228"/>
      <c r="M22" s="228"/>
      <c r="N22" s="228"/>
      <c r="O22" s="228"/>
    </row>
    <row r="23" spans="2:15" x14ac:dyDescent="0.2">
      <c r="B23" s="229">
        <f>B22+0.1</f>
        <v>4.0999999999999996</v>
      </c>
      <c r="C23" s="230" t="s">
        <v>44</v>
      </c>
      <c r="D23" s="229" t="s">
        <v>45</v>
      </c>
      <c r="E23" s="232">
        <f>F23</f>
        <v>5633.1319999999996</v>
      </c>
      <c r="F23" s="232">
        <v>5633.1319999999996</v>
      </c>
      <c r="G23" s="232">
        <v>5633.1319999999996</v>
      </c>
      <c r="H23" s="232">
        <f>I23</f>
        <v>6325.3909999999996</v>
      </c>
      <c r="I23" s="232">
        <v>6325.3909999999996</v>
      </c>
      <c r="J23" s="232">
        <f>J30</f>
        <v>7361.1018000000004</v>
      </c>
      <c r="K23" s="232">
        <f>K30</f>
        <v>7361.1018000000004</v>
      </c>
      <c r="L23" s="232">
        <f t="shared" ref="L23:N23" si="0">L30</f>
        <v>7366.2624000000005</v>
      </c>
      <c r="M23" s="232">
        <f t="shared" si="0"/>
        <v>7381.4971500000001</v>
      </c>
      <c r="N23" s="232">
        <f t="shared" si="0"/>
        <v>7361.1018000000004</v>
      </c>
      <c r="O23" s="228"/>
    </row>
    <row r="24" spans="2:15" x14ac:dyDescent="0.2">
      <c r="B24" s="229">
        <f>B23+0.1</f>
        <v>4.1999999999999993</v>
      </c>
      <c r="C24" s="233" t="s">
        <v>167</v>
      </c>
      <c r="D24" s="229" t="s">
        <v>45</v>
      </c>
      <c r="E24" s="232"/>
      <c r="F24" s="232">
        <v>6197.5519999999997</v>
      </c>
      <c r="G24" s="232">
        <v>6197.5519999999997</v>
      </c>
      <c r="H24" s="232"/>
      <c r="I24" s="232">
        <v>6953.817</v>
      </c>
      <c r="J24" s="232">
        <v>8044.92</v>
      </c>
      <c r="K24" s="232">
        <v>8044.92</v>
      </c>
      <c r="L24" s="232">
        <v>8050.56</v>
      </c>
      <c r="M24" s="232">
        <v>8067.21</v>
      </c>
      <c r="N24" s="232">
        <v>8044.92</v>
      </c>
      <c r="O24" s="228"/>
    </row>
    <row r="25" spans="2:15" x14ac:dyDescent="0.2">
      <c r="B25" s="229"/>
      <c r="C25" s="233"/>
      <c r="D25" s="229"/>
      <c r="E25" s="229"/>
      <c r="F25" s="225"/>
      <c r="G25" s="225"/>
      <c r="H25" s="225"/>
      <c r="I25" s="225"/>
      <c r="J25" s="228"/>
      <c r="K25" s="228"/>
      <c r="L25" s="228"/>
      <c r="M25" s="228"/>
      <c r="N25" s="228"/>
      <c r="O25" s="228"/>
    </row>
    <row r="26" spans="2:15" x14ac:dyDescent="0.2">
      <c r="B26" s="225">
        <v>5</v>
      </c>
      <c r="C26" s="234" t="s">
        <v>183</v>
      </c>
      <c r="D26" s="229"/>
      <c r="E26" s="229"/>
      <c r="F26" s="225"/>
      <c r="G26" s="225"/>
      <c r="H26" s="225"/>
      <c r="I26" s="225"/>
      <c r="J26" s="228"/>
      <c r="K26" s="228"/>
      <c r="L26" s="228"/>
      <c r="M26" s="228"/>
      <c r="N26" s="228"/>
      <c r="O26" s="228"/>
    </row>
    <row r="27" spans="2:15" x14ac:dyDescent="0.2">
      <c r="B27" s="229">
        <f>B26+0.1</f>
        <v>5.0999999999999996</v>
      </c>
      <c r="C27" s="233" t="s">
        <v>46</v>
      </c>
      <c r="D27" s="229" t="s">
        <v>42</v>
      </c>
      <c r="E27" s="232" t="s">
        <v>517</v>
      </c>
      <c r="F27" s="232">
        <v>8.5</v>
      </c>
      <c r="G27" s="232">
        <v>8.5</v>
      </c>
      <c r="H27" s="232">
        <v>8.5</v>
      </c>
      <c r="I27" s="232">
        <v>8.5</v>
      </c>
      <c r="J27" s="232">
        <v>8.5</v>
      </c>
      <c r="K27" s="232">
        <v>8.5</v>
      </c>
      <c r="L27" s="232">
        <v>8.5</v>
      </c>
      <c r="M27" s="232">
        <v>8.5</v>
      </c>
      <c r="N27" s="232">
        <v>8.5</v>
      </c>
      <c r="O27" s="228"/>
    </row>
    <row r="28" spans="2:15" ht="16.5" customHeight="1" x14ac:dyDescent="0.2">
      <c r="B28" s="229">
        <f>B27+0.1</f>
        <v>5.1999999999999993</v>
      </c>
      <c r="C28" s="233" t="s">
        <v>168</v>
      </c>
      <c r="D28" s="229" t="s">
        <v>42</v>
      </c>
      <c r="E28" s="232"/>
      <c r="F28" s="232">
        <v>9.11</v>
      </c>
      <c r="G28" s="232">
        <v>9.11</v>
      </c>
      <c r="H28" s="232"/>
      <c r="I28" s="232">
        <v>8.99</v>
      </c>
      <c r="J28" s="232">
        <v>8.5</v>
      </c>
      <c r="K28" s="232">
        <v>8.5</v>
      </c>
      <c r="L28" s="232">
        <v>8.5</v>
      </c>
      <c r="M28" s="232">
        <v>8.5</v>
      </c>
      <c r="N28" s="232">
        <v>8.5</v>
      </c>
      <c r="O28" s="228"/>
    </row>
    <row r="29" spans="2:15" ht="16.5" customHeight="1" x14ac:dyDescent="0.2">
      <c r="B29" s="229">
        <f>B28+0.1</f>
        <v>5.2999999999999989</v>
      </c>
      <c r="C29" s="233" t="s">
        <v>168</v>
      </c>
      <c r="D29" s="229" t="s">
        <v>45</v>
      </c>
      <c r="E29" s="232"/>
      <c r="F29" s="232">
        <v>564.41999999999996</v>
      </c>
      <c r="G29" s="232">
        <v>564.41999999999996</v>
      </c>
      <c r="H29" s="232"/>
      <c r="I29" s="232">
        <v>628.43000000000006</v>
      </c>
      <c r="J29" s="232">
        <v>683.81820000000005</v>
      </c>
      <c r="K29" s="232">
        <v>683.81820000000005</v>
      </c>
      <c r="L29" s="232">
        <v>684.2976000000001</v>
      </c>
      <c r="M29" s="232">
        <v>685.71285</v>
      </c>
      <c r="N29" s="232">
        <v>683.81820000000005</v>
      </c>
      <c r="O29" s="228"/>
    </row>
    <row r="30" spans="2:15" x14ac:dyDescent="0.2">
      <c r="B30" s="229">
        <f>B29+0.1</f>
        <v>5.3999999999999986</v>
      </c>
      <c r="C30" s="233" t="s">
        <v>47</v>
      </c>
      <c r="D30" s="229" t="s">
        <v>45</v>
      </c>
      <c r="E30" s="232"/>
      <c r="F30" s="232">
        <f>F24-F29</f>
        <v>5633.1319999999996</v>
      </c>
      <c r="G30" s="232">
        <f>G24-G29</f>
        <v>5633.1319999999996</v>
      </c>
      <c r="H30" s="232">
        <f t="shared" ref="H30" si="1">H23-H29</f>
        <v>6325.3909999999996</v>
      </c>
      <c r="I30" s="232">
        <v>6325.3909999999996</v>
      </c>
      <c r="J30" s="232">
        <f>J24-J29</f>
        <v>7361.1018000000004</v>
      </c>
      <c r="K30" s="232">
        <f>K24-K29</f>
        <v>7361.1018000000004</v>
      </c>
      <c r="L30" s="232">
        <f t="shared" ref="L30:N30" si="2">L24-L29</f>
        <v>7366.2624000000005</v>
      </c>
      <c r="M30" s="232">
        <f t="shared" si="2"/>
        <v>7381.4971500000001</v>
      </c>
      <c r="N30" s="232">
        <f t="shared" si="2"/>
        <v>7361.1018000000004</v>
      </c>
      <c r="O30" s="228"/>
    </row>
    <row r="31" spans="2:15" x14ac:dyDescent="0.2">
      <c r="B31" s="229"/>
      <c r="C31" s="233"/>
      <c r="D31" s="229"/>
      <c r="E31" s="229"/>
      <c r="F31" s="225"/>
      <c r="G31" s="225"/>
      <c r="H31" s="225"/>
      <c r="I31" s="225"/>
      <c r="J31" s="228"/>
      <c r="K31" s="228"/>
      <c r="L31" s="228"/>
      <c r="M31" s="228"/>
      <c r="N31" s="228"/>
      <c r="O31" s="228"/>
    </row>
    <row r="32" spans="2:15" x14ac:dyDescent="0.2">
      <c r="B32" s="225">
        <v>6</v>
      </c>
      <c r="C32" s="234" t="s">
        <v>225</v>
      </c>
      <c r="D32" s="229"/>
      <c r="E32" s="229"/>
      <c r="F32" s="225"/>
      <c r="G32" s="225"/>
      <c r="H32" s="225"/>
      <c r="I32" s="225"/>
      <c r="J32" s="228"/>
      <c r="K32" s="228"/>
      <c r="L32" s="228"/>
      <c r="M32" s="228"/>
      <c r="N32" s="228"/>
      <c r="O32" s="228"/>
    </row>
    <row r="33" spans="2:15" x14ac:dyDescent="0.2">
      <c r="B33" s="229">
        <f>B32+0.1</f>
        <v>6.1</v>
      </c>
      <c r="C33" s="233" t="s">
        <v>48</v>
      </c>
      <c r="D33" s="229" t="s">
        <v>49</v>
      </c>
      <c r="E33" s="229">
        <v>2273</v>
      </c>
      <c r="F33" s="229">
        <v>2273</v>
      </c>
      <c r="G33" s="229">
        <v>2273</v>
      </c>
      <c r="H33" s="229">
        <v>2273</v>
      </c>
      <c r="I33" s="229">
        <v>2273</v>
      </c>
      <c r="J33" s="229">
        <v>2318.4</v>
      </c>
      <c r="K33" s="229">
        <v>2318.4</v>
      </c>
      <c r="L33" s="229">
        <v>2318.4</v>
      </c>
      <c r="M33" s="229">
        <v>2318.4</v>
      </c>
      <c r="N33" s="229">
        <v>2318.4</v>
      </c>
      <c r="O33" s="228"/>
    </row>
    <row r="34" spans="2:15" x14ac:dyDescent="0.2">
      <c r="B34" s="229">
        <f>B33+0.1</f>
        <v>6.1999999999999993</v>
      </c>
      <c r="C34" s="230" t="s">
        <v>169</v>
      </c>
      <c r="D34" s="229" t="s">
        <v>49</v>
      </c>
      <c r="E34" s="229"/>
      <c r="F34" s="229">
        <v>2492</v>
      </c>
      <c r="G34" s="229">
        <v>2492</v>
      </c>
      <c r="H34" s="229">
        <v>2273</v>
      </c>
      <c r="I34" s="229">
        <v>2462</v>
      </c>
      <c r="J34" s="229">
        <f>J33</f>
        <v>2318.4</v>
      </c>
      <c r="K34" s="229">
        <f t="shared" ref="K34:N34" si="3">K33</f>
        <v>2318.4</v>
      </c>
      <c r="L34" s="229">
        <f t="shared" si="3"/>
        <v>2318.4</v>
      </c>
      <c r="M34" s="229">
        <f t="shared" si="3"/>
        <v>2318.4</v>
      </c>
      <c r="N34" s="229">
        <f t="shared" si="3"/>
        <v>2318.4</v>
      </c>
      <c r="O34" s="228"/>
    </row>
    <row r="35" spans="2:15" x14ac:dyDescent="0.2">
      <c r="B35" s="229"/>
      <c r="C35" s="230"/>
      <c r="D35" s="229"/>
      <c r="E35" s="229"/>
      <c r="F35" s="225"/>
      <c r="G35" s="225"/>
      <c r="H35" s="225"/>
      <c r="I35" s="225"/>
      <c r="J35" s="228"/>
      <c r="K35" s="228"/>
      <c r="L35" s="228"/>
      <c r="M35" s="228"/>
      <c r="N35" s="228"/>
      <c r="O35" s="228"/>
    </row>
    <row r="36" spans="2:15" x14ac:dyDescent="0.2">
      <c r="B36" s="225">
        <v>7</v>
      </c>
      <c r="C36" s="226" t="s">
        <v>187</v>
      </c>
      <c r="D36" s="229"/>
      <c r="E36" s="229"/>
      <c r="F36" s="225"/>
      <c r="G36" s="225"/>
      <c r="H36" s="225"/>
      <c r="I36" s="225"/>
      <c r="J36" s="228"/>
      <c r="K36" s="228"/>
      <c r="L36" s="228"/>
      <c r="M36" s="228"/>
      <c r="N36" s="228"/>
      <c r="O36" s="228"/>
    </row>
    <row r="37" spans="2:15" x14ac:dyDescent="0.2">
      <c r="B37" s="229">
        <f>B36+0.1</f>
        <v>7.1</v>
      </c>
      <c r="C37" s="230" t="s">
        <v>50</v>
      </c>
      <c r="D37" s="229" t="s">
        <v>51</v>
      </c>
      <c r="E37" s="229">
        <v>0.5</v>
      </c>
      <c r="F37" s="229">
        <v>0.5</v>
      </c>
      <c r="G37" s="229">
        <v>0.5</v>
      </c>
      <c r="H37" s="229">
        <v>0.5</v>
      </c>
      <c r="I37" s="229">
        <v>0.5</v>
      </c>
      <c r="J37" s="229">
        <v>0.5</v>
      </c>
      <c r="K37" s="229">
        <v>0.5</v>
      </c>
      <c r="L37" s="229">
        <v>0.5</v>
      </c>
      <c r="M37" s="229">
        <v>0.5</v>
      </c>
      <c r="N37" s="229">
        <v>0.5</v>
      </c>
      <c r="O37" s="228"/>
    </row>
    <row r="38" spans="2:15" x14ac:dyDescent="0.2">
      <c r="B38" s="229">
        <f>B37+0.1</f>
        <v>7.1999999999999993</v>
      </c>
      <c r="C38" s="230" t="s">
        <v>170</v>
      </c>
      <c r="D38" s="229" t="s">
        <v>51</v>
      </c>
      <c r="E38" s="229"/>
      <c r="F38" s="229">
        <v>4.28</v>
      </c>
      <c r="G38" s="229">
        <f>F38</f>
        <v>4.28</v>
      </c>
      <c r="H38" s="229">
        <v>0.5</v>
      </c>
      <c r="I38" s="235">
        <f>2781/6953.81</f>
        <v>0.39992464562592306</v>
      </c>
      <c r="J38" s="229">
        <v>0.5</v>
      </c>
      <c r="K38" s="229">
        <v>0.5</v>
      </c>
      <c r="L38" s="229">
        <v>0.5</v>
      </c>
      <c r="M38" s="229">
        <v>0.5</v>
      </c>
      <c r="N38" s="229">
        <v>0.5</v>
      </c>
      <c r="O38" s="228"/>
    </row>
    <row r="39" spans="2:15" x14ac:dyDescent="0.2">
      <c r="B39" s="229"/>
      <c r="C39" s="230"/>
      <c r="D39" s="229"/>
      <c r="E39" s="229"/>
      <c r="F39" s="225"/>
      <c r="G39" s="225"/>
      <c r="H39" s="225"/>
      <c r="I39" s="225"/>
      <c r="J39" s="228"/>
      <c r="K39" s="228"/>
      <c r="L39" s="228"/>
      <c r="M39" s="228"/>
      <c r="N39" s="228"/>
      <c r="O39" s="228"/>
    </row>
    <row r="40" spans="2:15" x14ac:dyDescent="0.2">
      <c r="B40" s="225">
        <v>8</v>
      </c>
      <c r="C40" s="226" t="s">
        <v>53</v>
      </c>
      <c r="D40" s="229"/>
      <c r="E40" s="229"/>
      <c r="F40" s="225"/>
      <c r="G40" s="225"/>
      <c r="H40" s="225"/>
      <c r="I40" s="225"/>
      <c r="J40" s="228"/>
      <c r="K40" s="228"/>
      <c r="L40" s="228"/>
      <c r="M40" s="228"/>
      <c r="N40" s="228"/>
      <c r="O40" s="228"/>
    </row>
    <row r="41" spans="2:15" x14ac:dyDescent="0.2">
      <c r="B41" s="229">
        <f>B40+0.1</f>
        <v>8.1</v>
      </c>
      <c r="C41" s="230" t="s">
        <v>52</v>
      </c>
      <c r="D41" s="229" t="s">
        <v>42</v>
      </c>
      <c r="E41" s="229">
        <v>0.8</v>
      </c>
      <c r="F41" s="229">
        <v>0.8</v>
      </c>
      <c r="G41" s="229">
        <v>0.8</v>
      </c>
      <c r="H41" s="229">
        <v>0.8</v>
      </c>
      <c r="I41" s="229">
        <v>0.8</v>
      </c>
      <c r="J41" s="229">
        <v>0.8</v>
      </c>
      <c r="K41" s="229">
        <v>0.8</v>
      </c>
      <c r="L41" s="229">
        <v>0.8</v>
      </c>
      <c r="M41" s="229">
        <v>0.8</v>
      </c>
      <c r="N41" s="229">
        <v>0.8</v>
      </c>
      <c r="O41" s="228"/>
    </row>
    <row r="42" spans="2:15" x14ac:dyDescent="0.2">
      <c r="B42" s="229">
        <f>B41+0.1</f>
        <v>8.1999999999999993</v>
      </c>
      <c r="C42" s="230" t="s">
        <v>171</v>
      </c>
      <c r="D42" s="229" t="s">
        <v>42</v>
      </c>
      <c r="E42" s="229"/>
      <c r="F42" s="229">
        <v>0.8</v>
      </c>
      <c r="G42" s="229">
        <v>0.8</v>
      </c>
      <c r="H42" s="229"/>
      <c r="I42" s="229">
        <v>0.8</v>
      </c>
      <c r="J42" s="229">
        <v>0.8</v>
      </c>
      <c r="K42" s="229">
        <v>0.8</v>
      </c>
      <c r="L42" s="229">
        <v>0.8</v>
      </c>
      <c r="M42" s="229">
        <v>0.8</v>
      </c>
      <c r="N42" s="229">
        <v>0.8</v>
      </c>
      <c r="O42" s="228"/>
    </row>
    <row r="43" spans="2:15" x14ac:dyDescent="0.2">
      <c r="B43" s="225"/>
      <c r="C43" s="226"/>
      <c r="D43" s="227"/>
      <c r="E43" s="229"/>
      <c r="F43" s="225"/>
      <c r="G43" s="225"/>
      <c r="H43" s="225"/>
      <c r="I43" s="225"/>
      <c r="J43" s="228"/>
      <c r="K43" s="228"/>
      <c r="L43" s="228"/>
      <c r="M43" s="228"/>
      <c r="N43" s="228"/>
      <c r="O43" s="228"/>
    </row>
    <row r="44" spans="2:15" x14ac:dyDescent="0.2">
      <c r="B44" s="236"/>
      <c r="C44" s="237"/>
      <c r="D44" s="238"/>
      <c r="E44" s="238"/>
      <c r="F44" s="236"/>
      <c r="G44" s="236"/>
      <c r="H44" s="236"/>
      <c r="I44" s="236"/>
    </row>
    <row r="45" spans="2:15" ht="14.25" x14ac:dyDescent="0.2">
      <c r="D45" s="239"/>
      <c r="E45" s="239"/>
      <c r="F45" s="240"/>
      <c r="G45" s="240"/>
      <c r="H45" s="240"/>
      <c r="I45" s="240"/>
    </row>
    <row r="46" spans="2:15" ht="14.25" x14ac:dyDescent="0.2">
      <c r="B46" s="221"/>
      <c r="F46" s="240"/>
      <c r="G46" s="240"/>
      <c r="H46" s="240"/>
      <c r="I46" s="240"/>
    </row>
    <row r="47" spans="2:15" ht="14.25" x14ac:dyDescent="0.2">
      <c r="C47" s="241"/>
      <c r="F47" s="240"/>
      <c r="G47" s="240"/>
      <c r="H47" s="240"/>
      <c r="I47" s="240"/>
    </row>
    <row r="48" spans="2:15" x14ac:dyDescent="0.2">
      <c r="F48" s="242"/>
      <c r="G48" s="242"/>
      <c r="H48" s="242"/>
      <c r="I48" s="242"/>
    </row>
  </sheetData>
  <mergeCells count="10">
    <mergeCell ref="B2:O2"/>
    <mergeCell ref="B3:O3"/>
    <mergeCell ref="B4:O4"/>
    <mergeCell ref="B6:B8"/>
    <mergeCell ref="C6:C8"/>
    <mergeCell ref="D6:D8"/>
    <mergeCell ref="J6:N6"/>
    <mergeCell ref="O6:O8"/>
    <mergeCell ref="E6:G6"/>
    <mergeCell ref="H6:I6"/>
  </mergeCells>
  <pageMargins left="1.41" right="0.5" top="0.43" bottom="0.63" header="0.5" footer="0.5"/>
  <pageSetup paperSize="9" scale="58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BreakPreview" topLeftCell="F1" zoomScale="60" zoomScaleNormal="100" workbookViewId="0">
      <selection activeCell="R12" sqref="R12"/>
    </sheetView>
  </sheetViews>
  <sheetFormatPr defaultColWidth="9.28515625" defaultRowHeight="14.25" x14ac:dyDescent="0.2"/>
  <cols>
    <col min="1" max="1" width="2.28515625" style="92" customWidth="1"/>
    <col min="2" max="2" width="9.28515625" style="92"/>
    <col min="3" max="3" width="50.140625" style="273" customWidth="1"/>
    <col min="4" max="4" width="16.5703125" style="93" customWidth="1"/>
    <col min="5" max="22" width="17.28515625" style="92" customWidth="1"/>
    <col min="23" max="16384" width="9.28515625" style="92"/>
  </cols>
  <sheetData>
    <row r="1" spans="1:22" ht="31.5" customHeight="1" x14ac:dyDescent="0.2">
      <c r="A1" s="94"/>
      <c r="B1" s="283"/>
      <c r="C1" s="284"/>
      <c r="D1" s="285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3"/>
    </row>
    <row r="2" spans="1:22" ht="31.5" customHeight="1" x14ac:dyDescent="0.2">
      <c r="A2" s="94"/>
      <c r="B2" s="283"/>
      <c r="C2" s="284"/>
      <c r="D2" s="285"/>
      <c r="E2" s="283"/>
      <c r="F2" s="283"/>
      <c r="G2" s="283"/>
      <c r="H2" s="283"/>
      <c r="I2" s="283"/>
      <c r="J2" s="283"/>
      <c r="K2" s="283"/>
      <c r="L2" s="283"/>
      <c r="M2" s="277" t="s">
        <v>550</v>
      </c>
      <c r="N2" s="283"/>
      <c r="O2" s="283"/>
      <c r="P2" s="283"/>
      <c r="Q2" s="283"/>
      <c r="R2" s="283"/>
      <c r="S2" s="283"/>
      <c r="T2" s="283"/>
      <c r="U2" s="283"/>
      <c r="V2" s="283"/>
    </row>
    <row r="3" spans="1:22" ht="31.5" customHeight="1" x14ac:dyDescent="0.2">
      <c r="A3" s="94"/>
      <c r="B3" s="283"/>
      <c r="C3" s="284"/>
      <c r="D3" s="285"/>
      <c r="E3" s="283"/>
      <c r="F3" s="283"/>
      <c r="G3" s="283"/>
      <c r="H3" s="283"/>
      <c r="I3" s="283"/>
      <c r="J3" s="283"/>
      <c r="K3" s="283"/>
      <c r="L3" s="283"/>
      <c r="M3" s="277" t="s">
        <v>518</v>
      </c>
      <c r="N3" s="283"/>
      <c r="O3" s="283"/>
      <c r="P3" s="283"/>
      <c r="Q3" s="283"/>
      <c r="R3" s="283"/>
      <c r="S3" s="283"/>
      <c r="T3" s="283"/>
      <c r="U3" s="283"/>
      <c r="V3" s="283"/>
    </row>
    <row r="4" spans="1:22" ht="31.5" customHeight="1" x14ac:dyDescent="0.2">
      <c r="A4" s="94"/>
      <c r="B4" s="283"/>
      <c r="C4" s="284"/>
      <c r="D4" s="285"/>
      <c r="E4" s="283"/>
      <c r="F4" s="283"/>
      <c r="G4" s="283"/>
      <c r="H4" s="283"/>
      <c r="I4" s="283"/>
      <c r="J4" s="283"/>
      <c r="K4" s="283"/>
      <c r="L4" s="283"/>
      <c r="M4" s="278" t="s">
        <v>368</v>
      </c>
      <c r="N4" s="283"/>
      <c r="O4" s="283"/>
      <c r="P4" s="283"/>
      <c r="Q4" s="283"/>
      <c r="R4" s="283"/>
      <c r="S4" s="283"/>
      <c r="T4" s="283"/>
      <c r="U4" s="283"/>
      <c r="V4" s="283"/>
    </row>
    <row r="5" spans="1:22" ht="31.5" customHeight="1" x14ac:dyDescent="0.2">
      <c r="A5" s="94"/>
      <c r="B5" s="283"/>
      <c r="C5" s="284"/>
      <c r="D5" s="285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</row>
    <row r="6" spans="1:22" ht="31.5" customHeight="1" x14ac:dyDescent="0.2">
      <c r="A6" s="94"/>
      <c r="B6" s="351" t="s">
        <v>210</v>
      </c>
      <c r="C6" s="352" t="s">
        <v>18</v>
      </c>
      <c r="D6" s="351" t="s">
        <v>39</v>
      </c>
      <c r="E6" s="351" t="s">
        <v>520</v>
      </c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 t="s">
        <v>521</v>
      </c>
      <c r="R6" s="351"/>
      <c r="S6" s="351"/>
      <c r="T6" s="351"/>
      <c r="U6" s="351"/>
      <c r="V6" s="351"/>
    </row>
    <row r="7" spans="1:22" ht="31.5" customHeight="1" x14ac:dyDescent="0.2">
      <c r="A7" s="94"/>
      <c r="B7" s="351"/>
      <c r="C7" s="352"/>
      <c r="D7" s="351"/>
      <c r="E7" s="279" t="s">
        <v>141</v>
      </c>
      <c r="F7" s="279" t="s">
        <v>142</v>
      </c>
      <c r="G7" s="279" t="s">
        <v>143</v>
      </c>
      <c r="H7" s="279" t="s">
        <v>144</v>
      </c>
      <c r="I7" s="279" t="s">
        <v>145</v>
      </c>
      <c r="J7" s="279" t="s">
        <v>146</v>
      </c>
      <c r="K7" s="279" t="s">
        <v>147</v>
      </c>
      <c r="L7" s="279" t="s">
        <v>148</v>
      </c>
      <c r="M7" s="279" t="s">
        <v>149</v>
      </c>
      <c r="N7" s="279" t="s">
        <v>150</v>
      </c>
      <c r="O7" s="279" t="s">
        <v>151</v>
      </c>
      <c r="P7" s="279" t="s">
        <v>152</v>
      </c>
      <c r="Q7" s="279" t="s">
        <v>141</v>
      </c>
      <c r="R7" s="279" t="s">
        <v>142</v>
      </c>
      <c r="S7" s="279" t="s">
        <v>143</v>
      </c>
      <c r="T7" s="279" t="s">
        <v>144</v>
      </c>
      <c r="U7" s="279" t="s">
        <v>145</v>
      </c>
      <c r="V7" s="279" t="s">
        <v>146</v>
      </c>
    </row>
    <row r="8" spans="1:22" ht="46.5" customHeight="1" x14ac:dyDescent="0.2">
      <c r="A8" s="94"/>
      <c r="B8" s="279" t="s">
        <v>67</v>
      </c>
      <c r="C8" s="280" t="s">
        <v>341</v>
      </c>
      <c r="D8" s="285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  <c r="U8" s="286"/>
      <c r="V8" s="286"/>
    </row>
    <row r="9" spans="1:22" ht="46.5" customHeight="1" x14ac:dyDescent="0.2">
      <c r="A9" s="94"/>
      <c r="B9" s="279">
        <v>1</v>
      </c>
      <c r="C9" s="280" t="s">
        <v>458</v>
      </c>
      <c r="D9" s="279" t="s">
        <v>343</v>
      </c>
      <c r="E9" s="286">
        <v>99800.00100000047</v>
      </c>
      <c r="F9" s="286">
        <v>76756.821000001626</v>
      </c>
      <c r="G9" s="286">
        <v>129214.94100000121</v>
      </c>
      <c r="H9" s="286">
        <v>167100.00100000273</v>
      </c>
      <c r="I9" s="286">
        <v>130846.71100000222</v>
      </c>
      <c r="J9" s="286">
        <v>176431.01100000227</v>
      </c>
      <c r="K9" s="286">
        <v>232200.00100000069</v>
      </c>
      <c r="L9" s="286">
        <v>225895.51100000017</v>
      </c>
      <c r="M9" s="286">
        <v>273608.79099999915</v>
      </c>
      <c r="N9" s="286">
        <v>301720.00099999912</v>
      </c>
      <c r="O9" s="286">
        <v>223259.11099999945</v>
      </c>
      <c r="P9" s="286">
        <v>133016.71099999908</v>
      </c>
      <c r="Q9" s="287">
        <v>134835.21099999556</v>
      </c>
      <c r="R9" s="287">
        <v>151265.01099999598</v>
      </c>
      <c r="S9" s="287">
        <v>132909.56099999673</v>
      </c>
      <c r="T9" s="287">
        <v>149446.53099999763</v>
      </c>
      <c r="U9" s="287">
        <v>201347.08099999605</v>
      </c>
      <c r="V9" s="287">
        <v>250042.13099999516</v>
      </c>
    </row>
    <row r="10" spans="1:22" ht="46.5" customHeight="1" x14ac:dyDescent="0.2">
      <c r="A10" s="94"/>
      <c r="B10" s="279">
        <f>B9+1</f>
        <v>2</v>
      </c>
      <c r="C10" s="280" t="s">
        <v>342</v>
      </c>
      <c r="D10" s="279" t="s">
        <v>491</v>
      </c>
      <c r="E10" s="288">
        <v>37.678584113378015</v>
      </c>
      <c r="F10" s="288">
        <v>30.709472980168325</v>
      </c>
      <c r="G10" s="288">
        <v>59.495131225672708</v>
      </c>
      <c r="H10" s="288">
        <v>71.161267826843272</v>
      </c>
      <c r="I10" s="288">
        <v>53.840106281034444</v>
      </c>
      <c r="J10" s="288">
        <v>70.445017024460881</v>
      </c>
      <c r="K10" s="288">
        <v>91.262825300777266</v>
      </c>
      <c r="L10" s="288">
        <v>87.457978610047263</v>
      </c>
      <c r="M10" s="288">
        <v>110.31094783200017</v>
      </c>
      <c r="N10" s="288">
        <v>127.12159119147461</v>
      </c>
      <c r="O10" s="288">
        <v>109.90526448763553</v>
      </c>
      <c r="P10" s="288">
        <v>65.381507862625909</v>
      </c>
      <c r="Q10" s="288">
        <v>58.847075713912417</v>
      </c>
      <c r="R10" s="288">
        <v>64.974908095605073</v>
      </c>
      <c r="S10" s="288">
        <v>58.607749058925428</v>
      </c>
      <c r="T10" s="288">
        <v>68.655661963165429</v>
      </c>
      <c r="U10" s="288">
        <v>82.943693019839344</v>
      </c>
      <c r="V10" s="288">
        <v>100.75751839997528</v>
      </c>
    </row>
    <row r="11" spans="1:22" ht="46.5" customHeight="1" x14ac:dyDescent="0.2">
      <c r="A11" s="94"/>
      <c r="B11" s="279" t="s">
        <v>71</v>
      </c>
      <c r="C11" s="280" t="s">
        <v>344</v>
      </c>
      <c r="D11" s="279"/>
      <c r="E11" s="287"/>
      <c r="F11" s="287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7"/>
      <c r="V11" s="287"/>
    </row>
    <row r="12" spans="1:22" ht="46.5" customHeight="1" x14ac:dyDescent="0.2">
      <c r="A12" s="94"/>
      <c r="B12" s="279">
        <f>B10+1</f>
        <v>3</v>
      </c>
      <c r="C12" s="280" t="s">
        <v>459</v>
      </c>
      <c r="D12" s="279" t="s">
        <v>343</v>
      </c>
      <c r="E12" s="287">
        <v>355599.24000000302</v>
      </c>
      <c r="F12" s="287">
        <v>354762.73000000202</v>
      </c>
      <c r="G12" s="287">
        <v>333936.73000000202</v>
      </c>
      <c r="H12" s="287">
        <v>205071.89</v>
      </c>
      <c r="I12" s="287">
        <v>395548.42</v>
      </c>
      <c r="J12" s="287">
        <v>456055.57999999798</v>
      </c>
      <c r="K12" s="287">
        <v>431412.16</v>
      </c>
      <c r="L12" s="287">
        <v>418602.82999999903</v>
      </c>
      <c r="M12" s="287">
        <v>404447.42999999801</v>
      </c>
      <c r="N12" s="287">
        <v>346743.18</v>
      </c>
      <c r="O12" s="287">
        <v>319718.09999999899</v>
      </c>
      <c r="P12" s="287">
        <v>436534.38999999902</v>
      </c>
      <c r="Q12" s="287">
        <v>434314.94000000233</v>
      </c>
      <c r="R12" s="287">
        <v>417532.44000000291</v>
      </c>
      <c r="S12" s="287">
        <v>426926.35999999777</v>
      </c>
      <c r="T12" s="287">
        <v>410437.46999999613</v>
      </c>
      <c r="U12" s="287">
        <v>445626.68999999476</v>
      </c>
      <c r="V12" s="287">
        <v>383590.83999999781</v>
      </c>
    </row>
    <row r="13" spans="1:22" ht="46.5" customHeight="1" x14ac:dyDescent="0.2">
      <c r="A13" s="94"/>
      <c r="B13" s="279">
        <f>B12+1</f>
        <v>4</v>
      </c>
      <c r="C13" s="280" t="s">
        <v>460</v>
      </c>
      <c r="D13" s="279" t="s">
        <v>343</v>
      </c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7"/>
      <c r="V13" s="287"/>
    </row>
    <row r="14" spans="1:22" ht="46.5" customHeight="1" x14ac:dyDescent="0.2">
      <c r="A14" s="94"/>
      <c r="B14" s="279">
        <f>B13+1</f>
        <v>5</v>
      </c>
      <c r="C14" s="280" t="s">
        <v>461</v>
      </c>
      <c r="D14" s="279" t="s">
        <v>343</v>
      </c>
      <c r="E14" s="287">
        <f>E12</f>
        <v>355599.24000000302</v>
      </c>
      <c r="F14" s="287">
        <f t="shared" ref="F14:V14" si="0">F12</f>
        <v>354762.73000000202</v>
      </c>
      <c r="G14" s="287">
        <f t="shared" si="0"/>
        <v>333936.73000000202</v>
      </c>
      <c r="H14" s="287">
        <f t="shared" si="0"/>
        <v>205071.89</v>
      </c>
      <c r="I14" s="287">
        <f t="shared" si="0"/>
        <v>395548.42</v>
      </c>
      <c r="J14" s="287">
        <f t="shared" si="0"/>
        <v>456055.57999999798</v>
      </c>
      <c r="K14" s="287">
        <f t="shared" si="0"/>
        <v>431412.16</v>
      </c>
      <c r="L14" s="287">
        <f t="shared" si="0"/>
        <v>418602.82999999903</v>
      </c>
      <c r="M14" s="287">
        <f t="shared" si="0"/>
        <v>404447.42999999801</v>
      </c>
      <c r="N14" s="287">
        <f t="shared" si="0"/>
        <v>346743.18</v>
      </c>
      <c r="O14" s="287">
        <f t="shared" si="0"/>
        <v>319718.09999999899</v>
      </c>
      <c r="P14" s="287">
        <f t="shared" si="0"/>
        <v>436534.38999999902</v>
      </c>
      <c r="Q14" s="287">
        <f>Q12</f>
        <v>434314.94000000233</v>
      </c>
      <c r="R14" s="287">
        <f t="shared" si="0"/>
        <v>417532.44000000291</v>
      </c>
      <c r="S14" s="287">
        <f>S12</f>
        <v>426926.35999999777</v>
      </c>
      <c r="T14" s="287">
        <f t="shared" si="0"/>
        <v>410437.46999999613</v>
      </c>
      <c r="U14" s="287">
        <f>U12</f>
        <v>445626.68999999476</v>
      </c>
      <c r="V14" s="287">
        <f t="shared" si="0"/>
        <v>383590.83999999781</v>
      </c>
    </row>
    <row r="15" spans="1:22" ht="46.5" customHeight="1" x14ac:dyDescent="0.2">
      <c r="A15" s="94"/>
      <c r="B15" s="279">
        <f>B14+1</f>
        <v>6</v>
      </c>
      <c r="C15" s="280" t="s">
        <v>345</v>
      </c>
      <c r="D15" s="279" t="s">
        <v>343</v>
      </c>
      <c r="E15" s="287">
        <v>2844.7939200000255</v>
      </c>
      <c r="F15" s="287">
        <v>2838.1018400000175</v>
      </c>
      <c r="G15" s="287">
        <v>2671.4938400000101</v>
      </c>
      <c r="H15" s="287">
        <v>1640.5751199999941</v>
      </c>
      <c r="I15" s="287">
        <v>3164.3873599999934</v>
      </c>
      <c r="J15" s="287">
        <v>3648.4446400000015</v>
      </c>
      <c r="K15" s="287">
        <v>3451.2972799999989</v>
      </c>
      <c r="L15" s="287">
        <v>3348.8226399999694</v>
      </c>
      <c r="M15" s="287">
        <v>3235.5794400000013</v>
      </c>
      <c r="N15" s="287">
        <v>2773.9454399999813</v>
      </c>
      <c r="O15" s="287">
        <v>2557.7447999999858</v>
      </c>
      <c r="P15" s="287">
        <v>3492.2751200000057</v>
      </c>
      <c r="Q15" s="287">
        <v>3474.5195200000308</v>
      </c>
      <c r="R15" s="287">
        <v>3340.2595200000214</v>
      </c>
      <c r="S15" s="287">
        <v>3415.4108799999813</v>
      </c>
      <c r="T15" s="287">
        <v>3283.499759999977</v>
      </c>
      <c r="U15" s="287">
        <v>3565.0135199999786</v>
      </c>
      <c r="V15" s="287">
        <v>3068.7267199999769</v>
      </c>
    </row>
    <row r="16" spans="1:22" ht="46.5" customHeight="1" x14ac:dyDescent="0.2">
      <c r="A16" s="94"/>
      <c r="B16" s="279">
        <f>B15+1</f>
        <v>7</v>
      </c>
      <c r="C16" s="280" t="s">
        <v>462</v>
      </c>
      <c r="D16" s="279" t="s">
        <v>343</v>
      </c>
      <c r="E16" s="281">
        <f>E14-E15</f>
        <v>352754.44608000299</v>
      </c>
      <c r="F16" s="281">
        <f t="shared" ref="F16:V16" si="1">F14-F15</f>
        <v>351924.628160002</v>
      </c>
      <c r="G16" s="281">
        <f t="shared" si="1"/>
        <v>331265.23616000201</v>
      </c>
      <c r="H16" s="281">
        <f t="shared" si="1"/>
        <v>203431.31488000002</v>
      </c>
      <c r="I16" s="281">
        <f t="shared" si="1"/>
        <v>392384.03263999999</v>
      </c>
      <c r="J16" s="281">
        <f t="shared" si="1"/>
        <v>452407.13535999798</v>
      </c>
      <c r="K16" s="281">
        <f t="shared" si="1"/>
        <v>427960.86271999998</v>
      </c>
      <c r="L16" s="281">
        <f t="shared" si="1"/>
        <v>415254.00735999906</v>
      </c>
      <c r="M16" s="281">
        <f t="shared" si="1"/>
        <v>401211.85055999801</v>
      </c>
      <c r="N16" s="281">
        <f t="shared" si="1"/>
        <v>343969.23456000001</v>
      </c>
      <c r="O16" s="281">
        <f t="shared" si="1"/>
        <v>317160.355199999</v>
      </c>
      <c r="P16" s="281">
        <f t="shared" si="1"/>
        <v>433042.11487999902</v>
      </c>
      <c r="Q16" s="281">
        <f t="shared" si="1"/>
        <v>430840.4204800023</v>
      </c>
      <c r="R16" s="281">
        <f t="shared" si="1"/>
        <v>414192.18048000289</v>
      </c>
      <c r="S16" s="281">
        <f t="shared" si="1"/>
        <v>423510.94911999779</v>
      </c>
      <c r="T16" s="281">
        <f t="shared" si="1"/>
        <v>407153.97023999615</v>
      </c>
      <c r="U16" s="281">
        <f t="shared" si="1"/>
        <v>442061.67647999479</v>
      </c>
      <c r="V16" s="281">
        <f t="shared" si="1"/>
        <v>380522.11327999784</v>
      </c>
    </row>
    <row r="17" spans="1:22" ht="46.5" customHeight="1" x14ac:dyDescent="0.2">
      <c r="A17" s="94"/>
      <c r="B17" s="279" t="s">
        <v>72</v>
      </c>
      <c r="C17" s="280" t="s">
        <v>346</v>
      </c>
      <c r="D17" s="279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6"/>
      <c r="P17" s="286"/>
      <c r="Q17" s="286"/>
      <c r="R17" s="286"/>
      <c r="S17" s="286"/>
      <c r="T17" s="286"/>
      <c r="U17" s="286"/>
      <c r="V17" s="286"/>
    </row>
    <row r="18" spans="1:22" ht="46.5" customHeight="1" x14ac:dyDescent="0.2">
      <c r="A18" s="94"/>
      <c r="B18" s="279">
        <f>B16+1</f>
        <v>8</v>
      </c>
      <c r="C18" s="280" t="s">
        <v>463</v>
      </c>
      <c r="D18" s="279" t="s">
        <v>491</v>
      </c>
      <c r="E18" s="288">
        <v>112.08321050403626</v>
      </c>
      <c r="F18" s="288">
        <v>126.41468281286119</v>
      </c>
      <c r="G18" s="288">
        <v>124.87482464994791</v>
      </c>
      <c r="H18" s="288">
        <v>72.267920238107735</v>
      </c>
      <c r="I18" s="288">
        <v>160.80841322446855</v>
      </c>
      <c r="J18" s="288">
        <v>181.70401135073041</v>
      </c>
      <c r="K18" s="288">
        <v>158.58040846225225</v>
      </c>
      <c r="L18" s="288">
        <v>174.44098116206916</v>
      </c>
      <c r="M18" s="288">
        <v>179.2911933876523</v>
      </c>
      <c r="N18" s="288">
        <v>168.84930574899809</v>
      </c>
      <c r="O18" s="288">
        <v>160.73911925199897</v>
      </c>
      <c r="P18" s="288">
        <v>178.48226366099962</v>
      </c>
      <c r="Q18" s="288">
        <v>195.99607351200072</v>
      </c>
      <c r="R18" s="288">
        <v>202.91427138698472</v>
      </c>
      <c r="S18" s="288">
        <v>248.70595569599703</v>
      </c>
      <c r="T18" s="288">
        <v>198.74388234199284</v>
      </c>
      <c r="U18" s="288">
        <v>206.315266248</v>
      </c>
      <c r="V18" s="288">
        <v>161.9569478650009</v>
      </c>
    </row>
    <row r="19" spans="1:22" ht="46.5" customHeight="1" x14ac:dyDescent="0.2">
      <c r="A19" s="94"/>
      <c r="B19" s="279">
        <f>B18+1</f>
        <v>9</v>
      </c>
      <c r="C19" s="280" t="s">
        <v>464</v>
      </c>
      <c r="D19" s="279" t="s">
        <v>491</v>
      </c>
      <c r="E19" s="288">
        <v>25.974986960888454</v>
      </c>
      <c r="F19" s="288">
        <v>35.156005643070237</v>
      </c>
      <c r="G19" s="288">
        <v>6.8696646669168446</v>
      </c>
      <c r="H19" s="288">
        <v>4.5009289013191935</v>
      </c>
      <c r="I19" s="288">
        <v>-20.301826686836769</v>
      </c>
      <c r="J19" s="288">
        <v>-20.666701557919225</v>
      </c>
      <c r="K19" s="288">
        <v>-4.2756534835939721</v>
      </c>
      <c r="L19" s="288">
        <v>-12.43885376971153</v>
      </c>
      <c r="M19" s="288">
        <v>-11.153356249207132</v>
      </c>
      <c r="N19" s="288">
        <v>16.949013906802808</v>
      </c>
      <c r="O19" s="288">
        <v>-10.305861662493562</v>
      </c>
      <c r="P19" s="288">
        <v>-3.3699782019035989</v>
      </c>
      <c r="Q19" s="288">
        <v>-18.148491804828119</v>
      </c>
      <c r="R19" s="288">
        <v>-24.596477851163929</v>
      </c>
      <c r="S19" s="288">
        <v>-57.971287652600132</v>
      </c>
      <c r="T19" s="288">
        <v>-44.171708223771866</v>
      </c>
      <c r="U19" s="288">
        <v>-36.538636438920136</v>
      </c>
      <c r="V19" s="288">
        <v>-30.731393892521812</v>
      </c>
    </row>
    <row r="20" spans="1:22" ht="46.5" customHeight="1" x14ac:dyDescent="0.2">
      <c r="A20" s="94"/>
      <c r="B20" s="279">
        <f>B19+1</f>
        <v>10</v>
      </c>
      <c r="C20" s="280" t="s">
        <v>347</v>
      </c>
      <c r="D20" s="279" t="s">
        <v>491</v>
      </c>
      <c r="E20" s="288">
        <v>1.0998578660100571</v>
      </c>
      <c r="F20" s="288">
        <v>0.62205398700000003</v>
      </c>
      <c r="G20" s="288">
        <v>0.62602674305270056</v>
      </c>
      <c r="H20" s="288">
        <v>1.0512603213589999</v>
      </c>
      <c r="I20" s="288">
        <v>0.91513716653140054</v>
      </c>
      <c r="J20" s="288">
        <v>0.765758932</v>
      </c>
      <c r="K20" s="288">
        <v>1.6350498855440239</v>
      </c>
      <c r="L20" s="288">
        <v>0.71612217799999989</v>
      </c>
      <c r="M20" s="288">
        <v>0.76971453380007726</v>
      </c>
      <c r="N20" s="288">
        <v>0.74727235690000005</v>
      </c>
      <c r="O20" s="288">
        <v>1.2763009372</v>
      </c>
      <c r="P20" s="288">
        <v>1.038701774</v>
      </c>
      <c r="Q20" s="288">
        <v>0.84593004900000002</v>
      </c>
      <c r="R20" s="288">
        <v>0.90441617373817307</v>
      </c>
      <c r="S20" s="288">
        <v>0.91461537385762803</v>
      </c>
      <c r="T20" s="288">
        <v>0.845119858</v>
      </c>
      <c r="U20" s="288">
        <v>0.86860476900000017</v>
      </c>
      <c r="V20" s="288">
        <v>0.87518096600000006</v>
      </c>
    </row>
    <row r="21" spans="1:22" ht="46.5" customHeight="1" x14ac:dyDescent="0.2">
      <c r="A21" s="94"/>
      <c r="B21" s="279">
        <f>B20+1</f>
        <v>11</v>
      </c>
      <c r="C21" s="280" t="s">
        <v>348</v>
      </c>
      <c r="D21" s="279" t="s">
        <v>491</v>
      </c>
      <c r="E21" s="281">
        <f>E18+E19+E20</f>
        <v>139.15805533093479</v>
      </c>
      <c r="F21" s="281">
        <f t="shared" ref="F21:V21" si="2">F18+F19+F20</f>
        <v>162.1927424429314</v>
      </c>
      <c r="G21" s="281">
        <f t="shared" si="2"/>
        <v>132.37051605991746</v>
      </c>
      <c r="H21" s="281">
        <f t="shared" si="2"/>
        <v>77.820109460785929</v>
      </c>
      <c r="I21" s="281">
        <f t="shared" si="2"/>
        <v>141.42172370416318</v>
      </c>
      <c r="J21" s="281">
        <f t="shared" si="2"/>
        <v>161.8030687248112</v>
      </c>
      <c r="K21" s="281">
        <f t="shared" si="2"/>
        <v>155.9398048642023</v>
      </c>
      <c r="L21" s="281">
        <f t="shared" si="2"/>
        <v>162.71824957035764</v>
      </c>
      <c r="M21" s="281">
        <f t="shared" si="2"/>
        <v>168.90755167224526</v>
      </c>
      <c r="N21" s="281">
        <f t="shared" si="2"/>
        <v>186.54559201270089</v>
      </c>
      <c r="O21" s="281">
        <f t="shared" si="2"/>
        <v>151.70955852670542</v>
      </c>
      <c r="P21" s="281">
        <f t="shared" si="2"/>
        <v>176.15098723309603</v>
      </c>
      <c r="Q21" s="281">
        <f t="shared" si="2"/>
        <v>178.6935117561726</v>
      </c>
      <c r="R21" s="281">
        <f t="shared" si="2"/>
        <v>179.22220970955897</v>
      </c>
      <c r="S21" s="281">
        <f t="shared" si="2"/>
        <v>191.64928341725454</v>
      </c>
      <c r="T21" s="281">
        <f t="shared" si="2"/>
        <v>155.41729397622098</v>
      </c>
      <c r="U21" s="281">
        <f t="shared" si="2"/>
        <v>170.64523457807985</v>
      </c>
      <c r="V21" s="281">
        <f t="shared" si="2"/>
        <v>132.10073493847906</v>
      </c>
    </row>
    <row r="22" spans="1:22" ht="46.5" customHeight="1" x14ac:dyDescent="0.2">
      <c r="A22" s="94"/>
      <c r="B22" s="279" t="s">
        <v>349</v>
      </c>
      <c r="C22" s="280" t="s">
        <v>350</v>
      </c>
      <c r="D22" s="279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86"/>
      <c r="P22" s="286"/>
      <c r="Q22" s="286"/>
      <c r="R22" s="286"/>
      <c r="S22" s="286"/>
      <c r="T22" s="286"/>
      <c r="U22" s="286"/>
      <c r="V22" s="286"/>
    </row>
    <row r="23" spans="1:22" ht="46.5" customHeight="1" x14ac:dyDescent="0.2">
      <c r="A23" s="94"/>
      <c r="B23" s="279">
        <f>B21+1</f>
        <v>12</v>
      </c>
      <c r="C23" s="280" t="s">
        <v>351</v>
      </c>
      <c r="D23" s="279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286"/>
    </row>
    <row r="24" spans="1:22" ht="46.5" customHeight="1" x14ac:dyDescent="0.2">
      <c r="A24" s="94"/>
      <c r="B24" s="279"/>
      <c r="C24" s="280" t="s">
        <v>352</v>
      </c>
      <c r="D24" s="279" t="s">
        <v>491</v>
      </c>
      <c r="E24" s="288">
        <v>0</v>
      </c>
      <c r="F24" s="288">
        <v>0</v>
      </c>
      <c r="G24" s="288">
        <v>0</v>
      </c>
      <c r="H24" s="288">
        <v>0.84461283594855907</v>
      </c>
      <c r="I24" s="288">
        <v>7.815937080651441</v>
      </c>
      <c r="J24" s="288">
        <v>8.2705814549912269</v>
      </c>
      <c r="K24" s="288">
        <v>2.5764655029999997</v>
      </c>
      <c r="L24" s="288">
        <v>2.8107384723999997</v>
      </c>
      <c r="M24" s="288">
        <v>0</v>
      </c>
      <c r="N24" s="288">
        <v>0</v>
      </c>
      <c r="O24" s="288">
        <v>0</v>
      </c>
      <c r="P24" s="288">
        <v>0</v>
      </c>
      <c r="Q24" s="288">
        <v>0</v>
      </c>
      <c r="R24" s="288">
        <v>0</v>
      </c>
      <c r="S24" s="288">
        <v>0</v>
      </c>
      <c r="T24" s="288">
        <v>0</v>
      </c>
      <c r="U24" s="288">
        <v>0</v>
      </c>
      <c r="V24" s="288">
        <v>0</v>
      </c>
    </row>
    <row r="25" spans="1:22" ht="31.5" customHeight="1" x14ac:dyDescent="0.2">
      <c r="A25" s="94"/>
      <c r="B25" s="279"/>
      <c r="C25" s="280" t="s">
        <v>353</v>
      </c>
      <c r="D25" s="279" t="s">
        <v>491</v>
      </c>
      <c r="E25" s="288">
        <v>4.2249051011299787</v>
      </c>
      <c r="F25" s="288">
        <v>4.4778930566600099</v>
      </c>
      <c r="G25" s="288">
        <v>4.2346101634500108</v>
      </c>
      <c r="H25" s="288">
        <v>2.638258118289996</v>
      </c>
      <c r="I25" s="288">
        <v>5.8367453802700107</v>
      </c>
      <c r="J25" s="288">
        <v>6.6369988015999919</v>
      </c>
      <c r="K25" s="288">
        <v>5.809580896990016</v>
      </c>
      <c r="L25" s="288">
        <v>5.5054992279600183</v>
      </c>
      <c r="M25" s="288">
        <v>5.0989916784450182</v>
      </c>
      <c r="N25" s="288">
        <v>4.1906004857400383</v>
      </c>
      <c r="O25" s="288">
        <v>4.016760512570019</v>
      </c>
      <c r="P25" s="288">
        <v>5.5165237624900225</v>
      </c>
      <c r="Q25" s="288">
        <v>5.4417249916995267</v>
      </c>
      <c r="R25" s="288">
        <v>5.1466685445864808</v>
      </c>
      <c r="S25" s="288">
        <v>5.3622729473145005</v>
      </c>
      <c r="T25" s="288">
        <v>5.2152010095500332</v>
      </c>
      <c r="U25" s="288">
        <v>5.6804581701000396</v>
      </c>
      <c r="V25" s="288">
        <v>5.1588374976500466</v>
      </c>
    </row>
    <row r="26" spans="1:22" ht="31.5" customHeight="1" x14ac:dyDescent="0.2">
      <c r="A26" s="94"/>
      <c r="B26" s="279"/>
      <c r="C26" s="280" t="s">
        <v>354</v>
      </c>
      <c r="D26" s="279" t="s">
        <v>491</v>
      </c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86"/>
      <c r="P26" s="286"/>
      <c r="Q26" s="286"/>
      <c r="R26" s="286"/>
      <c r="S26" s="286"/>
      <c r="T26" s="286"/>
      <c r="U26" s="286"/>
      <c r="V26" s="286"/>
    </row>
    <row r="27" spans="1:22" ht="31.5" customHeight="1" x14ac:dyDescent="0.2">
      <c r="A27" s="94"/>
      <c r="B27" s="279"/>
      <c r="C27" s="280" t="s">
        <v>9</v>
      </c>
      <c r="D27" s="279" t="s">
        <v>491</v>
      </c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6"/>
      <c r="P27" s="286"/>
      <c r="Q27" s="286"/>
      <c r="R27" s="286"/>
      <c r="S27" s="286"/>
      <c r="T27" s="286"/>
      <c r="U27" s="286"/>
      <c r="V27" s="286"/>
    </row>
    <row r="28" spans="1:22" ht="66" customHeight="1" x14ac:dyDescent="0.2">
      <c r="A28" s="94"/>
      <c r="B28" s="279">
        <f>B23+1</f>
        <v>13</v>
      </c>
      <c r="C28" s="280" t="s">
        <v>465</v>
      </c>
      <c r="D28" s="279" t="s">
        <v>491</v>
      </c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86"/>
      <c r="P28" s="286"/>
      <c r="Q28" s="286"/>
      <c r="R28" s="286"/>
      <c r="S28" s="286"/>
      <c r="T28" s="286"/>
      <c r="U28" s="286"/>
      <c r="V28" s="286"/>
    </row>
    <row r="29" spans="1:22" ht="66" customHeight="1" x14ac:dyDescent="0.2">
      <c r="A29" s="94"/>
      <c r="B29" s="279">
        <f>B28+1</f>
        <v>14</v>
      </c>
      <c r="C29" s="280" t="s">
        <v>355</v>
      </c>
      <c r="D29" s="279" t="s">
        <v>491</v>
      </c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6"/>
      <c r="P29" s="286"/>
      <c r="Q29" s="286"/>
      <c r="R29" s="286"/>
      <c r="S29" s="286"/>
      <c r="T29" s="286"/>
      <c r="U29" s="286"/>
      <c r="V29" s="286"/>
    </row>
    <row r="30" spans="1:22" ht="66" customHeight="1" x14ac:dyDescent="0.2">
      <c r="A30" s="94"/>
      <c r="B30" s="279">
        <f>B29+1</f>
        <v>15</v>
      </c>
      <c r="C30" s="280" t="s">
        <v>466</v>
      </c>
      <c r="D30" s="279" t="s">
        <v>491</v>
      </c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86"/>
      <c r="P30" s="286"/>
      <c r="Q30" s="286"/>
      <c r="R30" s="286"/>
      <c r="S30" s="286"/>
      <c r="T30" s="286"/>
      <c r="U30" s="286"/>
      <c r="V30" s="286"/>
    </row>
    <row r="31" spans="1:22" ht="66" customHeight="1" x14ac:dyDescent="0.2">
      <c r="A31" s="94"/>
      <c r="B31" s="279">
        <f>B30+1</f>
        <v>16</v>
      </c>
      <c r="C31" s="280" t="s">
        <v>356</v>
      </c>
      <c r="D31" s="279" t="s">
        <v>491</v>
      </c>
      <c r="E31" s="282">
        <f>SUM(E24:E30)</f>
        <v>4.2249051011299787</v>
      </c>
      <c r="F31" s="282">
        <f t="shared" ref="F31:V31" si="3">SUM(F24:F30)</f>
        <v>4.4778930566600099</v>
      </c>
      <c r="G31" s="282">
        <f t="shared" si="3"/>
        <v>4.2346101634500108</v>
      </c>
      <c r="H31" s="282">
        <f t="shared" si="3"/>
        <v>3.482870954238555</v>
      </c>
      <c r="I31" s="282">
        <f t="shared" si="3"/>
        <v>13.652682460921451</v>
      </c>
      <c r="J31" s="282">
        <f t="shared" si="3"/>
        <v>14.907580256591219</v>
      </c>
      <c r="K31" s="282">
        <f t="shared" si="3"/>
        <v>8.3860463999900148</v>
      </c>
      <c r="L31" s="282">
        <f t="shared" si="3"/>
        <v>8.3162377003600181</v>
      </c>
      <c r="M31" s="282">
        <f t="shared" si="3"/>
        <v>5.0989916784450182</v>
      </c>
      <c r="N31" s="282">
        <f t="shared" si="3"/>
        <v>4.1906004857400383</v>
      </c>
      <c r="O31" s="282">
        <f t="shared" si="3"/>
        <v>4.016760512570019</v>
      </c>
      <c r="P31" s="282">
        <f t="shared" si="3"/>
        <v>5.5165237624900225</v>
      </c>
      <c r="Q31" s="282">
        <f t="shared" si="3"/>
        <v>5.4417249916995267</v>
      </c>
      <c r="R31" s="282">
        <f t="shared" si="3"/>
        <v>5.1466685445864808</v>
      </c>
      <c r="S31" s="282">
        <f t="shared" si="3"/>
        <v>5.3622729473145005</v>
      </c>
      <c r="T31" s="282">
        <f t="shared" si="3"/>
        <v>5.2152010095500332</v>
      </c>
      <c r="U31" s="282">
        <f t="shared" si="3"/>
        <v>5.6804581701000396</v>
      </c>
      <c r="V31" s="282">
        <f t="shared" si="3"/>
        <v>5.1588374976500466</v>
      </c>
    </row>
    <row r="32" spans="1:22" ht="66" customHeight="1" x14ac:dyDescent="0.2">
      <c r="A32" s="94"/>
      <c r="B32" s="279">
        <f>B31+1</f>
        <v>17</v>
      </c>
      <c r="C32" s="280" t="s">
        <v>467</v>
      </c>
      <c r="D32" s="279" t="s">
        <v>491</v>
      </c>
      <c r="E32" s="282">
        <f>E21+E31</f>
        <v>143.38296043206478</v>
      </c>
      <c r="F32" s="282">
        <f t="shared" ref="F32:V32" si="4">F21+F31</f>
        <v>166.67063549959141</v>
      </c>
      <c r="G32" s="282">
        <f t="shared" si="4"/>
        <v>136.60512622336748</v>
      </c>
      <c r="H32" s="282">
        <f t="shared" si="4"/>
        <v>81.302980415024479</v>
      </c>
      <c r="I32" s="282">
        <f t="shared" si="4"/>
        <v>155.07440616508464</v>
      </c>
      <c r="J32" s="282">
        <f t="shared" si="4"/>
        <v>176.71064898140241</v>
      </c>
      <c r="K32" s="282">
        <f t="shared" si="4"/>
        <v>164.32585126419232</v>
      </c>
      <c r="L32" s="282">
        <f t="shared" si="4"/>
        <v>171.03448727071765</v>
      </c>
      <c r="M32" s="282">
        <f t="shared" si="4"/>
        <v>174.00654335069029</v>
      </c>
      <c r="N32" s="282">
        <f t="shared" si="4"/>
        <v>190.73619249844094</v>
      </c>
      <c r="O32" s="282">
        <f t="shared" si="4"/>
        <v>155.72631903927544</v>
      </c>
      <c r="P32" s="282">
        <f t="shared" si="4"/>
        <v>181.66751099558604</v>
      </c>
      <c r="Q32" s="282">
        <f t="shared" si="4"/>
        <v>184.13523674787211</v>
      </c>
      <c r="R32" s="282">
        <f t="shared" si="4"/>
        <v>184.36887825414544</v>
      </c>
      <c r="S32" s="282">
        <f t="shared" si="4"/>
        <v>197.01155636456903</v>
      </c>
      <c r="T32" s="282">
        <f t="shared" si="4"/>
        <v>160.63249498577102</v>
      </c>
      <c r="U32" s="282">
        <f t="shared" si="4"/>
        <v>176.3256927481799</v>
      </c>
      <c r="V32" s="282">
        <f t="shared" si="4"/>
        <v>137.2595724361291</v>
      </c>
    </row>
    <row r="33" spans="1:22" ht="66" customHeight="1" x14ac:dyDescent="0.2">
      <c r="A33" s="94"/>
      <c r="B33" s="279" t="s">
        <v>357</v>
      </c>
      <c r="C33" s="280" t="s">
        <v>201</v>
      </c>
      <c r="D33" s="279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6"/>
      <c r="P33" s="286"/>
      <c r="Q33" s="286"/>
      <c r="R33" s="286"/>
      <c r="S33" s="286"/>
      <c r="T33" s="286"/>
      <c r="U33" s="286"/>
      <c r="V33" s="286"/>
    </row>
    <row r="34" spans="1:22" ht="66" customHeight="1" x14ac:dyDescent="0.2">
      <c r="A34" s="94"/>
      <c r="B34" s="279">
        <f>B32+1</f>
        <v>18</v>
      </c>
      <c r="C34" s="280" t="s">
        <v>468</v>
      </c>
      <c r="D34" s="279" t="s">
        <v>358</v>
      </c>
      <c r="E34" s="281">
        <f t="shared" ref="E34:V34" si="5">IFERROR((E10+E32)/(E9+E16),0)*10000000</f>
        <v>4000.8786945680899</v>
      </c>
      <c r="F34" s="281">
        <f t="shared" si="5"/>
        <v>4604.3538591773404</v>
      </c>
      <c r="G34" s="281">
        <f t="shared" si="5"/>
        <v>4258.6036745052152</v>
      </c>
      <c r="H34" s="281">
        <f t="shared" si="5"/>
        <v>4114.7466275493862</v>
      </c>
      <c r="I34" s="281">
        <f t="shared" si="5"/>
        <v>3992.7797627629138</v>
      </c>
      <c r="J34" s="281">
        <f t="shared" si="5"/>
        <v>3930.3542165263375</v>
      </c>
      <c r="K34" s="281">
        <f t="shared" si="5"/>
        <v>3871.6120662580579</v>
      </c>
      <c r="L34" s="281">
        <f t="shared" si="5"/>
        <v>4031.7033465448844</v>
      </c>
      <c r="M34" s="281">
        <f t="shared" si="5"/>
        <v>4213.2305041148074</v>
      </c>
      <c r="N34" s="281">
        <f t="shared" si="5"/>
        <v>4922.7672723123687</v>
      </c>
      <c r="O34" s="281">
        <f t="shared" si="5"/>
        <v>4915.2852578520178</v>
      </c>
      <c r="P34" s="281">
        <f t="shared" si="5"/>
        <v>4364.3700541926582</v>
      </c>
      <c r="Q34" s="281">
        <f t="shared" si="5"/>
        <v>4295.4353862842036</v>
      </c>
      <c r="R34" s="281">
        <f t="shared" si="5"/>
        <v>4409.5961658411452</v>
      </c>
      <c r="S34" s="281">
        <f t="shared" si="5"/>
        <v>4593.9950230872873</v>
      </c>
      <c r="T34" s="281">
        <f t="shared" si="5"/>
        <v>4119.438563891491</v>
      </c>
      <c r="U34" s="281">
        <f t="shared" si="5"/>
        <v>4029.6216480404705</v>
      </c>
      <c r="V34" s="281">
        <f t="shared" si="5"/>
        <v>3774.6683703558729</v>
      </c>
    </row>
    <row r="35" spans="1:22" ht="66" customHeight="1" x14ac:dyDescent="0.2">
      <c r="A35" s="94"/>
      <c r="B35" s="279">
        <f>B34+1</f>
        <v>19</v>
      </c>
      <c r="C35" s="280" t="s">
        <v>359</v>
      </c>
      <c r="D35" s="279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6"/>
      <c r="P35" s="286"/>
      <c r="Q35" s="286"/>
      <c r="R35" s="286"/>
      <c r="S35" s="286"/>
      <c r="T35" s="286"/>
      <c r="U35" s="286"/>
      <c r="V35" s="286"/>
    </row>
    <row r="36" spans="1:22" ht="66" customHeight="1" x14ac:dyDescent="0.2">
      <c r="A36" s="94"/>
      <c r="B36" s="279">
        <f>B35+1</f>
        <v>20</v>
      </c>
      <c r="C36" s="280" t="s">
        <v>469</v>
      </c>
      <c r="D36" s="279" t="s">
        <v>358</v>
      </c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86"/>
      <c r="P36" s="286"/>
      <c r="Q36" s="286"/>
      <c r="R36" s="286"/>
      <c r="S36" s="286"/>
      <c r="T36" s="286"/>
      <c r="U36" s="286"/>
      <c r="V36" s="286"/>
    </row>
    <row r="37" spans="1:22" ht="66" customHeight="1" x14ac:dyDescent="0.2">
      <c r="A37" s="94"/>
      <c r="B37" s="279" t="s">
        <v>360</v>
      </c>
      <c r="C37" s="280" t="s">
        <v>361</v>
      </c>
      <c r="D37" s="279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6"/>
      <c r="P37" s="286"/>
      <c r="Q37" s="286"/>
      <c r="R37" s="286"/>
      <c r="S37" s="286"/>
      <c r="T37" s="286"/>
      <c r="U37" s="286"/>
      <c r="V37" s="286"/>
    </row>
    <row r="38" spans="1:22" ht="66" customHeight="1" x14ac:dyDescent="0.2">
      <c r="A38" s="94"/>
      <c r="B38" s="279">
        <f>B36+1</f>
        <v>21</v>
      </c>
      <c r="C38" s="280" t="s">
        <v>470</v>
      </c>
      <c r="D38" s="279" t="s">
        <v>362</v>
      </c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86"/>
      <c r="P38" s="286"/>
      <c r="Q38" s="286"/>
      <c r="R38" s="286"/>
      <c r="S38" s="286"/>
      <c r="T38" s="286"/>
      <c r="U38" s="286"/>
      <c r="V38" s="286"/>
    </row>
    <row r="39" spans="1:22" ht="66" customHeight="1" x14ac:dyDescent="0.2">
      <c r="A39" s="94"/>
      <c r="B39" s="279">
        <f>B38+1</f>
        <v>22</v>
      </c>
      <c r="C39" s="280" t="s">
        <v>471</v>
      </c>
      <c r="D39" s="279" t="s">
        <v>362</v>
      </c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6"/>
      <c r="P39" s="286"/>
      <c r="Q39" s="286"/>
      <c r="R39" s="286"/>
      <c r="S39" s="286"/>
      <c r="T39" s="286"/>
      <c r="U39" s="286"/>
      <c r="V39" s="286"/>
    </row>
    <row r="40" spans="1:22" ht="66" customHeight="1" x14ac:dyDescent="0.2">
      <c r="A40" s="94"/>
      <c r="B40" s="279">
        <f t="shared" ref="B40:B47" si="6">B39+1</f>
        <v>23</v>
      </c>
      <c r="C40" s="280" t="s">
        <v>472</v>
      </c>
      <c r="D40" s="279" t="s">
        <v>362</v>
      </c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86"/>
      <c r="P40" s="286"/>
      <c r="Q40" s="286"/>
      <c r="R40" s="286"/>
      <c r="S40" s="286"/>
      <c r="T40" s="286"/>
      <c r="U40" s="286"/>
      <c r="V40" s="286"/>
    </row>
    <row r="41" spans="1:22" ht="66" customHeight="1" x14ac:dyDescent="0.2">
      <c r="A41" s="94"/>
      <c r="B41" s="279">
        <f t="shared" si="6"/>
        <v>24</v>
      </c>
      <c r="C41" s="280" t="s">
        <v>473</v>
      </c>
      <c r="D41" s="279" t="s">
        <v>362</v>
      </c>
      <c r="E41" s="286"/>
      <c r="F41" s="286"/>
      <c r="G41" s="286"/>
      <c r="H41" s="286"/>
      <c r="I41" s="286"/>
      <c r="J41" s="286"/>
      <c r="K41" s="286"/>
      <c r="L41" s="286"/>
      <c r="M41" s="286"/>
      <c r="N41" s="286"/>
      <c r="O41" s="286"/>
      <c r="P41" s="286"/>
      <c r="Q41" s="286"/>
      <c r="R41" s="286"/>
      <c r="S41" s="286"/>
      <c r="T41" s="286"/>
      <c r="U41" s="286"/>
      <c r="V41" s="286"/>
    </row>
    <row r="42" spans="1:22" ht="66" customHeight="1" x14ac:dyDescent="0.2">
      <c r="A42" s="94"/>
      <c r="B42" s="279">
        <f t="shared" si="6"/>
        <v>25</v>
      </c>
      <c r="C42" s="280" t="s">
        <v>474</v>
      </c>
      <c r="D42" s="279" t="s">
        <v>362</v>
      </c>
      <c r="E42" s="287">
        <v>4023</v>
      </c>
      <c r="F42" s="287">
        <v>4423</v>
      </c>
      <c r="G42" s="287">
        <v>3854</v>
      </c>
      <c r="H42" s="287">
        <v>3560</v>
      </c>
      <c r="I42" s="287">
        <v>3576</v>
      </c>
      <c r="J42" s="287">
        <v>3448</v>
      </c>
      <c r="K42" s="287">
        <v>3549</v>
      </c>
      <c r="L42" s="287">
        <v>3698</v>
      </c>
      <c r="M42" s="287">
        <v>4074</v>
      </c>
      <c r="N42" s="287">
        <v>4594</v>
      </c>
      <c r="O42" s="287">
        <v>4219</v>
      </c>
      <c r="P42" s="287">
        <v>3501</v>
      </c>
      <c r="Q42" s="287">
        <v>3608</v>
      </c>
      <c r="R42" s="287">
        <v>3655</v>
      </c>
      <c r="S42" s="287">
        <v>3689</v>
      </c>
      <c r="T42" s="287">
        <v>3335</v>
      </c>
      <c r="U42" s="287">
        <v>3148</v>
      </c>
      <c r="V42" s="287">
        <v>3030</v>
      </c>
    </row>
    <row r="43" spans="1:22" ht="66" customHeight="1" x14ac:dyDescent="0.2">
      <c r="A43" s="94"/>
      <c r="B43" s="279">
        <f t="shared" si="6"/>
        <v>26</v>
      </c>
      <c r="C43" s="280" t="s">
        <v>475</v>
      </c>
      <c r="D43" s="279" t="s">
        <v>362</v>
      </c>
      <c r="E43" s="286"/>
      <c r="F43" s="286"/>
      <c r="G43" s="286"/>
      <c r="H43" s="286"/>
      <c r="I43" s="286"/>
      <c r="J43" s="286"/>
      <c r="K43" s="286"/>
      <c r="L43" s="286"/>
      <c r="M43" s="286"/>
      <c r="N43" s="286"/>
      <c r="O43" s="286"/>
      <c r="P43" s="286"/>
      <c r="Q43" s="286"/>
      <c r="R43" s="286"/>
      <c r="S43" s="286"/>
      <c r="T43" s="286"/>
      <c r="U43" s="286"/>
      <c r="V43" s="286"/>
    </row>
    <row r="44" spans="1:22" ht="66" customHeight="1" x14ac:dyDescent="0.2">
      <c r="A44" s="94"/>
      <c r="B44" s="279">
        <f t="shared" si="6"/>
        <v>27</v>
      </c>
      <c r="C44" s="280" t="s">
        <v>476</v>
      </c>
      <c r="D44" s="279" t="s">
        <v>362</v>
      </c>
      <c r="E44" s="286"/>
      <c r="F44" s="286"/>
      <c r="G44" s="286"/>
      <c r="H44" s="286"/>
      <c r="I44" s="286"/>
      <c r="J44" s="286"/>
      <c r="K44" s="286"/>
      <c r="L44" s="286"/>
      <c r="M44" s="286"/>
      <c r="N44" s="286"/>
      <c r="O44" s="286"/>
      <c r="P44" s="286"/>
      <c r="Q44" s="286"/>
      <c r="R44" s="286"/>
      <c r="S44" s="286"/>
      <c r="T44" s="286"/>
      <c r="U44" s="286"/>
      <c r="V44" s="286"/>
    </row>
    <row r="45" spans="1:22" ht="66" customHeight="1" x14ac:dyDescent="0.2">
      <c r="A45" s="94"/>
      <c r="B45" s="279">
        <f t="shared" si="6"/>
        <v>28</v>
      </c>
      <c r="C45" s="280" t="s">
        <v>477</v>
      </c>
      <c r="D45" s="279" t="s">
        <v>362</v>
      </c>
      <c r="E45" s="286"/>
      <c r="F45" s="286"/>
      <c r="G45" s="286"/>
      <c r="H45" s="286"/>
      <c r="I45" s="286"/>
      <c r="J45" s="286"/>
      <c r="K45" s="286"/>
      <c r="L45" s="286"/>
      <c r="M45" s="286"/>
      <c r="N45" s="286"/>
      <c r="O45" s="286"/>
      <c r="P45" s="286"/>
      <c r="Q45" s="286"/>
      <c r="R45" s="286"/>
      <c r="S45" s="286"/>
      <c r="T45" s="286"/>
      <c r="U45" s="286"/>
      <c r="V45" s="286"/>
    </row>
    <row r="46" spans="1:22" ht="66" customHeight="1" x14ac:dyDescent="0.2">
      <c r="A46" s="94"/>
      <c r="B46" s="279">
        <f t="shared" si="6"/>
        <v>29</v>
      </c>
      <c r="C46" s="280" t="s">
        <v>477</v>
      </c>
      <c r="D46" s="279" t="s">
        <v>362</v>
      </c>
      <c r="E46" s="286"/>
      <c r="F46" s="286"/>
      <c r="G46" s="286"/>
      <c r="H46" s="286"/>
      <c r="I46" s="286"/>
      <c r="J46" s="286"/>
      <c r="K46" s="286"/>
      <c r="L46" s="286"/>
      <c r="M46" s="286"/>
      <c r="N46" s="286"/>
      <c r="O46" s="286"/>
      <c r="P46" s="286"/>
      <c r="Q46" s="286"/>
      <c r="R46" s="286"/>
      <c r="S46" s="286"/>
      <c r="T46" s="286"/>
      <c r="U46" s="286"/>
      <c r="V46" s="286"/>
    </row>
    <row r="47" spans="1:22" ht="66" customHeight="1" x14ac:dyDescent="0.2">
      <c r="A47" s="94"/>
      <c r="B47" s="279">
        <f t="shared" si="6"/>
        <v>30</v>
      </c>
      <c r="C47" s="280" t="s">
        <v>478</v>
      </c>
      <c r="D47" s="279" t="s">
        <v>362</v>
      </c>
      <c r="E47" s="287">
        <v>3693</v>
      </c>
      <c r="F47" s="287">
        <v>3862</v>
      </c>
      <c r="G47" s="287">
        <v>3642</v>
      </c>
      <c r="H47" s="287">
        <v>3162</v>
      </c>
      <c r="I47" s="287">
        <v>3259</v>
      </c>
      <c r="J47" s="287">
        <v>3167</v>
      </c>
      <c r="K47" s="287">
        <v>3165</v>
      </c>
      <c r="L47" s="287">
        <v>3349</v>
      </c>
      <c r="M47" s="287">
        <v>3499</v>
      </c>
      <c r="N47" s="287">
        <v>3848</v>
      </c>
      <c r="O47" s="287">
        <v>3478.15</v>
      </c>
      <c r="P47" s="287">
        <v>3189</v>
      </c>
      <c r="Q47" s="287">
        <v>3756</v>
      </c>
      <c r="R47" s="287">
        <v>4365</v>
      </c>
      <c r="S47" s="287">
        <v>4270</v>
      </c>
      <c r="T47" s="287">
        <v>3798</v>
      </c>
      <c r="U47" s="287">
        <v>3577</v>
      </c>
      <c r="V47" s="287">
        <v>3337</v>
      </c>
    </row>
    <row r="48" spans="1:22" ht="31.5" customHeight="1" x14ac:dyDescent="0.2">
      <c r="B48" s="274"/>
      <c r="C48" s="275"/>
      <c r="D48" s="276"/>
      <c r="E48" s="274"/>
      <c r="F48" s="274"/>
      <c r="G48" s="274"/>
      <c r="H48" s="274"/>
      <c r="I48" s="274"/>
      <c r="J48" s="274"/>
      <c r="K48" s="274"/>
      <c r="L48" s="274"/>
      <c r="M48" s="274"/>
      <c r="N48" s="274"/>
      <c r="O48" s="274"/>
      <c r="P48" s="274"/>
      <c r="Q48" s="274"/>
      <c r="R48" s="274"/>
      <c r="S48" s="274"/>
      <c r="T48" s="274"/>
      <c r="U48" s="274"/>
      <c r="V48" s="274"/>
    </row>
    <row r="49" spans="2:22" ht="31.5" customHeight="1" x14ac:dyDescent="0.2">
      <c r="B49" s="283" t="s">
        <v>272</v>
      </c>
      <c r="C49" s="275"/>
      <c r="D49" s="276"/>
      <c r="E49" s="274"/>
      <c r="F49" s="274"/>
      <c r="G49" s="274"/>
      <c r="H49" s="274"/>
      <c r="I49" s="274"/>
      <c r="J49" s="274"/>
      <c r="K49" s="274"/>
      <c r="L49" s="274"/>
      <c r="M49" s="274"/>
      <c r="N49" s="274"/>
      <c r="O49" s="274"/>
      <c r="P49" s="274"/>
      <c r="Q49" s="274"/>
      <c r="R49" s="274"/>
      <c r="S49" s="274"/>
      <c r="T49" s="274"/>
      <c r="U49" s="274"/>
      <c r="V49" s="274"/>
    </row>
    <row r="50" spans="2:22" ht="31.5" customHeight="1" x14ac:dyDescent="0.2">
      <c r="B50" s="276">
        <v>1</v>
      </c>
      <c r="C50" s="350" t="s">
        <v>363</v>
      </c>
      <c r="D50" s="350"/>
      <c r="E50" s="350"/>
      <c r="F50" s="350"/>
      <c r="G50" s="350"/>
      <c r="H50" s="350"/>
      <c r="I50" s="350"/>
      <c r="J50" s="350"/>
      <c r="K50" s="350"/>
      <c r="L50" s="350"/>
      <c r="M50" s="350"/>
      <c r="N50" s="274"/>
      <c r="O50" s="274"/>
      <c r="P50" s="274"/>
      <c r="Q50" s="274"/>
      <c r="R50" s="274"/>
      <c r="S50" s="274"/>
      <c r="T50" s="274"/>
      <c r="U50" s="274"/>
      <c r="V50" s="274"/>
    </row>
    <row r="51" spans="2:22" ht="31.5" customHeight="1" x14ac:dyDescent="0.2">
      <c r="B51" s="276">
        <f>B50+1</f>
        <v>2</v>
      </c>
      <c r="C51" s="274" t="s">
        <v>364</v>
      </c>
      <c r="D51" s="274"/>
      <c r="E51" s="274"/>
      <c r="F51" s="274"/>
      <c r="G51" s="274"/>
      <c r="H51" s="274"/>
      <c r="I51" s="274"/>
      <c r="J51" s="274"/>
      <c r="K51" s="274"/>
      <c r="L51" s="274"/>
      <c r="M51" s="274"/>
      <c r="N51" s="274"/>
      <c r="O51" s="274"/>
      <c r="P51" s="274"/>
      <c r="Q51" s="274"/>
      <c r="R51" s="274"/>
      <c r="S51" s="274"/>
      <c r="T51" s="274"/>
      <c r="U51" s="274"/>
      <c r="V51" s="274"/>
    </row>
    <row r="52" spans="2:22" ht="31.5" customHeight="1" x14ac:dyDescent="0.2">
      <c r="B52" s="276">
        <f>B51+1</f>
        <v>3</v>
      </c>
      <c r="C52" s="350" t="s">
        <v>365</v>
      </c>
      <c r="D52" s="350"/>
      <c r="E52" s="350"/>
      <c r="F52" s="350"/>
      <c r="G52" s="350"/>
      <c r="H52" s="350"/>
      <c r="I52" s="350"/>
      <c r="J52" s="350"/>
      <c r="K52" s="350"/>
      <c r="L52" s="350"/>
      <c r="M52" s="350"/>
      <c r="N52" s="274"/>
      <c r="O52" s="274"/>
      <c r="P52" s="274"/>
      <c r="Q52" s="274"/>
      <c r="R52" s="274"/>
      <c r="S52" s="274"/>
      <c r="T52" s="274"/>
      <c r="U52" s="274"/>
      <c r="V52" s="274"/>
    </row>
    <row r="53" spans="2:22" ht="31.5" customHeight="1" x14ac:dyDescent="0.2">
      <c r="B53" s="276">
        <f>B52+1</f>
        <v>4</v>
      </c>
      <c r="C53" s="350" t="s">
        <v>366</v>
      </c>
      <c r="D53" s="350"/>
      <c r="E53" s="350"/>
      <c r="F53" s="350"/>
      <c r="G53" s="350"/>
      <c r="H53" s="350"/>
      <c r="I53" s="350"/>
      <c r="J53" s="350"/>
      <c r="K53" s="274"/>
      <c r="L53" s="274"/>
      <c r="M53" s="274"/>
      <c r="N53" s="274"/>
      <c r="O53" s="274"/>
      <c r="P53" s="274"/>
      <c r="Q53" s="274"/>
      <c r="R53" s="274"/>
      <c r="S53" s="274"/>
      <c r="T53" s="274"/>
      <c r="U53" s="274"/>
      <c r="V53" s="274"/>
    </row>
  </sheetData>
  <mergeCells count="8">
    <mergeCell ref="Q6:V6"/>
    <mergeCell ref="C53:J53"/>
    <mergeCell ref="C50:M50"/>
    <mergeCell ref="C52:M52"/>
    <mergeCell ref="B6:B7"/>
    <mergeCell ref="C6:C7"/>
    <mergeCell ref="D6:D7"/>
    <mergeCell ref="E6:P6"/>
  </mergeCells>
  <pageMargins left="0.35" right="0.2" top="0.74803149606299213" bottom="0.74803149606299213" header="0.31496062992125984" footer="0.31496062992125984"/>
  <pageSetup paperSize="9" scale="36" orientation="landscape" r:id="rId1"/>
  <rowBreaks count="1" manualBreakCount="1">
    <brk id="29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54"/>
  <sheetViews>
    <sheetView showGridLines="0" zoomScale="50" zoomScaleNormal="50" workbookViewId="0">
      <selection activeCell="Q14" sqref="Q14"/>
    </sheetView>
  </sheetViews>
  <sheetFormatPr defaultColWidth="9.28515625" defaultRowHeight="23.25" x14ac:dyDescent="0.2"/>
  <cols>
    <col min="1" max="1" width="2.28515625" style="92" customWidth="1"/>
    <col min="2" max="2" width="9.28515625" style="92"/>
    <col min="3" max="3" width="71" style="290" customWidth="1"/>
    <col min="4" max="4" width="12.7109375" style="285" customWidth="1"/>
    <col min="5" max="22" width="12.7109375" style="283" customWidth="1"/>
    <col min="23" max="16384" width="9.28515625" style="92"/>
  </cols>
  <sheetData>
    <row r="2" spans="2:22" x14ac:dyDescent="0.2">
      <c r="M2" s="277" t="s">
        <v>550</v>
      </c>
    </row>
    <row r="3" spans="2:22" x14ac:dyDescent="0.2">
      <c r="M3" s="277" t="s">
        <v>518</v>
      </c>
    </row>
    <row r="4" spans="2:22" x14ac:dyDescent="0.2">
      <c r="M4" s="278" t="s">
        <v>571</v>
      </c>
    </row>
    <row r="6" spans="2:22" ht="34.5" customHeight="1" x14ac:dyDescent="0.2">
      <c r="B6" s="354" t="s">
        <v>210</v>
      </c>
      <c r="C6" s="355" t="s">
        <v>18</v>
      </c>
      <c r="D6" s="351" t="s">
        <v>39</v>
      </c>
      <c r="E6" s="351" t="s">
        <v>520</v>
      </c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 t="s">
        <v>521</v>
      </c>
      <c r="R6" s="351"/>
      <c r="S6" s="351"/>
      <c r="T6" s="351"/>
      <c r="U6" s="351"/>
      <c r="V6" s="351"/>
    </row>
    <row r="7" spans="2:22" ht="34.5" customHeight="1" x14ac:dyDescent="0.2">
      <c r="B7" s="354"/>
      <c r="C7" s="355"/>
      <c r="D7" s="351"/>
      <c r="E7" s="279" t="s">
        <v>141</v>
      </c>
      <c r="F7" s="279" t="s">
        <v>142</v>
      </c>
      <c r="G7" s="279" t="s">
        <v>143</v>
      </c>
      <c r="H7" s="279" t="s">
        <v>144</v>
      </c>
      <c r="I7" s="279" t="s">
        <v>145</v>
      </c>
      <c r="J7" s="279" t="s">
        <v>146</v>
      </c>
      <c r="K7" s="279" t="s">
        <v>147</v>
      </c>
      <c r="L7" s="279" t="s">
        <v>148</v>
      </c>
      <c r="M7" s="279" t="s">
        <v>149</v>
      </c>
      <c r="N7" s="279" t="s">
        <v>150</v>
      </c>
      <c r="O7" s="279" t="s">
        <v>151</v>
      </c>
      <c r="P7" s="279" t="s">
        <v>152</v>
      </c>
      <c r="Q7" s="279" t="s">
        <v>141</v>
      </c>
      <c r="R7" s="279" t="s">
        <v>142</v>
      </c>
      <c r="S7" s="279" t="s">
        <v>143</v>
      </c>
      <c r="T7" s="279" t="s">
        <v>144</v>
      </c>
      <c r="U7" s="279" t="s">
        <v>145</v>
      </c>
      <c r="V7" s="279" t="s">
        <v>146</v>
      </c>
    </row>
    <row r="8" spans="2:22" ht="51.75" customHeight="1" x14ac:dyDescent="0.2">
      <c r="B8" s="95" t="s">
        <v>67</v>
      </c>
      <c r="C8" s="289" t="s">
        <v>341</v>
      </c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  <c r="U8" s="286"/>
      <c r="V8" s="286"/>
    </row>
    <row r="9" spans="2:22" ht="51.75" customHeight="1" x14ac:dyDescent="0.2">
      <c r="B9" s="96">
        <v>1</v>
      </c>
      <c r="C9" s="289" t="s">
        <v>436</v>
      </c>
      <c r="D9" s="279" t="s">
        <v>515</v>
      </c>
      <c r="E9" s="288">
        <v>2158.4200000000019</v>
      </c>
      <c r="F9" s="288">
        <v>1591.840000000002</v>
      </c>
      <c r="G9" s="288">
        <v>2666.7600000000016</v>
      </c>
      <c r="H9" s="288">
        <v>2976.0700000000015</v>
      </c>
      <c r="I9" s="288">
        <v>3030.090000000002</v>
      </c>
      <c r="J9" s="288">
        <v>2411.6300000000019</v>
      </c>
      <c r="K9" s="288">
        <v>3758.6200000000017</v>
      </c>
      <c r="L9" s="288">
        <v>4317.3100000000013</v>
      </c>
      <c r="M9" s="288">
        <v>4399.920000000001</v>
      </c>
      <c r="N9" s="288">
        <v>3914.920000000001</v>
      </c>
      <c r="O9" s="288">
        <v>3699.920000000001</v>
      </c>
      <c r="P9" s="288">
        <v>3701.110000000001</v>
      </c>
      <c r="Q9" s="288">
        <v>3747.4900000000016</v>
      </c>
      <c r="R9" s="288">
        <v>3684.9700000000012</v>
      </c>
      <c r="S9" s="288">
        <v>3909.130000000001</v>
      </c>
      <c r="T9" s="288">
        <v>4126.2200000000012</v>
      </c>
      <c r="U9" s="288">
        <v>4250.0200000000013</v>
      </c>
      <c r="V9" s="288">
        <v>4280.3000000000011</v>
      </c>
    </row>
    <row r="10" spans="2:22" ht="51.75" customHeight="1" x14ac:dyDescent="0.2">
      <c r="B10" s="96">
        <f>B9+1</f>
        <v>2</v>
      </c>
      <c r="C10" s="289" t="s">
        <v>342</v>
      </c>
      <c r="D10" s="279" t="s">
        <v>491</v>
      </c>
      <c r="E10" s="288">
        <v>13.697577367813233</v>
      </c>
      <c r="F10" s="288">
        <v>11.912957401768026</v>
      </c>
      <c r="G10" s="288">
        <v>22.058292112924136</v>
      </c>
      <c r="H10" s="288">
        <v>24.858341609490132</v>
      </c>
      <c r="I10" s="288">
        <v>24.633266055677275</v>
      </c>
      <c r="J10" s="288">
        <v>18.447332374237579</v>
      </c>
      <c r="K10" s="288">
        <v>25.560093901349941</v>
      </c>
      <c r="L10" s="288">
        <v>28.495563064318318</v>
      </c>
      <c r="M10" s="288">
        <v>28.649194552629478</v>
      </c>
      <c r="N10" s="288">
        <v>25.313742958835245</v>
      </c>
      <c r="O10" s="288">
        <v>24.211824362776156</v>
      </c>
      <c r="P10" s="288">
        <v>23.899353537967329</v>
      </c>
      <c r="Q10" s="288">
        <v>24.492445257080838</v>
      </c>
      <c r="R10" s="288">
        <v>23.901151290113667</v>
      </c>
      <c r="S10" s="288">
        <v>25.058114757197448</v>
      </c>
      <c r="T10" s="288">
        <v>26.144352147780985</v>
      </c>
      <c r="U10" s="288">
        <v>26.463171546812994</v>
      </c>
      <c r="V10" s="288">
        <v>26.65022264526872</v>
      </c>
    </row>
    <row r="11" spans="2:22" ht="51.75" customHeight="1" x14ac:dyDescent="0.2">
      <c r="B11" s="95" t="s">
        <v>71</v>
      </c>
      <c r="C11" s="289" t="s">
        <v>344</v>
      </c>
      <c r="D11" s="279"/>
      <c r="E11" s="288"/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  <c r="Q11" s="288"/>
      <c r="R11" s="288"/>
      <c r="S11" s="288"/>
      <c r="T11" s="288"/>
      <c r="U11" s="288"/>
      <c r="V11" s="288"/>
    </row>
    <row r="12" spans="2:22" ht="51.75" customHeight="1" x14ac:dyDescent="0.2">
      <c r="B12" s="96">
        <f>B10+1</f>
        <v>3</v>
      </c>
      <c r="C12" s="289" t="s">
        <v>437</v>
      </c>
      <c r="D12" s="279" t="s">
        <v>515</v>
      </c>
      <c r="E12" s="288">
        <v>2874.42</v>
      </c>
      <c r="F12" s="288">
        <v>4236.91</v>
      </c>
      <c r="G12" s="288">
        <v>1344.31</v>
      </c>
      <c r="H12" s="288">
        <v>6481.02</v>
      </c>
      <c r="I12" s="288">
        <v>4646.54</v>
      </c>
      <c r="J12" s="288">
        <v>5066.99</v>
      </c>
      <c r="K12" s="288">
        <v>1212.69</v>
      </c>
      <c r="L12" s="288">
        <v>343.61</v>
      </c>
      <c r="M12" s="288">
        <v>0</v>
      </c>
      <c r="N12" s="288">
        <v>150</v>
      </c>
      <c r="O12" s="288">
        <v>237.19</v>
      </c>
      <c r="P12" s="288">
        <v>1494.38</v>
      </c>
      <c r="Q12" s="288">
        <v>390.48</v>
      </c>
      <c r="R12" s="288">
        <v>510.16</v>
      </c>
      <c r="S12" s="288">
        <v>486.09</v>
      </c>
      <c r="T12" s="288">
        <v>508.8</v>
      </c>
      <c r="U12" s="288">
        <v>231.28</v>
      </c>
      <c r="V12" s="288">
        <v>150</v>
      </c>
    </row>
    <row r="13" spans="2:22" ht="51.75" customHeight="1" x14ac:dyDescent="0.2">
      <c r="B13" s="96">
        <f>B12+1</f>
        <v>4</v>
      </c>
      <c r="C13" s="289" t="s">
        <v>438</v>
      </c>
      <c r="D13" s="279" t="s">
        <v>515</v>
      </c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6"/>
    </row>
    <row r="14" spans="2:22" ht="51.75" customHeight="1" x14ac:dyDescent="0.2">
      <c r="B14" s="96">
        <f>B13+1</f>
        <v>5</v>
      </c>
      <c r="C14" s="289" t="s">
        <v>439</v>
      </c>
      <c r="D14" s="279" t="s">
        <v>515</v>
      </c>
      <c r="E14" s="281">
        <f>E12+E13</f>
        <v>2874.42</v>
      </c>
      <c r="F14" s="281">
        <f t="shared" ref="F14:V14" si="0">F12+F13</f>
        <v>4236.91</v>
      </c>
      <c r="G14" s="281">
        <f t="shared" si="0"/>
        <v>1344.31</v>
      </c>
      <c r="H14" s="281">
        <f t="shared" si="0"/>
        <v>6481.02</v>
      </c>
      <c r="I14" s="281">
        <f t="shared" si="0"/>
        <v>4646.54</v>
      </c>
      <c r="J14" s="281">
        <f t="shared" si="0"/>
        <v>5066.99</v>
      </c>
      <c r="K14" s="281">
        <f t="shared" si="0"/>
        <v>1212.69</v>
      </c>
      <c r="L14" s="281">
        <f t="shared" si="0"/>
        <v>343.61</v>
      </c>
      <c r="M14" s="281">
        <f t="shared" si="0"/>
        <v>0</v>
      </c>
      <c r="N14" s="281">
        <f t="shared" si="0"/>
        <v>150</v>
      </c>
      <c r="O14" s="281">
        <f t="shared" si="0"/>
        <v>237.19</v>
      </c>
      <c r="P14" s="281">
        <f t="shared" si="0"/>
        <v>1494.38</v>
      </c>
      <c r="Q14" s="281">
        <f t="shared" si="0"/>
        <v>390.48</v>
      </c>
      <c r="R14" s="281">
        <f t="shared" si="0"/>
        <v>510.16</v>
      </c>
      <c r="S14" s="281">
        <f t="shared" si="0"/>
        <v>486.09</v>
      </c>
      <c r="T14" s="281">
        <f t="shared" si="0"/>
        <v>508.8</v>
      </c>
      <c r="U14" s="281">
        <f t="shared" si="0"/>
        <v>231.28</v>
      </c>
      <c r="V14" s="281">
        <f t="shared" si="0"/>
        <v>150</v>
      </c>
    </row>
    <row r="15" spans="2:22" ht="51.75" customHeight="1" x14ac:dyDescent="0.2">
      <c r="B15" s="96">
        <f>B14+1</f>
        <v>6</v>
      </c>
      <c r="C15" s="289" t="s">
        <v>345</v>
      </c>
      <c r="D15" s="279" t="s">
        <v>515</v>
      </c>
      <c r="E15" s="286"/>
      <c r="F15" s="286"/>
      <c r="G15" s="286"/>
      <c r="H15" s="286"/>
      <c r="I15" s="286"/>
      <c r="J15" s="286"/>
      <c r="K15" s="286"/>
      <c r="L15" s="286"/>
      <c r="M15" s="286"/>
      <c r="N15" s="286"/>
      <c r="O15" s="286"/>
      <c r="P15" s="286"/>
      <c r="Q15" s="286"/>
      <c r="R15" s="286"/>
      <c r="S15" s="286"/>
      <c r="T15" s="286"/>
      <c r="U15" s="286"/>
      <c r="V15" s="286"/>
    </row>
    <row r="16" spans="2:22" ht="51.75" customHeight="1" x14ac:dyDescent="0.2">
      <c r="B16" s="96">
        <f>B15+1</f>
        <v>7</v>
      </c>
      <c r="C16" s="289" t="s">
        <v>440</v>
      </c>
      <c r="D16" s="279" t="s">
        <v>515</v>
      </c>
      <c r="E16" s="281">
        <f>E14-E15</f>
        <v>2874.42</v>
      </c>
      <c r="F16" s="281">
        <f t="shared" ref="F16:V16" si="1">F14-F15</f>
        <v>4236.91</v>
      </c>
      <c r="G16" s="281">
        <f t="shared" si="1"/>
        <v>1344.31</v>
      </c>
      <c r="H16" s="281">
        <f t="shared" si="1"/>
        <v>6481.02</v>
      </c>
      <c r="I16" s="281">
        <f t="shared" si="1"/>
        <v>4646.54</v>
      </c>
      <c r="J16" s="281">
        <f t="shared" si="1"/>
        <v>5066.99</v>
      </c>
      <c r="K16" s="281">
        <f t="shared" si="1"/>
        <v>1212.69</v>
      </c>
      <c r="L16" s="281">
        <f t="shared" si="1"/>
        <v>343.61</v>
      </c>
      <c r="M16" s="281">
        <f t="shared" si="1"/>
        <v>0</v>
      </c>
      <c r="N16" s="281">
        <f t="shared" si="1"/>
        <v>150</v>
      </c>
      <c r="O16" s="281">
        <f t="shared" si="1"/>
        <v>237.19</v>
      </c>
      <c r="P16" s="281">
        <f t="shared" si="1"/>
        <v>1494.38</v>
      </c>
      <c r="Q16" s="281">
        <f t="shared" si="1"/>
        <v>390.48</v>
      </c>
      <c r="R16" s="281">
        <f t="shared" si="1"/>
        <v>510.16</v>
      </c>
      <c r="S16" s="281">
        <f t="shared" si="1"/>
        <v>486.09</v>
      </c>
      <c r="T16" s="281">
        <f t="shared" si="1"/>
        <v>508.8</v>
      </c>
      <c r="U16" s="281">
        <f t="shared" si="1"/>
        <v>231.28</v>
      </c>
      <c r="V16" s="281">
        <f t="shared" si="1"/>
        <v>150</v>
      </c>
    </row>
    <row r="17" spans="2:22" ht="51.75" customHeight="1" x14ac:dyDescent="0.2">
      <c r="B17" s="95" t="s">
        <v>72</v>
      </c>
      <c r="C17" s="289" t="s">
        <v>346</v>
      </c>
      <c r="D17" s="279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6"/>
      <c r="P17" s="286"/>
      <c r="Q17" s="286"/>
      <c r="R17" s="286"/>
      <c r="S17" s="286"/>
      <c r="T17" s="286"/>
      <c r="U17" s="286"/>
      <c r="V17" s="286"/>
    </row>
    <row r="18" spans="2:22" ht="51.75" customHeight="1" x14ac:dyDescent="0.2">
      <c r="B18" s="96">
        <f>B16+1</f>
        <v>8</v>
      </c>
      <c r="C18" s="289" t="s">
        <v>441</v>
      </c>
      <c r="D18" s="279" t="s">
        <v>491</v>
      </c>
      <c r="E18" s="288">
        <v>23.0741364</v>
      </c>
      <c r="F18" s="288">
        <v>36.338667316999995</v>
      </c>
      <c r="G18" s="288">
        <v>11.3592546</v>
      </c>
      <c r="H18" s="288">
        <v>48.811287999999998</v>
      </c>
      <c r="I18" s="288">
        <v>29.220261799999999</v>
      </c>
      <c r="J18" s="288">
        <v>30.476285499999999</v>
      </c>
      <c r="K18" s="288">
        <v>7.2363488</v>
      </c>
      <c r="L18" s="288">
        <v>1.8689197</v>
      </c>
      <c r="M18" s="288">
        <v>0</v>
      </c>
      <c r="N18" s="288">
        <v>1.2496563999999999</v>
      </c>
      <c r="O18" s="288">
        <v>1.2615209000000001</v>
      </c>
      <c r="P18" s="288">
        <v>9.3052701659999997</v>
      </c>
      <c r="Q18" s="288">
        <v>2.301608146</v>
      </c>
      <c r="R18" s="288">
        <v>2.9784778199999997</v>
      </c>
      <c r="S18" s="288">
        <v>2.7367430000000001</v>
      </c>
      <c r="T18" s="288">
        <v>2.9725608000000001</v>
      </c>
      <c r="U18" s="288">
        <v>1.6466178</v>
      </c>
      <c r="V18" s="288">
        <v>1.3525128</v>
      </c>
    </row>
    <row r="19" spans="2:22" ht="51.75" customHeight="1" x14ac:dyDescent="0.2">
      <c r="B19" s="96">
        <f>B18+1</f>
        <v>9</v>
      </c>
      <c r="C19" s="289" t="s">
        <v>442</v>
      </c>
      <c r="D19" s="279" t="s">
        <v>491</v>
      </c>
      <c r="E19" s="286"/>
      <c r="F19" s="286"/>
      <c r="G19" s="286"/>
      <c r="H19" s="286"/>
      <c r="I19" s="286"/>
      <c r="J19" s="286"/>
      <c r="K19" s="286"/>
      <c r="L19" s="286"/>
      <c r="M19" s="286"/>
      <c r="N19" s="286"/>
      <c r="O19" s="286"/>
      <c r="P19" s="286"/>
      <c r="Q19" s="286"/>
      <c r="R19" s="286"/>
      <c r="S19" s="286"/>
      <c r="T19" s="286"/>
      <c r="U19" s="286"/>
      <c r="V19" s="286"/>
    </row>
    <row r="20" spans="2:22" ht="51.75" customHeight="1" x14ac:dyDescent="0.2">
      <c r="B20" s="96">
        <f>B19+1</f>
        <v>10</v>
      </c>
      <c r="C20" s="289" t="s">
        <v>347</v>
      </c>
      <c r="D20" s="279" t="s">
        <v>491</v>
      </c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O20" s="286"/>
      <c r="P20" s="286"/>
      <c r="Q20" s="286"/>
      <c r="R20" s="286"/>
      <c r="S20" s="286"/>
      <c r="T20" s="286"/>
      <c r="U20" s="286"/>
      <c r="V20" s="286"/>
    </row>
    <row r="21" spans="2:22" ht="51.75" customHeight="1" x14ac:dyDescent="0.2">
      <c r="B21" s="96">
        <f>B20+1</f>
        <v>11</v>
      </c>
      <c r="C21" s="289" t="s">
        <v>348</v>
      </c>
      <c r="D21" s="279" t="s">
        <v>491</v>
      </c>
      <c r="E21" s="282">
        <f>E18+E19+E20</f>
        <v>23.0741364</v>
      </c>
      <c r="F21" s="282">
        <f t="shared" ref="F21:V21" si="2">F18+F19+F20</f>
        <v>36.338667316999995</v>
      </c>
      <c r="G21" s="282">
        <f t="shared" si="2"/>
        <v>11.3592546</v>
      </c>
      <c r="H21" s="282">
        <f t="shared" si="2"/>
        <v>48.811287999999998</v>
      </c>
      <c r="I21" s="282">
        <f t="shared" si="2"/>
        <v>29.220261799999999</v>
      </c>
      <c r="J21" s="282">
        <f t="shared" si="2"/>
        <v>30.476285499999999</v>
      </c>
      <c r="K21" s="282">
        <f t="shared" si="2"/>
        <v>7.2363488</v>
      </c>
      <c r="L21" s="282">
        <f t="shared" si="2"/>
        <v>1.8689197</v>
      </c>
      <c r="M21" s="282">
        <f t="shared" si="2"/>
        <v>0</v>
      </c>
      <c r="N21" s="282">
        <f t="shared" si="2"/>
        <v>1.2496563999999999</v>
      </c>
      <c r="O21" s="282">
        <f t="shared" si="2"/>
        <v>1.2615209000000001</v>
      </c>
      <c r="P21" s="282">
        <f t="shared" si="2"/>
        <v>9.3052701659999997</v>
      </c>
      <c r="Q21" s="282">
        <f t="shared" si="2"/>
        <v>2.301608146</v>
      </c>
      <c r="R21" s="282">
        <f t="shared" si="2"/>
        <v>2.9784778199999997</v>
      </c>
      <c r="S21" s="282">
        <f t="shared" si="2"/>
        <v>2.7367430000000001</v>
      </c>
      <c r="T21" s="282">
        <f t="shared" si="2"/>
        <v>2.9725608000000001</v>
      </c>
      <c r="U21" s="282">
        <f t="shared" si="2"/>
        <v>1.6466178</v>
      </c>
      <c r="V21" s="282">
        <f t="shared" si="2"/>
        <v>1.3525128</v>
      </c>
    </row>
    <row r="22" spans="2:22" ht="51.75" customHeight="1" x14ac:dyDescent="0.2">
      <c r="B22" s="95" t="s">
        <v>349</v>
      </c>
      <c r="C22" s="289" t="s">
        <v>350</v>
      </c>
      <c r="D22" s="279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86"/>
      <c r="P22" s="286"/>
      <c r="Q22" s="286"/>
      <c r="R22" s="286"/>
      <c r="S22" s="286"/>
      <c r="T22" s="286"/>
      <c r="U22" s="286"/>
      <c r="V22" s="286"/>
    </row>
    <row r="23" spans="2:22" ht="51.75" customHeight="1" x14ac:dyDescent="0.2">
      <c r="B23" s="96">
        <f>B21+1</f>
        <v>12</v>
      </c>
      <c r="C23" s="289" t="s">
        <v>351</v>
      </c>
      <c r="D23" s="279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286"/>
    </row>
    <row r="24" spans="2:22" ht="51.75" customHeight="1" x14ac:dyDescent="0.2">
      <c r="B24" s="96"/>
      <c r="C24" s="289" t="s">
        <v>352</v>
      </c>
      <c r="D24" s="279" t="s">
        <v>491</v>
      </c>
      <c r="E24" s="286"/>
      <c r="F24" s="286"/>
      <c r="G24" s="286"/>
      <c r="H24" s="286"/>
      <c r="I24" s="286"/>
      <c r="J24" s="286"/>
      <c r="K24" s="286"/>
      <c r="L24" s="286"/>
      <c r="M24" s="286"/>
      <c r="N24" s="286"/>
      <c r="O24" s="286"/>
      <c r="P24" s="286"/>
      <c r="Q24" s="286"/>
      <c r="R24" s="286"/>
      <c r="S24" s="286"/>
      <c r="T24" s="286"/>
      <c r="U24" s="286"/>
      <c r="V24" s="286"/>
    </row>
    <row r="25" spans="2:22" ht="51.75" customHeight="1" x14ac:dyDescent="0.2">
      <c r="B25" s="96"/>
      <c r="C25" s="289" t="s">
        <v>353</v>
      </c>
      <c r="D25" s="279" t="s">
        <v>491</v>
      </c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6"/>
    </row>
    <row r="26" spans="2:22" ht="51.75" customHeight="1" x14ac:dyDescent="0.2">
      <c r="B26" s="96"/>
      <c r="C26" s="289" t="s">
        <v>354</v>
      </c>
      <c r="D26" s="279" t="s">
        <v>491</v>
      </c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86"/>
      <c r="P26" s="286"/>
      <c r="Q26" s="286"/>
      <c r="R26" s="286"/>
      <c r="S26" s="286"/>
      <c r="T26" s="286"/>
      <c r="U26" s="286"/>
      <c r="V26" s="286"/>
    </row>
    <row r="27" spans="2:22" ht="51.75" customHeight="1" x14ac:dyDescent="0.2">
      <c r="B27" s="96"/>
      <c r="C27" s="289" t="s">
        <v>9</v>
      </c>
      <c r="D27" s="279" t="s">
        <v>491</v>
      </c>
      <c r="E27" s="286"/>
      <c r="F27" s="286"/>
      <c r="G27" s="286"/>
      <c r="H27" s="286"/>
      <c r="I27" s="286"/>
      <c r="J27" s="286"/>
      <c r="K27" s="286"/>
      <c r="L27" s="286"/>
      <c r="M27" s="286"/>
      <c r="N27" s="286"/>
      <c r="O27" s="286"/>
      <c r="P27" s="286"/>
      <c r="Q27" s="286"/>
      <c r="R27" s="286"/>
      <c r="S27" s="286"/>
      <c r="T27" s="286"/>
      <c r="U27" s="286"/>
      <c r="V27" s="286"/>
    </row>
    <row r="28" spans="2:22" ht="51.75" customHeight="1" x14ac:dyDescent="0.2">
      <c r="B28" s="96">
        <f>B23+1</f>
        <v>13</v>
      </c>
      <c r="C28" s="289" t="s">
        <v>443</v>
      </c>
      <c r="D28" s="279" t="s">
        <v>491</v>
      </c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86"/>
      <c r="P28" s="286"/>
      <c r="Q28" s="286"/>
      <c r="R28" s="286"/>
      <c r="S28" s="286"/>
      <c r="T28" s="286"/>
      <c r="U28" s="286"/>
      <c r="V28" s="286"/>
    </row>
    <row r="29" spans="2:22" ht="51.75" customHeight="1" x14ac:dyDescent="0.2">
      <c r="B29" s="96">
        <f>B28+1</f>
        <v>14</v>
      </c>
      <c r="C29" s="289" t="s">
        <v>355</v>
      </c>
      <c r="D29" s="279" t="s">
        <v>491</v>
      </c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6"/>
      <c r="P29" s="286"/>
      <c r="Q29" s="286"/>
      <c r="R29" s="286"/>
      <c r="S29" s="286"/>
      <c r="T29" s="286"/>
      <c r="U29" s="286"/>
      <c r="V29" s="286"/>
    </row>
    <row r="30" spans="2:22" ht="51.75" customHeight="1" x14ac:dyDescent="0.2">
      <c r="B30" s="96">
        <f>B29+1</f>
        <v>15</v>
      </c>
      <c r="C30" s="289" t="s">
        <v>444</v>
      </c>
      <c r="D30" s="279" t="s">
        <v>491</v>
      </c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86"/>
      <c r="P30" s="286"/>
      <c r="Q30" s="286"/>
      <c r="R30" s="286"/>
      <c r="S30" s="286"/>
      <c r="T30" s="286"/>
      <c r="U30" s="286"/>
      <c r="V30" s="286"/>
    </row>
    <row r="31" spans="2:22" ht="51.75" customHeight="1" x14ac:dyDescent="0.2">
      <c r="B31" s="96">
        <f>B30+1</f>
        <v>16</v>
      </c>
      <c r="C31" s="289" t="s">
        <v>356</v>
      </c>
      <c r="D31" s="279" t="s">
        <v>491</v>
      </c>
      <c r="E31" s="281">
        <f>SUM(E24:E30)</f>
        <v>0</v>
      </c>
      <c r="F31" s="281">
        <f t="shared" ref="F31:V31" si="3">SUM(F24:F30)</f>
        <v>0</v>
      </c>
      <c r="G31" s="281">
        <f t="shared" si="3"/>
        <v>0</v>
      </c>
      <c r="H31" s="281">
        <f t="shared" si="3"/>
        <v>0</v>
      </c>
      <c r="I31" s="281">
        <f t="shared" si="3"/>
        <v>0</v>
      </c>
      <c r="J31" s="281">
        <f t="shared" si="3"/>
        <v>0</v>
      </c>
      <c r="K31" s="281">
        <f t="shared" si="3"/>
        <v>0</v>
      </c>
      <c r="L31" s="281">
        <f t="shared" si="3"/>
        <v>0</v>
      </c>
      <c r="M31" s="281">
        <f t="shared" si="3"/>
        <v>0</v>
      </c>
      <c r="N31" s="281">
        <f t="shared" si="3"/>
        <v>0</v>
      </c>
      <c r="O31" s="281">
        <f t="shared" si="3"/>
        <v>0</v>
      </c>
      <c r="P31" s="281">
        <f t="shared" si="3"/>
        <v>0</v>
      </c>
      <c r="Q31" s="281">
        <f t="shared" si="3"/>
        <v>0</v>
      </c>
      <c r="R31" s="281">
        <f t="shared" si="3"/>
        <v>0</v>
      </c>
      <c r="S31" s="281">
        <f t="shared" si="3"/>
        <v>0</v>
      </c>
      <c r="T31" s="281">
        <f t="shared" si="3"/>
        <v>0</v>
      </c>
      <c r="U31" s="281">
        <f t="shared" si="3"/>
        <v>0</v>
      </c>
      <c r="V31" s="281">
        <f t="shared" si="3"/>
        <v>0</v>
      </c>
    </row>
    <row r="32" spans="2:22" ht="51.75" customHeight="1" x14ac:dyDescent="0.2">
      <c r="B32" s="96">
        <f>B31+1</f>
        <v>17</v>
      </c>
      <c r="C32" s="289" t="s">
        <v>445</v>
      </c>
      <c r="D32" s="279" t="s">
        <v>491</v>
      </c>
      <c r="E32" s="282">
        <f>E21+E31</f>
        <v>23.0741364</v>
      </c>
      <c r="F32" s="282">
        <f t="shared" ref="F32:V32" si="4">F21+F31</f>
        <v>36.338667316999995</v>
      </c>
      <c r="G32" s="282">
        <f t="shared" si="4"/>
        <v>11.3592546</v>
      </c>
      <c r="H32" s="282">
        <f t="shared" si="4"/>
        <v>48.811287999999998</v>
      </c>
      <c r="I32" s="282">
        <f t="shared" si="4"/>
        <v>29.220261799999999</v>
      </c>
      <c r="J32" s="282">
        <f t="shared" si="4"/>
        <v>30.476285499999999</v>
      </c>
      <c r="K32" s="282">
        <f t="shared" si="4"/>
        <v>7.2363488</v>
      </c>
      <c r="L32" s="282">
        <f t="shared" si="4"/>
        <v>1.8689197</v>
      </c>
      <c r="M32" s="282">
        <f t="shared" si="4"/>
        <v>0</v>
      </c>
      <c r="N32" s="282">
        <f t="shared" si="4"/>
        <v>1.2496563999999999</v>
      </c>
      <c r="O32" s="282">
        <f t="shared" si="4"/>
        <v>1.2615209000000001</v>
      </c>
      <c r="P32" s="282">
        <f t="shared" si="4"/>
        <v>9.3052701659999997</v>
      </c>
      <c r="Q32" s="282">
        <f t="shared" si="4"/>
        <v>2.301608146</v>
      </c>
      <c r="R32" s="282">
        <f t="shared" si="4"/>
        <v>2.9784778199999997</v>
      </c>
      <c r="S32" s="282">
        <f t="shared" si="4"/>
        <v>2.7367430000000001</v>
      </c>
      <c r="T32" s="282">
        <f t="shared" si="4"/>
        <v>2.9725608000000001</v>
      </c>
      <c r="U32" s="282">
        <f t="shared" si="4"/>
        <v>1.6466178</v>
      </c>
      <c r="V32" s="282">
        <f t="shared" si="4"/>
        <v>1.3525128</v>
      </c>
    </row>
    <row r="33" spans="2:22" ht="51.75" customHeight="1" x14ac:dyDescent="0.2">
      <c r="B33" s="95" t="s">
        <v>357</v>
      </c>
      <c r="C33" s="289" t="s">
        <v>201</v>
      </c>
      <c r="D33" s="279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6"/>
      <c r="P33" s="286"/>
      <c r="Q33" s="286"/>
      <c r="R33" s="286"/>
      <c r="S33" s="286"/>
      <c r="T33" s="286"/>
      <c r="U33" s="286"/>
      <c r="V33" s="286"/>
    </row>
    <row r="34" spans="2:22" ht="51.75" customHeight="1" x14ac:dyDescent="0.2">
      <c r="B34" s="96">
        <f>B32+1</f>
        <v>18</v>
      </c>
      <c r="C34" s="289" t="s">
        <v>446</v>
      </c>
      <c r="D34" s="279" t="s">
        <v>516</v>
      </c>
      <c r="E34" s="281">
        <f t="shared" ref="E34:V34" si="5">IFERROR((E10+E32)/(E9+E16),0)*10000000</f>
        <v>73063.546164418542</v>
      </c>
      <c r="F34" s="281">
        <f t="shared" si="5"/>
        <v>82782.114036059196</v>
      </c>
      <c r="G34" s="281">
        <f t="shared" si="5"/>
        <v>83313.297232220139</v>
      </c>
      <c r="H34" s="281">
        <f t="shared" si="5"/>
        <v>77898.835275428399</v>
      </c>
      <c r="I34" s="281">
        <f t="shared" si="5"/>
        <v>70152.564153381449</v>
      </c>
      <c r="J34" s="281">
        <f t="shared" si="5"/>
        <v>65417.975340687946</v>
      </c>
      <c r="K34" s="281">
        <f t="shared" si="5"/>
        <v>65971.429464969857</v>
      </c>
      <c r="L34" s="281">
        <f t="shared" si="5"/>
        <v>65146.972624113499</v>
      </c>
      <c r="M34" s="281">
        <f t="shared" si="5"/>
        <v>65112.989673970143</v>
      </c>
      <c r="N34" s="281">
        <f t="shared" si="5"/>
        <v>65347.901948464518</v>
      </c>
      <c r="O34" s="281">
        <f t="shared" si="5"/>
        <v>64700.618633404069</v>
      </c>
      <c r="P34" s="281">
        <f t="shared" si="5"/>
        <v>63910.475631686946</v>
      </c>
      <c r="Q34" s="281">
        <f t="shared" si="5"/>
        <v>64751.685979069036</v>
      </c>
      <c r="R34" s="281">
        <f t="shared" si="5"/>
        <v>64073.411575120823</v>
      </c>
      <c r="S34" s="281">
        <f t="shared" si="5"/>
        <v>63238.831633450522</v>
      </c>
      <c r="T34" s="281">
        <f t="shared" si="5"/>
        <v>62819.390094931579</v>
      </c>
      <c r="U34" s="281">
        <f t="shared" si="5"/>
        <v>62726.863514634118</v>
      </c>
      <c r="V34" s="281">
        <f t="shared" si="5"/>
        <v>63207.312022365775</v>
      </c>
    </row>
    <row r="35" spans="2:22" ht="51.75" customHeight="1" x14ac:dyDescent="0.2">
      <c r="B35" s="96">
        <f>B34+1</f>
        <v>19</v>
      </c>
      <c r="C35" s="289" t="s">
        <v>359</v>
      </c>
      <c r="D35" s="279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6"/>
      <c r="P35" s="286"/>
      <c r="Q35" s="286"/>
      <c r="R35" s="286"/>
      <c r="S35" s="286"/>
      <c r="T35" s="286"/>
      <c r="U35" s="286"/>
      <c r="V35" s="286"/>
    </row>
    <row r="36" spans="2:22" ht="51.75" customHeight="1" x14ac:dyDescent="0.2">
      <c r="B36" s="96">
        <f>B35+1</f>
        <v>20</v>
      </c>
      <c r="C36" s="289" t="s">
        <v>447</v>
      </c>
      <c r="D36" s="279" t="s">
        <v>516</v>
      </c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86"/>
      <c r="P36" s="286"/>
      <c r="Q36" s="286"/>
      <c r="R36" s="286"/>
      <c r="S36" s="286"/>
      <c r="T36" s="286"/>
      <c r="U36" s="286"/>
      <c r="V36" s="286"/>
    </row>
    <row r="37" spans="2:22" ht="51.75" customHeight="1" x14ac:dyDescent="0.2">
      <c r="B37" s="95" t="s">
        <v>360</v>
      </c>
      <c r="C37" s="289" t="s">
        <v>361</v>
      </c>
      <c r="D37" s="279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6"/>
      <c r="P37" s="286"/>
      <c r="Q37" s="286"/>
      <c r="R37" s="286"/>
      <c r="S37" s="286"/>
      <c r="T37" s="286"/>
      <c r="U37" s="286"/>
      <c r="V37" s="286"/>
    </row>
    <row r="38" spans="2:22" ht="51.75" customHeight="1" x14ac:dyDescent="0.2">
      <c r="B38" s="96">
        <f>B36+1</f>
        <v>21</v>
      </c>
      <c r="C38" s="289" t="s">
        <v>448</v>
      </c>
      <c r="D38" s="279" t="s">
        <v>362</v>
      </c>
      <c r="E38" s="286"/>
      <c r="F38" s="286"/>
      <c r="G38" s="286"/>
      <c r="H38" s="286"/>
      <c r="I38" s="286"/>
      <c r="J38" s="286"/>
      <c r="K38" s="286"/>
      <c r="L38" s="286"/>
      <c r="M38" s="286"/>
      <c r="N38" s="286"/>
      <c r="O38" s="286"/>
      <c r="P38" s="286"/>
      <c r="Q38" s="286"/>
      <c r="R38" s="286"/>
      <c r="S38" s="286"/>
      <c r="T38" s="286"/>
      <c r="U38" s="286"/>
      <c r="V38" s="286"/>
    </row>
    <row r="39" spans="2:22" ht="51.75" customHeight="1" x14ac:dyDescent="0.2">
      <c r="B39" s="96">
        <f>B38+1</f>
        <v>22</v>
      </c>
      <c r="C39" s="289" t="s">
        <v>449</v>
      </c>
      <c r="D39" s="279" t="s">
        <v>362</v>
      </c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6"/>
      <c r="P39" s="286"/>
      <c r="Q39" s="286"/>
      <c r="R39" s="286"/>
      <c r="S39" s="286"/>
      <c r="T39" s="286"/>
      <c r="U39" s="286"/>
      <c r="V39" s="286"/>
    </row>
    <row r="40" spans="2:22" ht="51.75" customHeight="1" x14ac:dyDescent="0.2">
      <c r="B40" s="96">
        <f t="shared" ref="B40:B47" si="6">B39+1</f>
        <v>23</v>
      </c>
      <c r="C40" s="289" t="s">
        <v>450</v>
      </c>
      <c r="D40" s="279" t="s">
        <v>362</v>
      </c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86"/>
      <c r="P40" s="286"/>
      <c r="Q40" s="286"/>
      <c r="R40" s="286"/>
      <c r="S40" s="286"/>
      <c r="T40" s="286"/>
      <c r="U40" s="286"/>
      <c r="V40" s="286"/>
    </row>
    <row r="41" spans="2:22" ht="51.75" customHeight="1" x14ac:dyDescent="0.2">
      <c r="B41" s="96">
        <f t="shared" si="6"/>
        <v>24</v>
      </c>
      <c r="C41" s="289" t="s">
        <v>451</v>
      </c>
      <c r="D41" s="279" t="s">
        <v>362</v>
      </c>
      <c r="E41" s="286"/>
      <c r="F41" s="286"/>
      <c r="G41" s="286"/>
      <c r="H41" s="286"/>
      <c r="I41" s="286"/>
      <c r="J41" s="286"/>
      <c r="K41" s="286"/>
      <c r="L41" s="286"/>
      <c r="M41" s="286"/>
      <c r="N41" s="286"/>
      <c r="O41" s="286"/>
      <c r="P41" s="286"/>
      <c r="Q41" s="286"/>
      <c r="R41" s="286"/>
      <c r="S41" s="286"/>
      <c r="T41" s="286"/>
      <c r="U41" s="286"/>
      <c r="V41" s="286"/>
    </row>
    <row r="42" spans="2:22" ht="51.75" customHeight="1" x14ac:dyDescent="0.2">
      <c r="B42" s="96">
        <f t="shared" si="6"/>
        <v>25</v>
      </c>
      <c r="C42" s="289" t="s">
        <v>452</v>
      </c>
      <c r="D42" s="279" t="s">
        <v>362</v>
      </c>
      <c r="E42" s="286"/>
      <c r="F42" s="286"/>
      <c r="G42" s="286"/>
      <c r="H42" s="286"/>
      <c r="I42" s="286"/>
      <c r="J42" s="286"/>
      <c r="K42" s="286"/>
      <c r="L42" s="286"/>
      <c r="M42" s="286"/>
      <c r="N42" s="286"/>
      <c r="O42" s="286"/>
      <c r="P42" s="286"/>
      <c r="Q42" s="286"/>
      <c r="R42" s="286"/>
      <c r="S42" s="286"/>
      <c r="T42" s="286"/>
      <c r="U42" s="286"/>
      <c r="V42" s="286"/>
    </row>
    <row r="43" spans="2:22" ht="51.75" customHeight="1" x14ac:dyDescent="0.2">
      <c r="B43" s="96">
        <f t="shared" si="6"/>
        <v>26</v>
      </c>
      <c r="C43" s="289" t="s">
        <v>453</v>
      </c>
      <c r="D43" s="279" t="s">
        <v>362</v>
      </c>
      <c r="E43" s="286"/>
      <c r="F43" s="286"/>
      <c r="G43" s="286"/>
      <c r="H43" s="286"/>
      <c r="I43" s="286"/>
      <c r="J43" s="286"/>
      <c r="K43" s="286"/>
      <c r="L43" s="286"/>
      <c r="M43" s="286"/>
      <c r="N43" s="286"/>
      <c r="O43" s="286"/>
      <c r="P43" s="286"/>
      <c r="Q43" s="286"/>
      <c r="R43" s="286"/>
      <c r="S43" s="286"/>
      <c r="T43" s="286"/>
      <c r="U43" s="286"/>
      <c r="V43" s="286"/>
    </row>
    <row r="44" spans="2:22" ht="51.75" customHeight="1" x14ac:dyDescent="0.2">
      <c r="B44" s="96">
        <f t="shared" si="6"/>
        <v>27</v>
      </c>
      <c r="C44" s="289" t="s">
        <v>454</v>
      </c>
      <c r="D44" s="279" t="s">
        <v>362</v>
      </c>
      <c r="E44" s="286"/>
      <c r="F44" s="286"/>
      <c r="G44" s="286"/>
      <c r="H44" s="286"/>
      <c r="I44" s="286"/>
      <c r="J44" s="286"/>
      <c r="K44" s="286"/>
      <c r="L44" s="286"/>
      <c r="M44" s="286"/>
      <c r="N44" s="286"/>
      <c r="O44" s="286"/>
      <c r="P44" s="286"/>
      <c r="Q44" s="286"/>
      <c r="R44" s="286"/>
      <c r="S44" s="286"/>
      <c r="T44" s="286"/>
      <c r="U44" s="286"/>
      <c r="V44" s="286"/>
    </row>
    <row r="45" spans="2:22" ht="51.75" customHeight="1" x14ac:dyDescent="0.2">
      <c r="B45" s="96">
        <f t="shared" si="6"/>
        <v>28</v>
      </c>
      <c r="C45" s="289" t="s">
        <v>455</v>
      </c>
      <c r="D45" s="279" t="s">
        <v>362</v>
      </c>
      <c r="E45" s="286"/>
      <c r="F45" s="286"/>
      <c r="G45" s="286"/>
      <c r="H45" s="286"/>
      <c r="I45" s="286"/>
      <c r="J45" s="286"/>
      <c r="K45" s="286"/>
      <c r="L45" s="286"/>
      <c r="M45" s="286"/>
      <c r="N45" s="286"/>
      <c r="O45" s="286"/>
      <c r="P45" s="286"/>
      <c r="Q45" s="286"/>
      <c r="R45" s="286"/>
      <c r="S45" s="286"/>
      <c r="T45" s="286"/>
      <c r="U45" s="286"/>
      <c r="V45" s="286"/>
    </row>
    <row r="46" spans="2:22" ht="51.75" customHeight="1" x14ac:dyDescent="0.2">
      <c r="B46" s="96">
        <f t="shared" si="6"/>
        <v>29</v>
      </c>
      <c r="C46" s="289" t="s">
        <v>456</v>
      </c>
      <c r="D46" s="279" t="s">
        <v>362</v>
      </c>
      <c r="E46" s="286"/>
      <c r="F46" s="286"/>
      <c r="G46" s="286"/>
      <c r="H46" s="286"/>
      <c r="I46" s="286"/>
      <c r="J46" s="286"/>
      <c r="K46" s="286"/>
      <c r="L46" s="286"/>
      <c r="M46" s="286"/>
      <c r="N46" s="286"/>
      <c r="O46" s="286"/>
      <c r="P46" s="286"/>
      <c r="Q46" s="286"/>
      <c r="R46" s="286"/>
      <c r="S46" s="286"/>
      <c r="T46" s="286"/>
      <c r="U46" s="286"/>
      <c r="V46" s="286"/>
    </row>
    <row r="47" spans="2:22" ht="51.75" customHeight="1" x14ac:dyDescent="0.2">
      <c r="B47" s="96">
        <f t="shared" si="6"/>
        <v>30</v>
      </c>
      <c r="C47" s="289" t="s">
        <v>457</v>
      </c>
      <c r="D47" s="279" t="s">
        <v>362</v>
      </c>
      <c r="E47" s="286"/>
      <c r="F47" s="286"/>
      <c r="G47" s="286"/>
      <c r="H47" s="286"/>
      <c r="I47" s="286"/>
      <c r="J47" s="286"/>
      <c r="K47" s="286"/>
      <c r="L47" s="286"/>
      <c r="M47" s="286"/>
      <c r="N47" s="286"/>
      <c r="O47" s="286"/>
      <c r="P47" s="286"/>
      <c r="Q47" s="286"/>
      <c r="R47" s="286"/>
      <c r="S47" s="286"/>
      <c r="T47" s="286"/>
      <c r="U47" s="286"/>
      <c r="V47" s="286"/>
    </row>
    <row r="48" spans="2:22" ht="34.5" customHeight="1" x14ac:dyDescent="0.2"/>
    <row r="49" spans="2:15" ht="34.5" customHeight="1" x14ac:dyDescent="0.2">
      <c r="B49" s="291" t="s">
        <v>272</v>
      </c>
    </row>
    <row r="50" spans="2:15" ht="34.5" customHeight="1" x14ac:dyDescent="0.2">
      <c r="B50" s="292">
        <v>1</v>
      </c>
      <c r="C50" s="353" t="s">
        <v>363</v>
      </c>
      <c r="D50" s="353"/>
      <c r="E50" s="353"/>
      <c r="F50" s="353"/>
      <c r="G50" s="353"/>
      <c r="H50" s="353"/>
      <c r="I50" s="353"/>
      <c r="J50" s="353"/>
      <c r="K50" s="353"/>
      <c r="L50" s="353"/>
      <c r="M50" s="353"/>
      <c r="N50" s="353"/>
      <c r="O50" s="353"/>
    </row>
    <row r="51" spans="2:15" ht="34.5" customHeight="1" x14ac:dyDescent="0.2">
      <c r="B51" s="292">
        <f>B50+1</f>
        <v>2</v>
      </c>
      <c r="C51" s="353" t="s">
        <v>364</v>
      </c>
      <c r="D51" s="353"/>
      <c r="E51" s="353"/>
      <c r="F51" s="353"/>
      <c r="G51" s="353"/>
      <c r="H51" s="353"/>
      <c r="I51" s="353"/>
      <c r="J51" s="353"/>
      <c r="K51" s="353"/>
      <c r="L51" s="353"/>
      <c r="M51" s="353"/>
      <c r="N51" s="353"/>
      <c r="O51" s="293"/>
    </row>
    <row r="52" spans="2:15" ht="34.5" customHeight="1" x14ac:dyDescent="0.2">
      <c r="B52" s="292">
        <f>B51+1</f>
        <v>3</v>
      </c>
      <c r="C52" s="353" t="s">
        <v>365</v>
      </c>
      <c r="D52" s="353"/>
      <c r="E52" s="353"/>
      <c r="F52" s="353"/>
      <c r="G52" s="353"/>
      <c r="H52" s="353"/>
      <c r="I52" s="353"/>
      <c r="J52" s="353"/>
      <c r="K52" s="353"/>
      <c r="L52" s="353"/>
      <c r="M52" s="353"/>
      <c r="N52" s="353"/>
      <c r="O52" s="293"/>
    </row>
    <row r="53" spans="2:15" ht="34.5" customHeight="1" x14ac:dyDescent="0.2">
      <c r="B53" s="292">
        <f>B52+1</f>
        <v>4</v>
      </c>
      <c r="C53" s="353" t="s">
        <v>366</v>
      </c>
      <c r="D53" s="353"/>
      <c r="E53" s="353"/>
      <c r="F53" s="353"/>
      <c r="G53" s="353"/>
      <c r="H53" s="353"/>
      <c r="I53" s="353"/>
      <c r="J53" s="353"/>
      <c r="K53" s="353"/>
      <c r="L53" s="353"/>
      <c r="M53" s="353"/>
      <c r="N53" s="353"/>
      <c r="O53" s="293"/>
    </row>
    <row r="54" spans="2:15" ht="34.5" customHeight="1" x14ac:dyDescent="0.2"/>
  </sheetData>
  <mergeCells count="9">
    <mergeCell ref="Q6:V6"/>
    <mergeCell ref="B6:B7"/>
    <mergeCell ref="C6:C7"/>
    <mergeCell ref="D6:D7"/>
    <mergeCell ref="C50:O50"/>
    <mergeCell ref="C51:N51"/>
    <mergeCell ref="C52:N52"/>
    <mergeCell ref="C53:N53"/>
    <mergeCell ref="E6:P6"/>
  </mergeCells>
  <phoneticPr fontId="11" type="noConversion"/>
  <pageMargins left="0.2" right="0.19685039370078741" top="0.41" bottom="0.28999999999999998" header="0.31496062992125984" footer="0.31496062992125984"/>
  <pageSetup paperSize="9" scale="45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31"/>
  <sheetViews>
    <sheetView showGridLines="0" view="pageBreakPreview" zoomScale="60" zoomScaleNormal="80" workbookViewId="0">
      <selection activeCell="I31" sqref="I31"/>
    </sheetView>
  </sheetViews>
  <sheetFormatPr defaultColWidth="9.28515625" defaultRowHeight="15" x14ac:dyDescent="0.2"/>
  <cols>
    <col min="1" max="1" width="1" style="157" customWidth="1"/>
    <col min="2" max="2" width="33.7109375" style="157" customWidth="1"/>
    <col min="3" max="3" width="10" style="157" customWidth="1"/>
    <col min="4" max="4" width="10.7109375" style="157" customWidth="1"/>
    <col min="5" max="5" width="12.42578125" style="157" customWidth="1"/>
    <col min="6" max="6" width="11.28515625" style="157" customWidth="1"/>
    <col min="7" max="7" width="14" style="157" customWidth="1"/>
    <col min="8" max="8" width="13.42578125" style="157" customWidth="1"/>
    <col min="9" max="10" width="12.85546875" style="157" customWidth="1"/>
    <col min="11" max="12" width="12.7109375" style="157" customWidth="1"/>
    <col min="13" max="14" width="12.85546875" style="157" customWidth="1"/>
    <col min="15" max="15" width="14.28515625" style="157" bestFit="1" customWidth="1"/>
    <col min="16" max="16384" width="9.28515625" style="157"/>
  </cols>
  <sheetData>
    <row r="4" spans="2:15" ht="15.75" x14ac:dyDescent="0.2">
      <c r="B4" s="294" t="s">
        <v>551</v>
      </c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</row>
    <row r="5" spans="2:15" ht="15.75" x14ac:dyDescent="0.2">
      <c r="B5" s="294" t="s">
        <v>519</v>
      </c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</row>
    <row r="6" spans="2:15" ht="15.75" x14ac:dyDescent="0.2">
      <c r="B6" s="294" t="s">
        <v>572</v>
      </c>
      <c r="C6" s="294"/>
      <c r="D6" s="294"/>
      <c r="E6" s="294"/>
      <c r="F6" s="294"/>
      <c r="G6" s="294"/>
      <c r="H6" s="294"/>
      <c r="I6" s="294"/>
      <c r="J6" s="294"/>
      <c r="K6" s="294"/>
      <c r="L6" s="294"/>
      <c r="M6" s="294"/>
      <c r="N6" s="294"/>
    </row>
    <row r="8" spans="2:15" ht="33.75" customHeight="1" x14ac:dyDescent="0.2">
      <c r="B8" s="359" t="s">
        <v>18</v>
      </c>
      <c r="C8" s="359" t="s">
        <v>227</v>
      </c>
      <c r="D8" s="359" t="s">
        <v>39</v>
      </c>
      <c r="E8" s="308" t="s">
        <v>522</v>
      </c>
      <c r="F8" s="309"/>
      <c r="G8" s="310"/>
      <c r="H8" s="308" t="s">
        <v>552</v>
      </c>
      <c r="I8" s="309"/>
      <c r="J8" s="340" t="s">
        <v>252</v>
      </c>
      <c r="K8" s="340"/>
      <c r="L8" s="340"/>
      <c r="M8" s="340"/>
      <c r="N8" s="340"/>
    </row>
    <row r="9" spans="2:15" ht="47.25" x14ac:dyDescent="0.2">
      <c r="B9" s="359"/>
      <c r="C9" s="359"/>
      <c r="D9" s="359"/>
      <c r="E9" s="147" t="s">
        <v>397</v>
      </c>
      <c r="F9" s="147" t="s">
        <v>270</v>
      </c>
      <c r="G9" s="147" t="s">
        <v>226</v>
      </c>
      <c r="H9" s="147" t="s">
        <v>433</v>
      </c>
      <c r="I9" s="147" t="s">
        <v>269</v>
      </c>
      <c r="J9" s="147" t="s">
        <v>486</v>
      </c>
      <c r="K9" s="147" t="s">
        <v>487</v>
      </c>
      <c r="L9" s="147" t="s">
        <v>488</v>
      </c>
      <c r="M9" s="147" t="s">
        <v>489</v>
      </c>
      <c r="N9" s="147" t="s">
        <v>490</v>
      </c>
    </row>
    <row r="10" spans="2:15" ht="15.75" x14ac:dyDescent="0.2">
      <c r="B10" s="359"/>
      <c r="C10" s="359"/>
      <c r="D10" s="359"/>
      <c r="E10" s="147" t="s">
        <v>10</v>
      </c>
      <c r="F10" s="147" t="s">
        <v>12</v>
      </c>
      <c r="G10" s="147" t="s">
        <v>259</v>
      </c>
      <c r="H10" s="147" t="s">
        <v>10</v>
      </c>
      <c r="I10" s="147" t="s">
        <v>5</v>
      </c>
      <c r="J10" s="147" t="s">
        <v>8</v>
      </c>
      <c r="K10" s="147" t="s">
        <v>8</v>
      </c>
      <c r="L10" s="147" t="s">
        <v>8</v>
      </c>
      <c r="M10" s="147" t="s">
        <v>8</v>
      </c>
      <c r="N10" s="147" t="s">
        <v>8</v>
      </c>
    </row>
    <row r="11" spans="2:15" ht="18" x14ac:dyDescent="0.25">
      <c r="B11" s="158" t="s">
        <v>183</v>
      </c>
      <c r="C11" s="159" t="s">
        <v>375</v>
      </c>
      <c r="D11" s="159" t="s">
        <v>42</v>
      </c>
      <c r="E11" s="261">
        <v>8.5</v>
      </c>
      <c r="F11" s="247">
        <v>9.1071765109836704</v>
      </c>
      <c r="G11" s="248">
        <f>F11</f>
        <v>9.1071765109836704</v>
      </c>
      <c r="H11" s="248">
        <v>8.5</v>
      </c>
      <c r="I11" s="247">
        <v>9.0370851215009598</v>
      </c>
      <c r="J11" s="249">
        <v>8.5</v>
      </c>
      <c r="K11" s="249">
        <v>8.5</v>
      </c>
      <c r="L11" s="249">
        <v>8.5</v>
      </c>
      <c r="M11" s="249">
        <v>8.5</v>
      </c>
      <c r="N11" s="249">
        <v>8.5</v>
      </c>
      <c r="O11" s="245"/>
    </row>
    <row r="12" spans="2:15" ht="18.75" x14ac:dyDescent="0.3">
      <c r="B12" s="160" t="s">
        <v>225</v>
      </c>
      <c r="C12" s="161" t="s">
        <v>385</v>
      </c>
      <c r="D12" s="161" t="s">
        <v>49</v>
      </c>
      <c r="E12" s="249">
        <v>2273</v>
      </c>
      <c r="F12" s="250">
        <v>2493.2094732920355</v>
      </c>
      <c r="G12" s="246">
        <f t="shared" ref="G12:G18" si="0">F12</f>
        <v>2493.2094732920355</v>
      </c>
      <c r="H12" s="249">
        <v>2273</v>
      </c>
      <c r="I12" s="247">
        <v>2473.6721009034895</v>
      </c>
      <c r="J12" s="249">
        <v>2318.4</v>
      </c>
      <c r="K12" s="249">
        <v>2318.4</v>
      </c>
      <c r="L12" s="249">
        <v>2318.4</v>
      </c>
      <c r="M12" s="249">
        <v>2318.4</v>
      </c>
      <c r="N12" s="249">
        <v>2318.4</v>
      </c>
      <c r="O12" s="244"/>
    </row>
    <row r="13" spans="2:15" ht="18" x14ac:dyDescent="0.2">
      <c r="B13" s="158" t="s">
        <v>369</v>
      </c>
      <c r="C13" s="159" t="s">
        <v>376</v>
      </c>
      <c r="D13" s="159" t="s">
        <v>51</v>
      </c>
      <c r="E13" s="249">
        <v>0.5</v>
      </c>
      <c r="F13" s="248">
        <v>4.2757172509403718</v>
      </c>
      <c r="G13" s="248">
        <f t="shared" si="0"/>
        <v>4.2757172509403718</v>
      </c>
      <c r="H13" s="249">
        <v>0.5</v>
      </c>
      <c r="I13" s="251">
        <v>0.39992447309123785</v>
      </c>
      <c r="J13" s="249">
        <v>0.5</v>
      </c>
      <c r="K13" s="249">
        <v>0.5</v>
      </c>
      <c r="L13" s="249">
        <v>0.5</v>
      </c>
      <c r="M13" s="249">
        <v>0.5</v>
      </c>
      <c r="N13" s="249">
        <v>0.5</v>
      </c>
      <c r="O13" s="244"/>
    </row>
    <row r="14" spans="2:15" ht="18" x14ac:dyDescent="0.2">
      <c r="B14" s="158" t="s">
        <v>370</v>
      </c>
      <c r="C14" s="159" t="s">
        <v>377</v>
      </c>
      <c r="D14" s="159" t="s">
        <v>378</v>
      </c>
      <c r="E14" s="249">
        <v>9819</v>
      </c>
      <c r="F14" s="249">
        <v>9819</v>
      </c>
      <c r="G14" s="249">
        <f t="shared" si="0"/>
        <v>9819</v>
      </c>
      <c r="H14" s="249">
        <v>9819</v>
      </c>
      <c r="I14" s="249">
        <v>9819</v>
      </c>
      <c r="J14" s="249">
        <v>9819</v>
      </c>
      <c r="K14" s="249">
        <v>9819</v>
      </c>
      <c r="L14" s="249">
        <v>9819</v>
      </c>
      <c r="M14" s="249">
        <v>9819</v>
      </c>
      <c r="N14" s="249">
        <v>9819</v>
      </c>
      <c r="O14" s="244"/>
    </row>
    <row r="15" spans="2:15" ht="18.75" x14ac:dyDescent="0.3">
      <c r="B15" s="158" t="s">
        <v>371</v>
      </c>
      <c r="C15" s="159" t="s">
        <v>379</v>
      </c>
      <c r="D15" s="159" t="s">
        <v>380</v>
      </c>
      <c r="E15" s="248">
        <v>7.1476993347751497E-2</v>
      </c>
      <c r="F15" s="252">
        <v>7.1476993347751497E-2</v>
      </c>
      <c r="G15" s="248">
        <f t="shared" si="0"/>
        <v>7.1476993347751497E-2</v>
      </c>
      <c r="H15" s="248">
        <v>6.4828626181229768E-2</v>
      </c>
      <c r="I15" s="251">
        <f>64828.6261812298/1000000</f>
        <v>6.4828626181229809E-2</v>
      </c>
      <c r="J15" s="248">
        <v>6.675957655172414E-2</v>
      </c>
      <c r="K15" s="248">
        <f>J15*1.02</f>
        <v>6.8094768082758619E-2</v>
      </c>
      <c r="L15" s="248">
        <f>K15*1.02</f>
        <v>6.9456663444413799E-2</v>
      </c>
      <c r="M15" s="248">
        <f>L15*1.02</f>
        <v>7.0845796713302073E-2</v>
      </c>
      <c r="N15" s="248">
        <f>M15*1.02</f>
        <v>7.2262712647568117E-2</v>
      </c>
      <c r="O15" s="244"/>
    </row>
    <row r="16" spans="2:15" ht="18.75" x14ac:dyDescent="0.3">
      <c r="B16" s="158" t="s">
        <v>386</v>
      </c>
      <c r="C16" s="159" t="s">
        <v>381</v>
      </c>
      <c r="D16" s="159" t="s">
        <v>362</v>
      </c>
      <c r="E16" s="246">
        <v>3450.8752743485938</v>
      </c>
      <c r="F16" s="250">
        <v>3450.8752743485938</v>
      </c>
      <c r="G16" s="246">
        <f t="shared" si="0"/>
        <v>3450.8752743485938</v>
      </c>
      <c r="H16" s="246">
        <v>3287.6485232412406</v>
      </c>
      <c r="I16" s="253">
        <v>3287.6485232412406</v>
      </c>
      <c r="J16" s="246">
        <v>3523.046756372858</v>
      </c>
      <c r="K16" s="246">
        <v>3523.046756372858</v>
      </c>
      <c r="L16" s="246">
        <v>3523.046756372858</v>
      </c>
      <c r="M16" s="246">
        <v>3523.046756372858</v>
      </c>
      <c r="N16" s="246">
        <v>3523.046756372858</v>
      </c>
      <c r="O16" s="244"/>
    </row>
    <row r="17" spans="2:15" ht="18.75" x14ac:dyDescent="0.3">
      <c r="B17" s="158" t="s">
        <v>372</v>
      </c>
      <c r="C17" s="159" t="s">
        <v>382</v>
      </c>
      <c r="D17" s="159" t="s">
        <v>383</v>
      </c>
      <c r="E17" s="248">
        <v>4.2758016932197789</v>
      </c>
      <c r="F17" s="252">
        <v>4.2758016932197789</v>
      </c>
      <c r="G17" s="248">
        <f t="shared" si="0"/>
        <v>4.2758016932197789</v>
      </c>
      <c r="H17" s="248">
        <v>4.3448063282539904</v>
      </c>
      <c r="I17" s="251">
        <f>4344.80632825399/1000</f>
        <v>4.3448063282539895</v>
      </c>
      <c r="J17" s="248">
        <v>4.5997404714941421</v>
      </c>
      <c r="K17" s="248">
        <f>J17*1.02</f>
        <v>4.6917352809240249</v>
      </c>
      <c r="L17" s="248">
        <f>K17*1.02</f>
        <v>4.7855699865425052</v>
      </c>
      <c r="M17" s="248">
        <f>L17*1.02</f>
        <v>4.8812813862733551</v>
      </c>
      <c r="N17" s="248">
        <f>M17*1.02</f>
        <v>4.9789070139988221</v>
      </c>
      <c r="O17" s="244"/>
    </row>
    <row r="18" spans="2:15" ht="18.75" x14ac:dyDescent="0.2">
      <c r="B18" s="158" t="s">
        <v>373</v>
      </c>
      <c r="C18" s="159"/>
      <c r="D18" s="159" t="s">
        <v>384</v>
      </c>
      <c r="E18" s="249">
        <v>0.77</v>
      </c>
      <c r="F18" s="254">
        <v>0.71032013930661653</v>
      </c>
      <c r="G18" s="248">
        <f t="shared" si="0"/>
        <v>0.71032013930661653</v>
      </c>
      <c r="H18" s="249">
        <v>0.77</v>
      </c>
      <c r="I18" s="251">
        <v>0.75121936698614122</v>
      </c>
      <c r="J18" s="248">
        <f t="shared" ref="J18:N18" si="1">(J12-(J13*J14/1000))/J16</f>
        <v>0.65667323200156646</v>
      </c>
      <c r="K18" s="248">
        <f t="shared" si="1"/>
        <v>0.65667323200156646</v>
      </c>
      <c r="L18" s="248">
        <f t="shared" si="1"/>
        <v>0.65667323200156646</v>
      </c>
      <c r="M18" s="248">
        <f t="shared" si="1"/>
        <v>0.65667323200156646</v>
      </c>
      <c r="N18" s="248">
        <f t="shared" si="1"/>
        <v>0.65667323200156646</v>
      </c>
      <c r="O18" s="244"/>
    </row>
    <row r="19" spans="2:15" ht="18" x14ac:dyDescent="0.2">
      <c r="B19" s="158" t="s">
        <v>544</v>
      </c>
      <c r="C19" s="159"/>
      <c r="D19" s="159" t="s">
        <v>545</v>
      </c>
      <c r="E19" s="255">
        <f t="shared" ref="E19:H19" si="2">IFERROR(((E12-E13*E14/1000)*E17/E16)*100/(100-E11),0)</f>
        <v>3.071337749107653</v>
      </c>
      <c r="F19" s="255">
        <f t="shared" si="2"/>
        <v>3.3415047940967084</v>
      </c>
      <c r="G19" s="255">
        <f t="shared" si="2"/>
        <v>3.3415047940967084</v>
      </c>
      <c r="H19" s="255">
        <f t="shared" si="2"/>
        <v>3.2758524043813151</v>
      </c>
      <c r="I19" s="248">
        <f>IFERROR(((I12-I13*I14/1000)*I17/I16)*100/(100-I11),0)</f>
        <v>3.5881685013590445</v>
      </c>
      <c r="J19" s="248">
        <f>IFERROR(((J12-J13*J14/1000)*J17/J16)*100/(100-J11),0)</f>
        <v>3.3011217942999642</v>
      </c>
      <c r="K19" s="248">
        <f t="shared" ref="K19:N19" si="3">IFERROR(((K12-K13*K14/1000)*K17/K16)*100/(100-K11),0)</f>
        <v>3.3671442301859638</v>
      </c>
      <c r="L19" s="248">
        <f t="shared" si="3"/>
        <v>3.4344871147896825</v>
      </c>
      <c r="M19" s="248">
        <f t="shared" si="3"/>
        <v>3.5031768570854762</v>
      </c>
      <c r="N19" s="248">
        <f t="shared" si="3"/>
        <v>3.5732403942271853</v>
      </c>
      <c r="O19" s="244"/>
    </row>
    <row r="20" spans="2:15" ht="18" x14ac:dyDescent="0.2">
      <c r="B20" s="158" t="s">
        <v>546</v>
      </c>
      <c r="C20" s="159"/>
      <c r="D20" s="159" t="s">
        <v>545</v>
      </c>
      <c r="E20" s="255">
        <f t="shared" ref="E20:H20" si="4">(E13*E15)/(100-E11)*100</f>
        <v>3.9058466310246724E-2</v>
      </c>
      <c r="F20" s="255">
        <f t="shared" si="4"/>
        <v>0.33623712166809566</v>
      </c>
      <c r="G20" s="255">
        <f t="shared" si="4"/>
        <v>0.33623712166809566</v>
      </c>
      <c r="H20" s="255">
        <f t="shared" si="4"/>
        <v>3.5425478787557245E-2</v>
      </c>
      <c r="I20" s="248">
        <f t="shared" ref="I20:N20" si="5">(I13*I15)/(100-I11)*100</f>
        <v>2.8502334386917755E-2</v>
      </c>
      <c r="J20" s="248">
        <f t="shared" si="5"/>
        <v>3.6480642924439421E-2</v>
      </c>
      <c r="K20" s="248">
        <f t="shared" si="5"/>
        <v>3.7210255782928206E-2</v>
      </c>
      <c r="L20" s="248">
        <f t="shared" si="5"/>
        <v>3.7954460898586777E-2</v>
      </c>
      <c r="M20" s="248">
        <f t="shared" si="5"/>
        <v>3.8713550116558512E-2</v>
      </c>
      <c r="N20" s="248">
        <f t="shared" si="5"/>
        <v>3.9487821118889682E-2</v>
      </c>
      <c r="O20" s="244"/>
    </row>
    <row r="21" spans="2:15" ht="18" x14ac:dyDescent="0.2">
      <c r="B21" s="162" t="s">
        <v>374</v>
      </c>
      <c r="C21" s="159"/>
      <c r="D21" s="162" t="s">
        <v>221</v>
      </c>
      <c r="E21" s="256">
        <f t="shared" ref="E21:N21" si="6">IFERROR(((E12-E13*E14/1000)*E17/E16+E13*E15)*100/(100-E11),0)</f>
        <v>3.1103962154178997</v>
      </c>
      <c r="F21" s="256">
        <f t="shared" si="6"/>
        <v>3.6777419157648041</v>
      </c>
      <c r="G21" s="256">
        <f t="shared" si="6"/>
        <v>3.6777419157648041</v>
      </c>
      <c r="H21" s="256">
        <f t="shared" si="6"/>
        <v>3.3112778831688727</v>
      </c>
      <c r="I21" s="257">
        <f t="shared" si="6"/>
        <v>3.6166708357459623</v>
      </c>
      <c r="J21" s="257">
        <f t="shared" si="6"/>
        <v>3.3376024372244033</v>
      </c>
      <c r="K21" s="257">
        <f t="shared" si="6"/>
        <v>3.4043544859688923</v>
      </c>
      <c r="L21" s="257">
        <f t="shared" si="6"/>
        <v>3.4724415756882694</v>
      </c>
      <c r="M21" s="257">
        <f t="shared" si="6"/>
        <v>3.5418904072020352</v>
      </c>
      <c r="N21" s="257">
        <f t="shared" si="6"/>
        <v>3.6127282153460745</v>
      </c>
      <c r="O21" s="244"/>
    </row>
    <row r="22" spans="2:15" x14ac:dyDescent="0.2">
      <c r="E22" s="163"/>
      <c r="F22" s="163"/>
      <c r="G22" s="163"/>
      <c r="H22" s="163"/>
      <c r="I22" s="163"/>
      <c r="J22" s="163"/>
      <c r="K22" s="163"/>
      <c r="L22" s="163"/>
      <c r="M22" s="163"/>
      <c r="N22" s="163"/>
    </row>
    <row r="23" spans="2:15" x14ac:dyDescent="0.2">
      <c r="I23" s="163"/>
      <c r="J23" s="163"/>
      <c r="K23" s="163"/>
      <c r="L23" s="163"/>
      <c r="M23" s="163"/>
      <c r="N23" s="163"/>
    </row>
    <row r="24" spans="2:15" ht="29.25" customHeight="1" x14ac:dyDescent="0.2">
      <c r="B24" s="356" t="s">
        <v>562</v>
      </c>
      <c r="C24" s="357"/>
      <c r="D24" s="357"/>
      <c r="E24" s="357"/>
      <c r="F24" s="357"/>
      <c r="G24" s="357"/>
      <c r="H24" s="357"/>
      <c r="I24" s="357"/>
      <c r="J24" s="357"/>
      <c r="K24" s="357"/>
      <c r="L24" s="357"/>
      <c r="M24" s="357"/>
      <c r="N24" s="358"/>
    </row>
    <row r="25" spans="2:15" x14ac:dyDescent="0.2">
      <c r="E25" s="163"/>
    </row>
    <row r="26" spans="2:15" x14ac:dyDescent="0.2">
      <c r="E26" s="163"/>
    </row>
    <row r="28" spans="2:15" x14ac:dyDescent="0.2">
      <c r="J28" s="216"/>
      <c r="K28" s="216"/>
      <c r="L28" s="216"/>
      <c r="M28" s="216"/>
      <c r="N28" s="216"/>
    </row>
    <row r="29" spans="2:15" x14ac:dyDescent="0.2">
      <c r="J29" s="216"/>
      <c r="K29" s="216"/>
      <c r="L29" s="216"/>
      <c r="M29" s="216"/>
      <c r="N29" s="216"/>
    </row>
    <row r="30" spans="2:15" x14ac:dyDescent="0.2">
      <c r="J30" s="216"/>
      <c r="K30" s="216"/>
      <c r="L30" s="216"/>
      <c r="M30" s="216"/>
      <c r="N30" s="216"/>
    </row>
    <row r="31" spans="2:15" x14ac:dyDescent="0.2">
      <c r="J31" s="216"/>
      <c r="K31" s="216"/>
      <c r="L31" s="216"/>
      <c r="M31" s="216"/>
      <c r="N31" s="216"/>
    </row>
  </sheetData>
  <mergeCells count="10">
    <mergeCell ref="B4:N4"/>
    <mergeCell ref="B5:N5"/>
    <mergeCell ref="B6:N6"/>
    <mergeCell ref="B24:N24"/>
    <mergeCell ref="E8:G8"/>
    <mergeCell ref="H8:I8"/>
    <mergeCell ref="J8:N8"/>
    <mergeCell ref="B8:B10"/>
    <mergeCell ref="D8:D10"/>
    <mergeCell ref="C8:C10"/>
  </mergeCells>
  <pageMargins left="0.47" right="0.2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Q24"/>
  <sheetViews>
    <sheetView showGridLines="0" view="pageBreakPreview" zoomScale="70" zoomScaleNormal="80" zoomScaleSheetLayoutView="70" workbookViewId="0">
      <selection activeCell="B5" sqref="B5:P5"/>
    </sheetView>
  </sheetViews>
  <sheetFormatPr defaultColWidth="9.28515625" defaultRowHeight="15" x14ac:dyDescent="0.2"/>
  <cols>
    <col min="1" max="1" width="3" style="6" customWidth="1"/>
    <col min="2" max="2" width="6.28515625" style="6" customWidth="1"/>
    <col min="3" max="3" width="37.28515625" style="6" customWidth="1"/>
    <col min="4" max="4" width="14.28515625" style="6" customWidth="1"/>
    <col min="5" max="5" width="17" style="6" customWidth="1"/>
    <col min="6" max="15" width="17.85546875" style="6" customWidth="1"/>
    <col min="16" max="16" width="15.7109375" style="6" customWidth="1"/>
    <col min="17" max="17" width="9.5703125" style="6" hidden="1" customWidth="1"/>
    <col min="18" max="16384" width="9.28515625" style="6"/>
  </cols>
  <sheetData>
    <row r="2" spans="2:17" x14ac:dyDescent="0.2"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</row>
    <row r="3" spans="2:17" ht="15.75" x14ac:dyDescent="0.2">
      <c r="B3" s="294" t="s">
        <v>551</v>
      </c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62"/>
    </row>
    <row r="4" spans="2:17" s="15" customFormat="1" ht="15.75" x14ac:dyDescent="0.2">
      <c r="B4" s="294" t="s">
        <v>519</v>
      </c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62"/>
    </row>
    <row r="5" spans="2:17" ht="15.75" x14ac:dyDescent="0.2">
      <c r="B5" s="294" t="s">
        <v>563</v>
      </c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62"/>
    </row>
    <row r="7" spans="2:17" ht="20.25" customHeight="1" x14ac:dyDescent="0.2">
      <c r="B7" s="301" t="s">
        <v>210</v>
      </c>
      <c r="C7" s="304" t="s">
        <v>18</v>
      </c>
      <c r="D7" s="298" t="s">
        <v>39</v>
      </c>
      <c r="E7" s="304" t="s">
        <v>1</v>
      </c>
      <c r="F7" s="308" t="s">
        <v>484</v>
      </c>
      <c r="G7" s="309"/>
      <c r="H7" s="310"/>
      <c r="I7" s="308" t="s">
        <v>485</v>
      </c>
      <c r="J7" s="309"/>
      <c r="K7" s="306" t="s">
        <v>252</v>
      </c>
      <c r="L7" s="306"/>
      <c r="M7" s="306"/>
      <c r="N7" s="306"/>
      <c r="O7" s="306"/>
      <c r="P7" s="306" t="s">
        <v>11</v>
      </c>
    </row>
    <row r="8" spans="2:17" ht="43.5" customHeight="1" x14ac:dyDescent="0.2">
      <c r="B8" s="302"/>
      <c r="C8" s="304"/>
      <c r="D8" s="299"/>
      <c r="E8" s="304"/>
      <c r="F8" s="147" t="s">
        <v>397</v>
      </c>
      <c r="G8" s="147" t="s">
        <v>258</v>
      </c>
      <c r="H8" s="147" t="s">
        <v>226</v>
      </c>
      <c r="I8" s="147" t="s">
        <v>397</v>
      </c>
      <c r="J8" s="147" t="s">
        <v>262</v>
      </c>
      <c r="K8" s="147" t="s">
        <v>486</v>
      </c>
      <c r="L8" s="147" t="s">
        <v>487</v>
      </c>
      <c r="M8" s="147" t="s">
        <v>488</v>
      </c>
      <c r="N8" s="147" t="s">
        <v>489</v>
      </c>
      <c r="O8" s="147" t="s">
        <v>490</v>
      </c>
      <c r="P8" s="306"/>
    </row>
    <row r="9" spans="2:17" ht="15.75" x14ac:dyDescent="0.2">
      <c r="B9" s="303"/>
      <c r="C9" s="305"/>
      <c r="D9" s="300"/>
      <c r="E9" s="305"/>
      <c r="F9" s="147" t="s">
        <v>10</v>
      </c>
      <c r="G9" s="147" t="s">
        <v>12</v>
      </c>
      <c r="H9" s="147" t="s">
        <v>259</v>
      </c>
      <c r="I9" s="147" t="s">
        <v>10</v>
      </c>
      <c r="J9" s="147" t="s">
        <v>5</v>
      </c>
      <c r="K9" s="147" t="s">
        <v>8</v>
      </c>
      <c r="L9" s="147" t="s">
        <v>8</v>
      </c>
      <c r="M9" s="147" t="s">
        <v>8</v>
      </c>
      <c r="N9" s="147" t="s">
        <v>8</v>
      </c>
      <c r="O9" s="147" t="s">
        <v>8</v>
      </c>
      <c r="P9" s="307"/>
    </row>
    <row r="10" spans="2:17" ht="15.75" x14ac:dyDescent="0.2">
      <c r="B10" s="198" t="s">
        <v>67</v>
      </c>
      <c r="C10" s="164" t="s">
        <v>265</v>
      </c>
      <c r="D10" s="173"/>
      <c r="E10" s="173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97"/>
    </row>
    <row r="11" spans="2:17" ht="15.75" x14ac:dyDescent="0.2">
      <c r="B11" s="8">
        <v>1</v>
      </c>
      <c r="C11" s="9" t="s">
        <v>36</v>
      </c>
      <c r="D11" s="8" t="s">
        <v>222</v>
      </c>
      <c r="E11" s="199" t="s">
        <v>304</v>
      </c>
      <c r="F11" s="200">
        <f>'F2'!E14</f>
        <v>159.95826</v>
      </c>
      <c r="G11" s="200">
        <f>'F2'!F14</f>
        <v>392.56078816184379</v>
      </c>
      <c r="H11" s="200">
        <f>'F2'!G14</f>
        <v>392.56078816184379</v>
      </c>
      <c r="I11" s="200">
        <f>'F2'!H14</f>
        <v>169.54739999999998</v>
      </c>
      <c r="J11" s="200">
        <f>'F2'!I14</f>
        <v>439.46221099802335</v>
      </c>
      <c r="K11" s="200">
        <f>'F2'!J14</f>
        <v>442.02416705252296</v>
      </c>
      <c r="L11" s="200">
        <f>'F2'!K14</f>
        <v>473.92038623202393</v>
      </c>
      <c r="M11" s="200">
        <f>'F2'!L14</f>
        <v>506.21593236354681</v>
      </c>
      <c r="N11" s="200">
        <f>'F2'!M14</f>
        <v>531.29117256254153</v>
      </c>
      <c r="O11" s="200">
        <f>'F2'!N14</f>
        <v>557.81351155982532</v>
      </c>
      <c r="P11" s="201"/>
      <c r="Q11" s="204">
        <f>SUM(K11:O11)</f>
        <v>2511.2651697704605</v>
      </c>
    </row>
    <row r="12" spans="2:17" ht="15.75" x14ac:dyDescent="0.2">
      <c r="B12" s="8">
        <f t="shared" ref="B12:B17" si="0">B11+1</f>
        <v>2</v>
      </c>
      <c r="C12" s="11" t="s">
        <v>176</v>
      </c>
      <c r="D12" s="8" t="s">
        <v>222</v>
      </c>
      <c r="E12" s="199" t="s">
        <v>23</v>
      </c>
      <c r="F12" s="202">
        <v>329.05</v>
      </c>
      <c r="G12" s="202">
        <f>H12</f>
        <v>360.88027424299997</v>
      </c>
      <c r="H12" s="200">
        <f>'F4'!K21-'F4'!L21</f>
        <v>360.88027424299997</v>
      </c>
      <c r="I12" s="201">
        <v>300.23</v>
      </c>
      <c r="J12" s="200">
        <f>'F4'!K38-'F4'!L38</f>
        <v>371.85340572799993</v>
      </c>
      <c r="K12" s="200">
        <f>'F4'!K55-'F4'!L55</f>
        <v>242.05390056230002</v>
      </c>
      <c r="L12" s="200">
        <f>'F4'!K72-'F4'!L72</f>
        <v>296.28462783502727</v>
      </c>
      <c r="M12" s="200">
        <f>'F4'!K89-'F4'!L89</f>
        <v>347.74105640645587</v>
      </c>
      <c r="N12" s="200">
        <f>'F4'!K106-'F4'!L106</f>
        <v>347.74105640645587</v>
      </c>
      <c r="O12" s="200">
        <f>'F4'!K123-'F4'!L123</f>
        <v>347.74105640645587</v>
      </c>
      <c r="P12" s="258"/>
      <c r="Q12" s="204">
        <f t="shared" ref="Q12:Q17" si="1">SUM(K12:O12)</f>
        <v>1581.5616976166948</v>
      </c>
    </row>
    <row r="13" spans="2:17" ht="15.75" x14ac:dyDescent="0.2">
      <c r="B13" s="8">
        <f t="shared" si="0"/>
        <v>3</v>
      </c>
      <c r="C13" s="9" t="s">
        <v>263</v>
      </c>
      <c r="D13" s="8" t="s">
        <v>222</v>
      </c>
      <c r="E13" s="10" t="s">
        <v>29</v>
      </c>
      <c r="F13" s="200">
        <f>'F5'!D22</f>
        <v>398.79</v>
      </c>
      <c r="G13" s="200">
        <f>'F5'!E22</f>
        <v>442.57994386303835</v>
      </c>
      <c r="H13" s="200">
        <f>'F5'!F22</f>
        <v>442.57994386303835</v>
      </c>
      <c r="I13" s="200">
        <f>'F5'!G22</f>
        <v>420.94</v>
      </c>
      <c r="J13" s="200">
        <f>'F5'!H22</f>
        <v>434.59171232387888</v>
      </c>
      <c r="K13" s="200">
        <f>'F5'!I22</f>
        <v>458.47132054022876</v>
      </c>
      <c r="L13" s="200">
        <f>'F5'!J22</f>
        <v>522.75407475056886</v>
      </c>
      <c r="M13" s="200">
        <f>'F5'!K22</f>
        <v>532.94892081333603</v>
      </c>
      <c r="N13" s="200">
        <f>'F5'!L22</f>
        <v>496.85339915834589</v>
      </c>
      <c r="O13" s="200">
        <f>'F5'!M22</f>
        <v>461.201767558754</v>
      </c>
      <c r="P13" s="258"/>
      <c r="Q13" s="204">
        <f t="shared" si="1"/>
        <v>2472.2294828212334</v>
      </c>
    </row>
    <row r="14" spans="2:17" ht="15.75" x14ac:dyDescent="0.2">
      <c r="B14" s="8">
        <f t="shared" si="0"/>
        <v>4</v>
      </c>
      <c r="C14" s="11" t="s">
        <v>37</v>
      </c>
      <c r="D14" s="8" t="s">
        <v>222</v>
      </c>
      <c r="E14" s="10" t="s">
        <v>30</v>
      </c>
      <c r="F14" s="200">
        <f>'F6'!D20</f>
        <v>63.34</v>
      </c>
      <c r="G14" s="200">
        <f ca="1">'F6'!E20</f>
        <v>86.312976251123132</v>
      </c>
      <c r="H14" s="200">
        <f ca="1">'F6'!F20</f>
        <v>86.312976251123132</v>
      </c>
      <c r="I14" s="200">
        <f>'F6'!G20</f>
        <v>66.11</v>
      </c>
      <c r="J14" s="200">
        <f ca="1">'F6'!H20</f>
        <v>100.23201600959121</v>
      </c>
      <c r="K14" s="200">
        <f ca="1">'F6'!I20</f>
        <v>77.11970632471747</v>
      </c>
      <c r="L14" s="200">
        <f ca="1">'F6'!J20</f>
        <v>82.552535307007147</v>
      </c>
      <c r="M14" s="200">
        <f ca="1">'F6'!K20</f>
        <v>86.663499855655971</v>
      </c>
      <c r="N14" s="200">
        <f ca="1">'F6'!L20</f>
        <v>87.740024872585636</v>
      </c>
      <c r="O14" s="200">
        <f ca="1">'F6'!M20</f>
        <v>88.711183754972538</v>
      </c>
      <c r="P14" s="258"/>
      <c r="Q14" s="204">
        <f t="shared" ca="1" si="1"/>
        <v>422.78695011493875</v>
      </c>
    </row>
    <row r="15" spans="2:17" ht="15.75" x14ac:dyDescent="0.2">
      <c r="B15" s="8">
        <f t="shared" si="0"/>
        <v>5</v>
      </c>
      <c r="C15" s="9" t="s">
        <v>264</v>
      </c>
      <c r="D15" s="8" t="s">
        <v>222</v>
      </c>
      <c r="E15" s="10" t="s">
        <v>31</v>
      </c>
      <c r="F15" s="200">
        <f>'F7'!D22</f>
        <v>406.16</v>
      </c>
      <c r="G15" s="200">
        <f>'F7'!E22</f>
        <v>441.35644119664846</v>
      </c>
      <c r="H15" s="200">
        <f>'F7'!F22</f>
        <v>441.35644119664846</v>
      </c>
      <c r="I15" s="200">
        <f>'F7'!G22</f>
        <v>463.05</v>
      </c>
      <c r="J15" s="200">
        <f>'F7'!H22</f>
        <v>456.85986204658639</v>
      </c>
      <c r="K15" s="200">
        <f>'F7'!I22</f>
        <v>503.83098866020089</v>
      </c>
      <c r="L15" s="200">
        <f>'F7'!J22</f>
        <v>582.32205035840491</v>
      </c>
      <c r="M15" s="200">
        <f>'F7'!K22</f>
        <v>619.62590141477108</v>
      </c>
      <c r="N15" s="200">
        <f>'F7'!L22</f>
        <v>619.62590141477108</v>
      </c>
      <c r="O15" s="200">
        <f>'F7'!M22</f>
        <v>619.62590141477108</v>
      </c>
      <c r="P15" s="258"/>
      <c r="Q15" s="204">
        <f t="shared" si="1"/>
        <v>2945.0307432629188</v>
      </c>
    </row>
    <row r="16" spans="2:17" ht="15.75" x14ac:dyDescent="0.2">
      <c r="B16" s="8">
        <f t="shared" si="0"/>
        <v>6</v>
      </c>
      <c r="C16" s="9" t="s">
        <v>38</v>
      </c>
      <c r="D16" s="8" t="s">
        <v>222</v>
      </c>
      <c r="E16" s="10" t="s">
        <v>32</v>
      </c>
      <c r="F16" s="200"/>
      <c r="G16" s="200">
        <f>'F8'!E22</f>
        <v>4.5000309237250393</v>
      </c>
      <c r="H16" s="200">
        <f>'F8'!F22</f>
        <v>4.5000309237250393</v>
      </c>
      <c r="I16" s="219"/>
      <c r="J16" s="200">
        <f>'F8'!H22</f>
        <v>10.167683867667092</v>
      </c>
      <c r="K16" s="200">
        <f>'F8'!I22</f>
        <v>11.623423473789467</v>
      </c>
      <c r="L16" s="200">
        <f>'F8'!J22</f>
        <v>12.088360412741046</v>
      </c>
      <c r="M16" s="200">
        <f>'F8'!K22</f>
        <v>12.571894829250688</v>
      </c>
      <c r="N16" s="200">
        <f>'F8'!L22</f>
        <v>13.074770622420717</v>
      </c>
      <c r="O16" s="200">
        <f>'F8'!M22</f>
        <v>13.597761447317545</v>
      </c>
      <c r="P16" s="258"/>
      <c r="Q16" s="204">
        <f t="shared" si="1"/>
        <v>62.95621078551946</v>
      </c>
    </row>
    <row r="17" spans="2:17" ht="15.75" x14ac:dyDescent="0.2">
      <c r="B17" s="18">
        <f t="shared" si="0"/>
        <v>7</v>
      </c>
      <c r="C17" s="203" t="s">
        <v>265</v>
      </c>
      <c r="D17" s="18" t="s">
        <v>222</v>
      </c>
      <c r="E17" s="10"/>
      <c r="F17" s="200">
        <f>SUM(F11:F15)-F16</f>
        <v>1357.29826</v>
      </c>
      <c r="G17" s="200">
        <f t="shared" ref="G17:O17" ca="1" si="2">SUM(G11:G15)-G16</f>
        <v>1719.1903927919286</v>
      </c>
      <c r="H17" s="200">
        <f t="shared" ca="1" si="2"/>
        <v>1719.1903927919286</v>
      </c>
      <c r="I17" s="200">
        <f t="shared" si="2"/>
        <v>1419.8774000000001</v>
      </c>
      <c r="J17" s="200">
        <f t="shared" ca="1" si="2"/>
        <v>1792.8315232384127</v>
      </c>
      <c r="K17" s="200">
        <f t="shared" ca="1" si="2"/>
        <v>1711.8766596661808</v>
      </c>
      <c r="L17" s="200">
        <f t="shared" ca="1" si="2"/>
        <v>1945.7453140702912</v>
      </c>
      <c r="M17" s="200">
        <f t="shared" ca="1" si="2"/>
        <v>2080.6234160245149</v>
      </c>
      <c r="N17" s="200">
        <f t="shared" ca="1" si="2"/>
        <v>2070.1767837922794</v>
      </c>
      <c r="O17" s="200">
        <f t="shared" ca="1" si="2"/>
        <v>2061.4956592474609</v>
      </c>
      <c r="P17" s="258"/>
      <c r="Q17" s="204">
        <f t="shared" ca="1" si="1"/>
        <v>9869.9178328007274</v>
      </c>
    </row>
    <row r="18" spans="2:17" ht="15.75" x14ac:dyDescent="0.2">
      <c r="B18" s="18" t="s">
        <v>71</v>
      </c>
      <c r="C18" s="18" t="s">
        <v>266</v>
      </c>
      <c r="D18" s="10"/>
      <c r="E18" s="10"/>
      <c r="F18" s="10"/>
      <c r="G18" s="9"/>
      <c r="H18" s="9"/>
      <c r="I18" s="9"/>
      <c r="J18" s="9"/>
      <c r="K18" s="9"/>
      <c r="L18" s="9"/>
      <c r="M18" s="9"/>
      <c r="N18" s="9"/>
      <c r="O18" s="9"/>
      <c r="P18" s="259"/>
    </row>
    <row r="19" spans="2:17" ht="15.75" x14ac:dyDescent="0.2">
      <c r="B19" s="8">
        <v>1</v>
      </c>
      <c r="C19" s="10" t="s">
        <v>267</v>
      </c>
      <c r="D19" s="8" t="s">
        <v>221</v>
      </c>
      <c r="E19" s="10" t="s">
        <v>172</v>
      </c>
      <c r="F19" s="200">
        <f>'F12'!E21</f>
        <v>3.1103962154178997</v>
      </c>
      <c r="G19" s="200">
        <f>'F12'!F21</f>
        <v>3.6777419157648041</v>
      </c>
      <c r="H19" s="200">
        <f>'F12'!G21</f>
        <v>3.6777419157648041</v>
      </c>
      <c r="I19" s="200">
        <f>'F12'!H21</f>
        <v>3.3112778831688727</v>
      </c>
      <c r="J19" s="200">
        <f>'F12'!I21</f>
        <v>3.6166708357459623</v>
      </c>
      <c r="K19" s="200">
        <f>'F12'!J21</f>
        <v>3.3376024372244033</v>
      </c>
      <c r="L19" s="200">
        <f>'F12'!K21</f>
        <v>3.4043544859688923</v>
      </c>
      <c r="M19" s="200">
        <f>'F12'!L21</f>
        <v>3.4724415756882694</v>
      </c>
      <c r="N19" s="200">
        <f>'F12'!M21</f>
        <v>3.5418904072020352</v>
      </c>
      <c r="O19" s="200">
        <f>'F12'!N21</f>
        <v>3.6127282153460745</v>
      </c>
      <c r="P19" s="259"/>
    </row>
    <row r="20" spans="2:17" ht="15.75" x14ac:dyDescent="0.2">
      <c r="B20" s="8">
        <f>B19+1</f>
        <v>2</v>
      </c>
      <c r="C20" s="10" t="s">
        <v>268</v>
      </c>
      <c r="D20" s="8" t="s">
        <v>45</v>
      </c>
      <c r="E20" s="10" t="s">
        <v>34</v>
      </c>
      <c r="F20" s="200">
        <f>'F10'!F23</f>
        <v>5633.1319999999996</v>
      </c>
      <c r="G20" s="200">
        <f>'F10'!G23</f>
        <v>5633.1319999999996</v>
      </c>
      <c r="H20" s="200">
        <f>G20</f>
        <v>5633.1319999999996</v>
      </c>
      <c r="I20" s="200">
        <f>'F10'!H30</f>
        <v>6325.3909999999996</v>
      </c>
      <c r="J20" s="200">
        <f>'F10'!I30</f>
        <v>6325.3909999999996</v>
      </c>
      <c r="K20" s="200">
        <f>'F10'!J30</f>
        <v>7361.1018000000004</v>
      </c>
      <c r="L20" s="200">
        <f>'F10'!K30</f>
        <v>7361.1018000000004</v>
      </c>
      <c r="M20" s="200">
        <f>'F10'!L30</f>
        <v>7366.2624000000005</v>
      </c>
      <c r="N20" s="200">
        <f>'F10'!M30</f>
        <v>7381.4971500000001</v>
      </c>
      <c r="O20" s="200">
        <f>'F10'!N30</f>
        <v>7361.1018000000004</v>
      </c>
      <c r="P20" s="259"/>
    </row>
    <row r="21" spans="2:17" ht="15.75" x14ac:dyDescent="0.2">
      <c r="B21" s="8">
        <f>B20+1</f>
        <v>3</v>
      </c>
      <c r="C21" s="10" t="s">
        <v>266</v>
      </c>
      <c r="D21" s="8" t="s">
        <v>222</v>
      </c>
      <c r="E21" s="10"/>
      <c r="F21" s="200">
        <f>F19*F20/10</f>
        <v>1752.1272453749461</v>
      </c>
      <c r="G21" s="200">
        <f>G19*G20/10</f>
        <v>2071.7205673436019</v>
      </c>
      <c r="H21" s="200">
        <f t="shared" ref="H21:O21" si="3">H19*H20/10</f>
        <v>2071.7205673436019</v>
      </c>
      <c r="I21" s="200">
        <f t="shared" si="3"/>
        <v>2094.5127320695437</v>
      </c>
      <c r="J21" s="200">
        <f t="shared" si="3"/>
        <v>2287.6857154389986</v>
      </c>
      <c r="K21" s="200">
        <f t="shared" si="3"/>
        <v>2456.8431308336944</v>
      </c>
      <c r="L21" s="200">
        <f t="shared" si="3"/>
        <v>2505.979993450369</v>
      </c>
      <c r="M21" s="200">
        <f t="shared" si="3"/>
        <v>2557.8915815189257</v>
      </c>
      <c r="N21" s="200">
        <f t="shared" si="3"/>
        <v>2614.4453946374165</v>
      </c>
      <c r="O21" s="200">
        <f t="shared" si="3"/>
        <v>2659.3660168894776</v>
      </c>
      <c r="P21" s="259"/>
    </row>
    <row r="22" spans="2:17" ht="15.75" x14ac:dyDescent="0.2">
      <c r="B22" s="18" t="s">
        <v>72</v>
      </c>
      <c r="C22" s="18" t="s">
        <v>432</v>
      </c>
      <c r="D22" s="8" t="s">
        <v>222</v>
      </c>
      <c r="E22" s="9"/>
      <c r="F22" s="200">
        <f>F17+F21</f>
        <v>3109.4255053749462</v>
      </c>
      <c r="G22" s="200">
        <f t="shared" ref="G22:O22" ca="1" si="4">G17+G21</f>
        <v>3790.9109601355303</v>
      </c>
      <c r="H22" s="200">
        <f t="shared" ca="1" si="4"/>
        <v>3790.9109601355303</v>
      </c>
      <c r="I22" s="200">
        <f t="shared" si="4"/>
        <v>3514.3901320695441</v>
      </c>
      <c r="J22" s="200">
        <f t="shared" ca="1" si="4"/>
        <v>4080.5172386774111</v>
      </c>
      <c r="K22" s="200">
        <f t="shared" ca="1" si="4"/>
        <v>4168.7197904998757</v>
      </c>
      <c r="L22" s="200">
        <f t="shared" ca="1" si="4"/>
        <v>4451.72530752066</v>
      </c>
      <c r="M22" s="200">
        <f t="shared" ca="1" si="4"/>
        <v>4638.5149975434406</v>
      </c>
      <c r="N22" s="200">
        <f t="shared" ca="1" si="4"/>
        <v>4684.6221784296959</v>
      </c>
      <c r="O22" s="200">
        <f t="shared" ca="1" si="4"/>
        <v>4720.8616761369385</v>
      </c>
      <c r="P22" s="259"/>
    </row>
    <row r="23" spans="2:17" hidden="1" x14ac:dyDescent="0.2">
      <c r="F23" s="204">
        <f>SUM(F17+F16)</f>
        <v>1357.29826</v>
      </c>
      <c r="G23" s="204">
        <f t="shared" ref="G23:O23" ca="1" si="5">SUM(G17+G16)</f>
        <v>1723.6904237156537</v>
      </c>
      <c r="H23" s="204">
        <f t="shared" ca="1" si="5"/>
        <v>1723.6904237156537</v>
      </c>
      <c r="I23" s="204">
        <f t="shared" si="5"/>
        <v>1419.8774000000001</v>
      </c>
      <c r="J23" s="204">
        <f t="shared" ca="1" si="5"/>
        <v>1802.9992071060799</v>
      </c>
      <c r="K23" s="204">
        <f t="shared" ca="1" si="5"/>
        <v>1723.5000831399702</v>
      </c>
      <c r="L23" s="204">
        <f t="shared" ca="1" si="5"/>
        <v>1957.8336744830322</v>
      </c>
      <c r="M23" s="204">
        <f t="shared" ca="1" si="5"/>
        <v>2093.1953108537655</v>
      </c>
      <c r="N23" s="204">
        <f t="shared" ca="1" si="5"/>
        <v>2083.2515544147</v>
      </c>
      <c r="O23" s="204">
        <f t="shared" ca="1" si="5"/>
        <v>2075.0934206947786</v>
      </c>
      <c r="P23" s="260"/>
    </row>
    <row r="24" spans="2:17" x14ac:dyDescent="0.2">
      <c r="G24" s="265"/>
    </row>
  </sheetData>
  <mergeCells count="11">
    <mergeCell ref="B3:P3"/>
    <mergeCell ref="B4:P4"/>
    <mergeCell ref="B5:P5"/>
    <mergeCell ref="D7:D9"/>
    <mergeCell ref="B7:B9"/>
    <mergeCell ref="C7:C9"/>
    <mergeCell ref="E7:E9"/>
    <mergeCell ref="P7:P9"/>
    <mergeCell ref="K7:O7"/>
    <mergeCell ref="F7:H7"/>
    <mergeCell ref="I7:J7"/>
  </mergeCells>
  <pageMargins left="0.23" right="0.23" top="0.92" bottom="1" header="0.5" footer="0.5"/>
  <pageSetup paperSize="9" scale="53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showGridLines="0" zoomScale="80" zoomScaleNormal="80" workbookViewId="0">
      <selection activeCell="B3" sqref="B3:O3"/>
    </sheetView>
  </sheetViews>
  <sheetFormatPr defaultColWidth="9.28515625" defaultRowHeight="14.25" x14ac:dyDescent="0.2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1:17" x14ac:dyDescent="0.2">
      <c r="B1" s="323" t="s">
        <v>550</v>
      </c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</row>
    <row r="2" spans="1:17" x14ac:dyDescent="0.2"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</row>
    <row r="3" spans="1:17" ht="14.25" customHeight="1" x14ac:dyDescent="0.2">
      <c r="B3" s="323" t="s">
        <v>518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</row>
    <row r="4" spans="1:17" ht="15" x14ac:dyDescent="0.2">
      <c r="B4" s="311" t="s">
        <v>388</v>
      </c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</row>
    <row r="5" spans="1:17" ht="15" x14ac:dyDescent="0.2">
      <c r="B5" s="26" t="s">
        <v>484</v>
      </c>
      <c r="C5" s="78"/>
      <c r="D5" s="78"/>
      <c r="E5" s="78"/>
      <c r="F5" s="78"/>
      <c r="G5" s="78"/>
      <c r="H5" s="78"/>
      <c r="I5" s="37"/>
    </row>
    <row r="6" spans="1:17" ht="15" x14ac:dyDescent="0.2">
      <c r="B6" s="26" t="s">
        <v>12</v>
      </c>
      <c r="C6" s="27"/>
      <c r="D6" s="27"/>
      <c r="O6" s="27" t="s">
        <v>140</v>
      </c>
    </row>
    <row r="7" spans="1:17" s="35" customFormat="1" ht="15" customHeight="1" x14ac:dyDescent="0.2">
      <c r="B7" s="33" t="s">
        <v>389</v>
      </c>
      <c r="C7" s="33" t="s">
        <v>141</v>
      </c>
      <c r="D7" s="33" t="s">
        <v>142</v>
      </c>
      <c r="E7" s="100" t="s">
        <v>143</v>
      </c>
      <c r="F7" s="100" t="s">
        <v>144</v>
      </c>
      <c r="G7" s="100" t="s">
        <v>145</v>
      </c>
      <c r="H7" s="100" t="s">
        <v>146</v>
      </c>
      <c r="I7" s="100" t="s">
        <v>147</v>
      </c>
      <c r="J7" s="100" t="s">
        <v>148</v>
      </c>
      <c r="K7" s="100" t="s">
        <v>149</v>
      </c>
      <c r="L7" s="100" t="s">
        <v>150</v>
      </c>
      <c r="M7" s="100" t="s">
        <v>151</v>
      </c>
      <c r="N7" s="100" t="s">
        <v>152</v>
      </c>
      <c r="O7" s="100" t="s">
        <v>139</v>
      </c>
    </row>
    <row r="8" spans="1:17" s="35" customFormat="1" ht="15" x14ac:dyDescent="0.2">
      <c r="B8" s="76" t="s">
        <v>482</v>
      </c>
      <c r="C8" s="132">
        <v>353.35531900000001</v>
      </c>
      <c r="D8" s="132">
        <v>312.82575500000002</v>
      </c>
      <c r="E8" s="132">
        <v>274.90371900000002</v>
      </c>
      <c r="F8" s="132">
        <v>197.19218850000001</v>
      </c>
      <c r="G8" s="132">
        <v>286.3758545</v>
      </c>
      <c r="H8" s="132">
        <v>314.98740700000002</v>
      </c>
      <c r="I8" s="132">
        <v>358.18940500000002</v>
      </c>
      <c r="J8" s="132">
        <v>318.9078705</v>
      </c>
      <c r="K8" s="132">
        <v>339.17335800000001</v>
      </c>
      <c r="L8" s="132">
        <v>450.6360085</v>
      </c>
      <c r="M8" s="132">
        <v>396.64197700000005</v>
      </c>
      <c r="N8" s="132">
        <v>370.98364750000002</v>
      </c>
      <c r="O8" s="132">
        <f>SUM(C8:N8)</f>
        <v>3974.1725095000011</v>
      </c>
    </row>
    <row r="9" spans="1:17" s="35" customFormat="1" ht="15" x14ac:dyDescent="0.2">
      <c r="B9" s="76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</row>
    <row r="10" spans="1:17" s="35" customFormat="1" ht="15" x14ac:dyDescent="0.2">
      <c r="B10" s="76" t="s">
        <v>483</v>
      </c>
      <c r="C10" s="132">
        <v>147.502681</v>
      </c>
      <c r="D10" s="132">
        <v>130.58424500000001</v>
      </c>
      <c r="E10" s="132">
        <v>114.75428099999999</v>
      </c>
      <c r="F10" s="132">
        <v>82.31481149999999</v>
      </c>
      <c r="G10" s="132">
        <v>119.54314549999998</v>
      </c>
      <c r="H10" s="132">
        <v>131.48659299999997</v>
      </c>
      <c r="I10" s="132">
        <v>149.52059499999996</v>
      </c>
      <c r="J10" s="132">
        <v>133.1231295</v>
      </c>
      <c r="K10" s="132">
        <v>141.58264199999996</v>
      </c>
      <c r="L10" s="132">
        <v>188.11099149999995</v>
      </c>
      <c r="M10" s="132">
        <v>165.572023</v>
      </c>
      <c r="N10" s="132">
        <v>154.86135250000001</v>
      </c>
      <c r="O10" s="132">
        <f>SUM(C10:N10)</f>
        <v>1658.9564904999997</v>
      </c>
    </row>
    <row r="11" spans="1:17" s="35" customFormat="1" ht="15" x14ac:dyDescent="0.2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ht="15" x14ac:dyDescent="0.2">
      <c r="B12" s="40" t="s">
        <v>139</v>
      </c>
      <c r="C12" s="120">
        <f>C8+C10</f>
        <v>500.858</v>
      </c>
      <c r="D12" s="120">
        <f t="shared" ref="D12:O12" si="0">D8+D10</f>
        <v>443.41</v>
      </c>
      <c r="E12" s="120">
        <f t="shared" si="0"/>
        <v>389.65800000000002</v>
      </c>
      <c r="F12" s="120">
        <f t="shared" si="0"/>
        <v>279.50700000000001</v>
      </c>
      <c r="G12" s="120">
        <f t="shared" si="0"/>
        <v>405.91899999999998</v>
      </c>
      <c r="H12" s="120">
        <f t="shared" si="0"/>
        <v>446.47399999999999</v>
      </c>
      <c r="I12" s="120">
        <f t="shared" si="0"/>
        <v>507.71</v>
      </c>
      <c r="J12" s="120">
        <f t="shared" si="0"/>
        <v>452.03100000000001</v>
      </c>
      <c r="K12" s="120">
        <f t="shared" si="0"/>
        <v>480.75599999999997</v>
      </c>
      <c r="L12" s="120">
        <f t="shared" si="0"/>
        <v>638.74699999999996</v>
      </c>
      <c r="M12" s="120">
        <f t="shared" si="0"/>
        <v>562.21400000000006</v>
      </c>
      <c r="N12" s="120">
        <f t="shared" si="0"/>
        <v>525.84500000000003</v>
      </c>
      <c r="O12" s="120">
        <f t="shared" si="0"/>
        <v>5633.1290000000008</v>
      </c>
    </row>
    <row r="13" spans="1:17" ht="16.5" x14ac:dyDescent="0.2">
      <c r="B13" s="26"/>
      <c r="C13" s="78"/>
      <c r="D13" s="78"/>
      <c r="E13" s="78"/>
      <c r="F13" s="78"/>
      <c r="G13" s="78"/>
      <c r="H13" s="78"/>
      <c r="I13" s="91"/>
    </row>
    <row r="14" spans="1:17" ht="16.5" x14ac:dyDescent="0.2">
      <c r="B14" s="26" t="s">
        <v>485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37"/>
      <c r="P14" s="91"/>
    </row>
    <row r="15" spans="1:17" ht="16.5" x14ac:dyDescent="0.2">
      <c r="A15" s="5" t="s">
        <v>387</v>
      </c>
      <c r="B15" s="26" t="s">
        <v>5</v>
      </c>
      <c r="C15" s="27"/>
      <c r="D15" s="27"/>
      <c r="O15" s="27" t="s">
        <v>140</v>
      </c>
      <c r="P15" s="91"/>
    </row>
    <row r="16" spans="1:17" ht="18.75" customHeight="1" x14ac:dyDescent="0.2">
      <c r="B16" s="318" t="s">
        <v>389</v>
      </c>
      <c r="C16" s="360" t="s">
        <v>153</v>
      </c>
      <c r="D16" s="361"/>
      <c r="E16" s="361"/>
      <c r="F16" s="361"/>
      <c r="G16" s="361"/>
      <c r="H16" s="362"/>
      <c r="I16" s="360" t="s">
        <v>5</v>
      </c>
      <c r="J16" s="361"/>
      <c r="K16" s="361"/>
      <c r="L16" s="361"/>
      <c r="M16" s="361"/>
      <c r="N16" s="362"/>
      <c r="O16" s="33" t="s">
        <v>154</v>
      </c>
      <c r="P16" s="91"/>
      <c r="Q16" s="91"/>
    </row>
    <row r="17" spans="2:16" ht="15" x14ac:dyDescent="0.2">
      <c r="B17" s="320"/>
      <c r="C17" s="33" t="s">
        <v>141</v>
      </c>
      <c r="D17" s="33" t="s">
        <v>142</v>
      </c>
      <c r="E17" s="100" t="s">
        <v>143</v>
      </c>
      <c r="F17" s="100" t="s">
        <v>144</v>
      </c>
      <c r="G17" s="100" t="s">
        <v>145</v>
      </c>
      <c r="H17" s="100" t="s">
        <v>146</v>
      </c>
      <c r="I17" s="100" t="s">
        <v>147</v>
      </c>
      <c r="J17" s="100" t="s">
        <v>148</v>
      </c>
      <c r="K17" s="100" t="s">
        <v>149</v>
      </c>
      <c r="L17" s="100" t="s">
        <v>150</v>
      </c>
      <c r="M17" s="100" t="s">
        <v>151</v>
      </c>
      <c r="N17" s="100" t="s">
        <v>152</v>
      </c>
      <c r="O17" s="24"/>
    </row>
    <row r="18" spans="2:16" s="35" customFormat="1" ht="15" x14ac:dyDescent="0.2">
      <c r="B18" s="76" t="s">
        <v>482</v>
      </c>
      <c r="C18" s="132">
        <v>361.36415500000004</v>
      </c>
      <c r="D18" s="132">
        <v>382.45860500000003</v>
      </c>
      <c r="E18" s="132">
        <v>360.305905</v>
      </c>
      <c r="F18" s="141">
        <v>283.12420500000002</v>
      </c>
      <c r="G18" s="132">
        <v>299.23077000000001</v>
      </c>
      <c r="H18" s="132">
        <v>329.052255</v>
      </c>
      <c r="I18" s="132">
        <v>378.18327499999998</v>
      </c>
      <c r="J18" s="132">
        <v>413.006755</v>
      </c>
      <c r="K18" s="132">
        <v>398.67805000000004</v>
      </c>
      <c r="L18" s="132">
        <f>618.59*0.7055</f>
        <v>436.41524500000003</v>
      </c>
      <c r="M18" s="132">
        <f>587.37*0.7055</f>
        <v>414.38953500000002</v>
      </c>
      <c r="N18" s="132">
        <f>575.995*0.7055</f>
        <v>406.36447250000003</v>
      </c>
      <c r="O18" s="141">
        <f>SUM(C18:N18)</f>
        <v>4462.5732275</v>
      </c>
    </row>
    <row r="19" spans="2:16" s="35" customFormat="1" ht="15" x14ac:dyDescent="0.2">
      <c r="B19" s="76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40"/>
      <c r="O19" s="141"/>
    </row>
    <row r="20" spans="2:16" s="35" customFormat="1" ht="15" x14ac:dyDescent="0.2">
      <c r="B20" s="76" t="s">
        <v>483</v>
      </c>
      <c r="C20" s="132">
        <v>150.845845</v>
      </c>
      <c r="D20" s="132">
        <v>159.65139499999998</v>
      </c>
      <c r="E20" s="132">
        <v>150.40409499999998</v>
      </c>
      <c r="F20" s="132">
        <v>118.18579499999998</v>
      </c>
      <c r="G20" s="132">
        <v>124.90922999999998</v>
      </c>
      <c r="H20" s="132">
        <v>137.35774500000002</v>
      </c>
      <c r="I20" s="132">
        <v>157.86672499999997</v>
      </c>
      <c r="J20" s="132">
        <v>172.40324499999997</v>
      </c>
      <c r="K20" s="132">
        <v>166.42194999999998</v>
      </c>
      <c r="L20" s="132">
        <f>618.59*0.2945</f>
        <v>182.174755</v>
      </c>
      <c r="M20" s="132">
        <f>587.37*0.2945</f>
        <v>172.98046499999998</v>
      </c>
      <c r="N20" s="132">
        <f>575.995*0.2945</f>
        <v>169.6305275</v>
      </c>
      <c r="O20" s="141">
        <f>SUM(C20:N20)</f>
        <v>1862.8317724999997</v>
      </c>
    </row>
    <row r="21" spans="2:16" s="35" customFormat="1" ht="15" x14ac:dyDescent="0.2">
      <c r="B21" s="39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</row>
    <row r="22" spans="2:16" ht="15" x14ac:dyDescent="0.2">
      <c r="B22" s="40" t="s">
        <v>139</v>
      </c>
      <c r="C22" s="120">
        <f>C18+C20</f>
        <v>512.21</v>
      </c>
      <c r="D22" s="120">
        <f t="shared" ref="D22:N22" si="1">D18+D20</f>
        <v>542.11</v>
      </c>
      <c r="E22" s="120">
        <f t="shared" si="1"/>
        <v>510.71</v>
      </c>
      <c r="F22" s="120">
        <f t="shared" si="1"/>
        <v>401.31</v>
      </c>
      <c r="G22" s="120">
        <f t="shared" si="1"/>
        <v>424.14</v>
      </c>
      <c r="H22" s="120">
        <f t="shared" si="1"/>
        <v>466.41</v>
      </c>
      <c r="I22" s="120">
        <f t="shared" si="1"/>
        <v>536.04999999999995</v>
      </c>
      <c r="J22" s="120">
        <f t="shared" si="1"/>
        <v>585.41</v>
      </c>
      <c r="K22" s="120">
        <f t="shared" si="1"/>
        <v>565.1</v>
      </c>
      <c r="L22" s="120">
        <f t="shared" si="1"/>
        <v>618.59</v>
      </c>
      <c r="M22" s="120">
        <f t="shared" si="1"/>
        <v>587.37</v>
      </c>
      <c r="N22" s="120">
        <f t="shared" si="1"/>
        <v>575.995</v>
      </c>
      <c r="O22" s="120">
        <f>O18+O20</f>
        <v>6325.4049999999997</v>
      </c>
    </row>
    <row r="24" spans="2:16" ht="16.5" x14ac:dyDescent="0.2">
      <c r="B24" s="26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37"/>
      <c r="P24" s="91"/>
    </row>
    <row r="25" spans="2:16" ht="15" x14ac:dyDescent="0.2">
      <c r="B25" s="26" t="s">
        <v>486</v>
      </c>
      <c r="C25" s="78"/>
      <c r="D25" s="78"/>
      <c r="E25" s="78"/>
      <c r="F25" s="78"/>
      <c r="G25" s="78"/>
      <c r="H25" s="78"/>
      <c r="I25" s="37"/>
    </row>
    <row r="26" spans="2:16" ht="15" x14ac:dyDescent="0.2">
      <c r="B26" s="26" t="s">
        <v>8</v>
      </c>
      <c r="C26" s="27"/>
      <c r="D26" s="27"/>
      <c r="O26" s="27" t="s">
        <v>140</v>
      </c>
    </row>
    <row r="27" spans="2:16" ht="15" x14ac:dyDescent="0.2">
      <c r="B27" s="33" t="s">
        <v>389</v>
      </c>
      <c r="C27" s="33" t="s">
        <v>141</v>
      </c>
      <c r="D27" s="33" t="s">
        <v>142</v>
      </c>
      <c r="E27" s="100" t="s">
        <v>143</v>
      </c>
      <c r="F27" s="100" t="s">
        <v>144</v>
      </c>
      <c r="G27" s="100" t="s">
        <v>145</v>
      </c>
      <c r="H27" s="100" t="s">
        <v>146</v>
      </c>
      <c r="I27" s="100" t="s">
        <v>147</v>
      </c>
      <c r="J27" s="100" t="s">
        <v>148</v>
      </c>
      <c r="K27" s="100" t="s">
        <v>149</v>
      </c>
      <c r="L27" s="100" t="s">
        <v>150</v>
      </c>
      <c r="M27" s="100" t="s">
        <v>151</v>
      </c>
      <c r="N27" s="100" t="s">
        <v>152</v>
      </c>
      <c r="O27" s="100" t="s">
        <v>139</v>
      </c>
    </row>
    <row r="28" spans="2:16" ht="15" x14ac:dyDescent="0.2">
      <c r="B28" s="76" t="s">
        <v>482</v>
      </c>
      <c r="C28" s="132">
        <v>439.22313500000007</v>
      </c>
      <c r="D28" s="132">
        <v>453.86226000000005</v>
      </c>
      <c r="E28" s="132">
        <v>439.22313500000007</v>
      </c>
      <c r="F28" s="132">
        <v>393.62667000000005</v>
      </c>
      <c r="G28" s="132">
        <v>363.50887499999999</v>
      </c>
      <c r="H28" s="132">
        <v>439.22313500000007</v>
      </c>
      <c r="I28" s="132">
        <v>453.86226000000005</v>
      </c>
      <c r="J28" s="132">
        <v>439.22313500000007</v>
      </c>
      <c r="K28" s="132">
        <v>453.86226000000005</v>
      </c>
      <c r="L28" s="132">
        <v>453.86226000000005</v>
      </c>
      <c r="M28" s="132">
        <v>409.93782999999996</v>
      </c>
      <c r="N28" s="132">
        <v>453.86226000000005</v>
      </c>
      <c r="O28" s="132">
        <f>SUM(C28:N28)</f>
        <v>5193.2772150000001</v>
      </c>
    </row>
    <row r="29" spans="2:16" ht="15" x14ac:dyDescent="0.2">
      <c r="B29" s="76"/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</row>
    <row r="30" spans="2:16" ht="15" x14ac:dyDescent="0.2">
      <c r="B30" s="76" t="s">
        <v>483</v>
      </c>
      <c r="C30" s="132">
        <v>183.34686500000001</v>
      </c>
      <c r="D30" s="132">
        <v>189.42829</v>
      </c>
      <c r="E30" s="132">
        <v>183.34686500000001</v>
      </c>
      <c r="F30" s="132">
        <v>164.31333000000001</v>
      </c>
      <c r="G30" s="132">
        <v>151.74112499999998</v>
      </c>
      <c r="H30" s="132">
        <v>183.34686500000001</v>
      </c>
      <c r="I30" s="132">
        <v>189.42829</v>
      </c>
      <c r="J30" s="132">
        <v>183.34686500000001</v>
      </c>
      <c r="K30" s="132">
        <v>189.42829</v>
      </c>
      <c r="L30" s="132">
        <v>189.42829</v>
      </c>
      <c r="M30" s="132">
        <v>171.12216999999998</v>
      </c>
      <c r="N30" s="132">
        <v>189.42829</v>
      </c>
      <c r="O30" s="132">
        <f>SUM(C30:N30)</f>
        <v>2167.7055350000001</v>
      </c>
    </row>
    <row r="31" spans="2:16" ht="15" x14ac:dyDescent="0.2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</row>
    <row r="32" spans="2:16" ht="15" x14ac:dyDescent="0.2">
      <c r="B32" s="40" t="s">
        <v>139</v>
      </c>
      <c r="C32" s="120">
        <f>C28+C30</f>
        <v>622.57000000000005</v>
      </c>
      <c r="D32" s="120">
        <f t="shared" ref="D32:N32" si="2">D28+D30</f>
        <v>643.29055000000005</v>
      </c>
      <c r="E32" s="120">
        <f t="shared" si="2"/>
        <v>622.57000000000005</v>
      </c>
      <c r="F32" s="120">
        <f t="shared" si="2"/>
        <v>557.94000000000005</v>
      </c>
      <c r="G32" s="120">
        <f t="shared" si="2"/>
        <v>515.25</v>
      </c>
      <c r="H32" s="120">
        <f t="shared" si="2"/>
        <v>622.57000000000005</v>
      </c>
      <c r="I32" s="120">
        <f t="shared" si="2"/>
        <v>643.29055000000005</v>
      </c>
      <c r="J32" s="120">
        <f t="shared" si="2"/>
        <v>622.57000000000005</v>
      </c>
      <c r="K32" s="120">
        <f t="shared" si="2"/>
        <v>643.29055000000005</v>
      </c>
      <c r="L32" s="120">
        <f t="shared" si="2"/>
        <v>643.29055000000005</v>
      </c>
      <c r="M32" s="120">
        <f t="shared" si="2"/>
        <v>581.05999999999995</v>
      </c>
      <c r="N32" s="120">
        <f t="shared" si="2"/>
        <v>643.29055000000005</v>
      </c>
      <c r="O32" s="120">
        <f>O28+O30</f>
        <v>7360.9827500000001</v>
      </c>
    </row>
    <row r="35" spans="2:15" ht="15" x14ac:dyDescent="0.2">
      <c r="B35" s="26" t="s">
        <v>487</v>
      </c>
      <c r="C35" s="78"/>
      <c r="D35" s="78"/>
      <c r="E35" s="78"/>
      <c r="F35" s="78"/>
      <c r="G35" s="78"/>
      <c r="H35" s="78"/>
      <c r="I35" s="37"/>
    </row>
    <row r="36" spans="2:15" ht="15" x14ac:dyDescent="0.2">
      <c r="B36" s="26" t="s">
        <v>8</v>
      </c>
      <c r="C36" s="27"/>
      <c r="D36" s="27"/>
      <c r="O36" s="27" t="s">
        <v>140</v>
      </c>
    </row>
    <row r="37" spans="2:15" ht="15" x14ac:dyDescent="0.2">
      <c r="B37" s="33" t="s">
        <v>389</v>
      </c>
      <c r="C37" s="33" t="s">
        <v>141</v>
      </c>
      <c r="D37" s="33" t="s">
        <v>142</v>
      </c>
      <c r="E37" s="100" t="s">
        <v>143</v>
      </c>
      <c r="F37" s="100" t="s">
        <v>144</v>
      </c>
      <c r="G37" s="100" t="s">
        <v>145</v>
      </c>
      <c r="H37" s="100" t="s">
        <v>146</v>
      </c>
      <c r="I37" s="100" t="s">
        <v>147</v>
      </c>
      <c r="J37" s="100" t="s">
        <v>148</v>
      </c>
      <c r="K37" s="100" t="s">
        <v>149</v>
      </c>
      <c r="L37" s="100" t="s">
        <v>150</v>
      </c>
      <c r="M37" s="100" t="s">
        <v>151</v>
      </c>
      <c r="N37" s="100" t="s">
        <v>152</v>
      </c>
      <c r="O37" s="100" t="s">
        <v>139</v>
      </c>
    </row>
    <row r="38" spans="2:15" ht="15" x14ac:dyDescent="0.2">
      <c r="B38" s="76" t="s">
        <v>482</v>
      </c>
      <c r="C38" s="132">
        <v>439.22313500000007</v>
      </c>
      <c r="D38" s="132">
        <v>453.86226000000005</v>
      </c>
      <c r="E38" s="132">
        <v>439.22313500000007</v>
      </c>
      <c r="F38" s="132">
        <v>378.56424500000003</v>
      </c>
      <c r="G38" s="132">
        <v>378.56424500000003</v>
      </c>
      <c r="H38" s="132">
        <v>439.22313500000007</v>
      </c>
      <c r="I38" s="132">
        <v>453.86226000000005</v>
      </c>
      <c r="J38" s="132">
        <v>439.22313500000007</v>
      </c>
      <c r="K38" s="132">
        <v>453.86226000000005</v>
      </c>
      <c r="L38" s="132">
        <v>453.86226000000005</v>
      </c>
      <c r="M38" s="132">
        <v>409.93782999999996</v>
      </c>
      <c r="N38" s="132">
        <v>453.86226000000005</v>
      </c>
      <c r="O38" s="132">
        <f>SUM(C38:N38)</f>
        <v>5193.27016</v>
      </c>
    </row>
    <row r="39" spans="2:15" ht="15" x14ac:dyDescent="0.2">
      <c r="B39" s="76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</row>
    <row r="40" spans="2:15" ht="15" x14ac:dyDescent="0.2">
      <c r="B40" s="76" t="s">
        <v>483</v>
      </c>
      <c r="C40" s="132">
        <v>183.34686499999998</v>
      </c>
      <c r="D40" s="132">
        <v>189.45774</v>
      </c>
      <c r="E40" s="132">
        <v>183.34686499999998</v>
      </c>
      <c r="F40" s="132">
        <v>158.025755</v>
      </c>
      <c r="G40" s="132">
        <v>158.025755</v>
      </c>
      <c r="H40" s="132">
        <v>183.34686499999998</v>
      </c>
      <c r="I40" s="132">
        <v>189.45774</v>
      </c>
      <c r="J40" s="132">
        <v>183.34686499999998</v>
      </c>
      <c r="K40" s="132">
        <v>189.45774</v>
      </c>
      <c r="L40" s="132">
        <v>189.45774</v>
      </c>
      <c r="M40" s="132">
        <v>171.12216999999998</v>
      </c>
      <c r="N40" s="132">
        <v>189.45774</v>
      </c>
      <c r="O40" s="132">
        <f t="shared" ref="O40" si="3">SUM(C40:N40)</f>
        <v>2167.8498399999999</v>
      </c>
    </row>
    <row r="41" spans="2:15" ht="15" x14ac:dyDescent="0.2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</row>
    <row r="42" spans="2:15" ht="15" x14ac:dyDescent="0.2">
      <c r="B42" s="40" t="s">
        <v>139</v>
      </c>
      <c r="C42" s="120">
        <f>C38+C40</f>
        <v>622.57000000000005</v>
      </c>
      <c r="D42" s="120">
        <f t="shared" ref="D42:N42" si="4">D38+D40</f>
        <v>643.32000000000005</v>
      </c>
      <c r="E42" s="120">
        <f t="shared" si="4"/>
        <v>622.57000000000005</v>
      </c>
      <c r="F42" s="120">
        <f t="shared" si="4"/>
        <v>536.59</v>
      </c>
      <c r="G42" s="120">
        <f t="shared" si="4"/>
        <v>536.59</v>
      </c>
      <c r="H42" s="120">
        <f t="shared" si="4"/>
        <v>622.57000000000005</v>
      </c>
      <c r="I42" s="120">
        <f t="shared" si="4"/>
        <v>643.32000000000005</v>
      </c>
      <c r="J42" s="120">
        <f t="shared" si="4"/>
        <v>622.57000000000005</v>
      </c>
      <c r="K42" s="120">
        <f t="shared" si="4"/>
        <v>643.32000000000005</v>
      </c>
      <c r="L42" s="120">
        <f t="shared" si="4"/>
        <v>643.32000000000005</v>
      </c>
      <c r="M42" s="120">
        <f t="shared" si="4"/>
        <v>581.05999999999995</v>
      </c>
      <c r="N42" s="120">
        <f t="shared" si="4"/>
        <v>643.32000000000005</v>
      </c>
      <c r="O42" s="120">
        <f>O38+O40</f>
        <v>7361.12</v>
      </c>
    </row>
    <row r="45" spans="2:15" ht="15" x14ac:dyDescent="0.2">
      <c r="B45" s="26" t="s">
        <v>488</v>
      </c>
      <c r="C45" s="78"/>
      <c r="D45" s="78"/>
      <c r="E45" s="78"/>
      <c r="F45" s="78"/>
      <c r="G45" s="78"/>
      <c r="H45" s="78"/>
      <c r="I45" s="37"/>
    </row>
    <row r="46" spans="2:15" ht="15" x14ac:dyDescent="0.2">
      <c r="B46" s="26" t="s">
        <v>8</v>
      </c>
      <c r="C46" s="27"/>
      <c r="D46" s="27"/>
      <c r="O46" s="27" t="s">
        <v>140</v>
      </c>
    </row>
    <row r="47" spans="2:15" ht="15" x14ac:dyDescent="0.2">
      <c r="B47" s="33" t="s">
        <v>389</v>
      </c>
      <c r="C47" s="33" t="s">
        <v>141</v>
      </c>
      <c r="D47" s="33" t="s">
        <v>142</v>
      </c>
      <c r="E47" s="100" t="s">
        <v>143</v>
      </c>
      <c r="F47" s="100" t="s">
        <v>144</v>
      </c>
      <c r="G47" s="100" t="s">
        <v>145</v>
      </c>
      <c r="H47" s="100" t="s">
        <v>146</v>
      </c>
      <c r="I47" s="100" t="s">
        <v>147</v>
      </c>
      <c r="J47" s="100" t="s">
        <v>148</v>
      </c>
      <c r="K47" s="100" t="s">
        <v>149</v>
      </c>
      <c r="L47" s="100" t="s">
        <v>150</v>
      </c>
      <c r="M47" s="100" t="s">
        <v>151</v>
      </c>
      <c r="N47" s="100" t="s">
        <v>152</v>
      </c>
      <c r="O47" s="100" t="s">
        <v>139</v>
      </c>
    </row>
    <row r="48" spans="2:15" ht="15" x14ac:dyDescent="0.2">
      <c r="B48" s="76" t="s">
        <v>482</v>
      </c>
      <c r="C48" s="132">
        <v>448.00661000000002</v>
      </c>
      <c r="D48" s="132">
        <v>462.93498999999997</v>
      </c>
      <c r="E48" s="132">
        <v>452.06323500000002</v>
      </c>
      <c r="F48" s="132">
        <v>398.01488000000001</v>
      </c>
      <c r="G48" s="132">
        <v>345.27170000000001</v>
      </c>
      <c r="H48" s="132">
        <v>448.00661000000002</v>
      </c>
      <c r="I48" s="132">
        <v>462.93498999999997</v>
      </c>
      <c r="J48" s="132">
        <v>410.35407499999997</v>
      </c>
      <c r="K48" s="132">
        <v>425.28951000000006</v>
      </c>
      <c r="L48" s="132">
        <v>462.93498999999997</v>
      </c>
      <c r="M48" s="132">
        <v>417.83939999999996</v>
      </c>
      <c r="N48" s="132">
        <v>462.93498999999997</v>
      </c>
      <c r="O48" s="132">
        <f>SUM(C48:N48)</f>
        <v>5196.5859799999998</v>
      </c>
    </row>
    <row r="49" spans="2:15" ht="15" x14ac:dyDescent="0.2">
      <c r="B49" s="76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</row>
    <row r="50" spans="2:15" ht="15" x14ac:dyDescent="0.2">
      <c r="B50" s="76" t="s">
        <v>483</v>
      </c>
      <c r="C50" s="132">
        <v>187.01338999999996</v>
      </c>
      <c r="D50" s="132">
        <v>193.24500999999998</v>
      </c>
      <c r="E50" s="132">
        <v>188.70676499999996</v>
      </c>
      <c r="F50" s="132">
        <v>166.14511999999996</v>
      </c>
      <c r="G50" s="132">
        <v>144.12829999999997</v>
      </c>
      <c r="H50" s="132">
        <v>187.01338999999996</v>
      </c>
      <c r="I50" s="132">
        <v>193.24500999999998</v>
      </c>
      <c r="J50" s="132">
        <v>171.29592500000001</v>
      </c>
      <c r="K50" s="132">
        <v>177.53048999999999</v>
      </c>
      <c r="L50" s="132">
        <v>193.24500999999998</v>
      </c>
      <c r="M50" s="132">
        <v>174.84059999999999</v>
      </c>
      <c r="N50" s="132">
        <v>193.24500999999998</v>
      </c>
      <c r="O50" s="132">
        <f t="shared" ref="O50" si="5">SUM(C50:N50)</f>
        <v>2169.6540199999999</v>
      </c>
    </row>
    <row r="51" spans="2:15" ht="15" x14ac:dyDescent="0.2"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</row>
    <row r="52" spans="2:15" ht="15" x14ac:dyDescent="0.2">
      <c r="B52" s="40" t="s">
        <v>139</v>
      </c>
      <c r="C52" s="120">
        <f>C48+C50</f>
        <v>635.02</v>
      </c>
      <c r="D52" s="120">
        <f t="shared" ref="D52:N52" si="6">D48+D50</f>
        <v>656.18</v>
      </c>
      <c r="E52" s="120">
        <f t="shared" si="6"/>
        <v>640.77</v>
      </c>
      <c r="F52" s="120">
        <f t="shared" si="6"/>
        <v>564.16</v>
      </c>
      <c r="G52" s="120">
        <f t="shared" si="6"/>
        <v>489.4</v>
      </c>
      <c r="H52" s="120">
        <f t="shared" si="6"/>
        <v>635.02</v>
      </c>
      <c r="I52" s="120">
        <f t="shared" si="6"/>
        <v>656.18</v>
      </c>
      <c r="J52" s="120">
        <f t="shared" si="6"/>
        <v>581.65</v>
      </c>
      <c r="K52" s="120">
        <f t="shared" si="6"/>
        <v>602.82000000000005</v>
      </c>
      <c r="L52" s="120">
        <f t="shared" si="6"/>
        <v>656.18</v>
      </c>
      <c r="M52" s="120">
        <f t="shared" si="6"/>
        <v>592.67999999999995</v>
      </c>
      <c r="N52" s="120">
        <f t="shared" si="6"/>
        <v>656.18</v>
      </c>
      <c r="O52" s="120">
        <f>O48+O50</f>
        <v>7366.24</v>
      </c>
    </row>
    <row r="55" spans="2:15" ht="15" x14ac:dyDescent="0.2">
      <c r="B55" s="26" t="s">
        <v>489</v>
      </c>
      <c r="C55" s="78"/>
      <c r="D55" s="78"/>
      <c r="E55" s="78"/>
      <c r="F55" s="78"/>
      <c r="G55" s="78"/>
      <c r="H55" s="78"/>
      <c r="I55" s="37"/>
    </row>
    <row r="56" spans="2:15" ht="15" x14ac:dyDescent="0.2">
      <c r="B56" s="26" t="s">
        <v>8</v>
      </c>
      <c r="C56" s="27"/>
      <c r="D56" s="27"/>
      <c r="O56" s="27" t="s">
        <v>140</v>
      </c>
    </row>
    <row r="57" spans="2:15" ht="15" x14ac:dyDescent="0.2">
      <c r="B57" s="33" t="s">
        <v>389</v>
      </c>
      <c r="C57" s="33" t="s">
        <v>141</v>
      </c>
      <c r="D57" s="33" t="s">
        <v>142</v>
      </c>
      <c r="E57" s="100" t="s">
        <v>143</v>
      </c>
      <c r="F57" s="100" t="s">
        <v>144</v>
      </c>
      <c r="G57" s="100" t="s">
        <v>145</v>
      </c>
      <c r="H57" s="100" t="s">
        <v>146</v>
      </c>
      <c r="I57" s="100" t="s">
        <v>147</v>
      </c>
      <c r="J57" s="100" t="s">
        <v>148</v>
      </c>
      <c r="K57" s="100" t="s">
        <v>149</v>
      </c>
      <c r="L57" s="100" t="s">
        <v>150</v>
      </c>
      <c r="M57" s="100" t="s">
        <v>151</v>
      </c>
      <c r="N57" s="100" t="s">
        <v>152</v>
      </c>
      <c r="O57" s="100" t="s">
        <v>139</v>
      </c>
    </row>
    <row r="58" spans="2:15" ht="15" x14ac:dyDescent="0.2">
      <c r="B58" s="76" t="s">
        <v>482</v>
      </c>
      <c r="C58" s="132">
        <v>456.79008500000003</v>
      </c>
      <c r="D58" s="132">
        <v>472.01477499999999</v>
      </c>
      <c r="E58" s="132">
        <v>335.06311500000004</v>
      </c>
      <c r="F58" s="132">
        <v>346.23117999999999</v>
      </c>
      <c r="G58" s="132">
        <v>354.34442999999999</v>
      </c>
      <c r="H58" s="132">
        <v>456.79008500000003</v>
      </c>
      <c r="I58" s="132">
        <v>472.01477499999999</v>
      </c>
      <c r="J58" s="132">
        <v>456.79008500000003</v>
      </c>
      <c r="K58" s="132">
        <v>472.01477499999999</v>
      </c>
      <c r="L58" s="132">
        <v>472.01477499999999</v>
      </c>
      <c r="M58" s="132">
        <v>441.56539500000002</v>
      </c>
      <c r="N58" s="132">
        <v>472.01477499999999</v>
      </c>
      <c r="O58" s="132">
        <f>SUM(C58:N58)</f>
        <v>5207.6482499999993</v>
      </c>
    </row>
    <row r="59" spans="2:15" ht="15" x14ac:dyDescent="0.2">
      <c r="B59" s="76"/>
      <c r="C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</row>
    <row r="60" spans="2:15" ht="15" x14ac:dyDescent="0.2">
      <c r="B60" s="76" t="s">
        <v>483</v>
      </c>
      <c r="C60" s="132">
        <v>190.67991499999999</v>
      </c>
      <c r="D60" s="132">
        <v>197.03522499999997</v>
      </c>
      <c r="E60" s="132">
        <v>139.86688499999997</v>
      </c>
      <c r="F60" s="132">
        <v>144.52882</v>
      </c>
      <c r="G60" s="132">
        <v>147.91557</v>
      </c>
      <c r="H60" s="132">
        <v>190.67991499999999</v>
      </c>
      <c r="I60" s="132">
        <v>197.03522499999997</v>
      </c>
      <c r="J60" s="132">
        <v>190.67991499999999</v>
      </c>
      <c r="K60" s="132">
        <v>197.03522499999997</v>
      </c>
      <c r="L60" s="132">
        <v>197.03522499999997</v>
      </c>
      <c r="M60" s="132">
        <v>184.32460499999996</v>
      </c>
      <c r="N60" s="132">
        <v>197.03522499999997</v>
      </c>
      <c r="O60" s="132">
        <f t="shared" ref="O60" si="7">SUM(C60:N60)</f>
        <v>2173.8517499999998</v>
      </c>
    </row>
    <row r="61" spans="2:15" ht="15" x14ac:dyDescent="0.2"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</row>
    <row r="62" spans="2:15" ht="15" x14ac:dyDescent="0.2">
      <c r="B62" s="40" t="s">
        <v>139</v>
      </c>
      <c r="C62" s="120">
        <f>C58+C60</f>
        <v>647.47</v>
      </c>
      <c r="D62" s="120">
        <f t="shared" ref="D62:O62" si="8">D58+D60</f>
        <v>669.05</v>
      </c>
      <c r="E62" s="120">
        <f t="shared" si="8"/>
        <v>474.93</v>
      </c>
      <c r="F62" s="120">
        <f t="shared" si="8"/>
        <v>490.76</v>
      </c>
      <c r="G62" s="120">
        <f t="shared" si="8"/>
        <v>502.26</v>
      </c>
      <c r="H62" s="120">
        <f t="shared" si="8"/>
        <v>647.47</v>
      </c>
      <c r="I62" s="120">
        <f t="shared" si="8"/>
        <v>669.05</v>
      </c>
      <c r="J62" s="120">
        <f t="shared" si="8"/>
        <v>647.47</v>
      </c>
      <c r="K62" s="120">
        <f t="shared" si="8"/>
        <v>669.05</v>
      </c>
      <c r="L62" s="120">
        <f t="shared" si="8"/>
        <v>669.05</v>
      </c>
      <c r="M62" s="120">
        <f t="shared" si="8"/>
        <v>625.89</v>
      </c>
      <c r="N62" s="120">
        <f t="shared" si="8"/>
        <v>669.05</v>
      </c>
      <c r="O62" s="120">
        <f t="shared" si="8"/>
        <v>7381.4999999999991</v>
      </c>
    </row>
    <row r="65" spans="2:15" ht="15" x14ac:dyDescent="0.2">
      <c r="B65" s="26" t="s">
        <v>490</v>
      </c>
      <c r="C65" s="78"/>
      <c r="D65" s="78"/>
      <c r="E65" s="78"/>
      <c r="F65" s="78"/>
      <c r="G65" s="78"/>
      <c r="H65" s="78"/>
      <c r="I65" s="37"/>
    </row>
    <row r="66" spans="2:15" ht="15" x14ac:dyDescent="0.2">
      <c r="B66" s="26" t="s">
        <v>8</v>
      </c>
      <c r="C66" s="27"/>
      <c r="D66" s="27"/>
      <c r="O66" s="27" t="s">
        <v>140</v>
      </c>
    </row>
    <row r="67" spans="2:15" ht="15" x14ac:dyDescent="0.2">
      <c r="B67" s="33" t="s">
        <v>389</v>
      </c>
      <c r="C67" s="33" t="s">
        <v>141</v>
      </c>
      <c r="D67" s="33" t="s">
        <v>142</v>
      </c>
      <c r="E67" s="100" t="s">
        <v>143</v>
      </c>
      <c r="F67" s="100" t="s">
        <v>144</v>
      </c>
      <c r="G67" s="100" t="s">
        <v>145</v>
      </c>
      <c r="H67" s="100" t="s">
        <v>146</v>
      </c>
      <c r="I67" s="100" t="s">
        <v>147</v>
      </c>
      <c r="J67" s="100" t="s">
        <v>148</v>
      </c>
      <c r="K67" s="100" t="s">
        <v>149</v>
      </c>
      <c r="L67" s="100" t="s">
        <v>150</v>
      </c>
      <c r="M67" s="100" t="s">
        <v>151</v>
      </c>
      <c r="N67" s="100" t="s">
        <v>152</v>
      </c>
      <c r="O67" s="100" t="s">
        <v>139</v>
      </c>
    </row>
    <row r="68" spans="2:15" ht="15" x14ac:dyDescent="0.2">
      <c r="B68" s="76" t="s">
        <v>482</v>
      </c>
      <c r="C68" s="132">
        <v>439.22313500000007</v>
      </c>
      <c r="D68" s="132">
        <v>453.86226000000005</v>
      </c>
      <c r="E68" s="132">
        <v>439.22313500000007</v>
      </c>
      <c r="F68" s="132">
        <v>453.86226000000005</v>
      </c>
      <c r="G68" s="132">
        <v>453.86226000000005</v>
      </c>
      <c r="H68" s="132">
        <v>439.22313500000007</v>
      </c>
      <c r="I68" s="132">
        <v>453.86226000000005</v>
      </c>
      <c r="J68" s="132">
        <v>326.27964000000003</v>
      </c>
      <c r="K68" s="132">
        <v>416.21678000000003</v>
      </c>
      <c r="L68" s="132">
        <v>453.86226000000005</v>
      </c>
      <c r="M68" s="132">
        <v>409.93782999999996</v>
      </c>
      <c r="N68" s="132">
        <v>453.86226000000005</v>
      </c>
      <c r="O68" s="132">
        <f>SUM(C68:N68)</f>
        <v>5193.277215000001</v>
      </c>
    </row>
    <row r="69" spans="2:15" ht="15" x14ac:dyDescent="0.2">
      <c r="B69" s="76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</row>
    <row r="70" spans="2:15" ht="15" x14ac:dyDescent="0.2">
      <c r="B70" s="76" t="s">
        <v>483</v>
      </c>
      <c r="C70" s="132">
        <v>183.34686499999998</v>
      </c>
      <c r="D70" s="132">
        <v>189.45774</v>
      </c>
      <c r="E70" s="132">
        <v>183.34686499999998</v>
      </c>
      <c r="F70" s="132">
        <v>189.45774</v>
      </c>
      <c r="G70" s="132">
        <v>189.45774</v>
      </c>
      <c r="H70" s="132">
        <v>183.34686499999998</v>
      </c>
      <c r="I70" s="132">
        <v>189.45774</v>
      </c>
      <c r="J70" s="132">
        <v>136.20035999999999</v>
      </c>
      <c r="K70" s="132">
        <v>173.74322000000001</v>
      </c>
      <c r="L70" s="132">
        <v>189.45774</v>
      </c>
      <c r="M70" s="132">
        <v>171.12216999999998</v>
      </c>
      <c r="N70" s="132">
        <v>189.45774</v>
      </c>
      <c r="O70" s="132">
        <f t="shared" ref="O70" si="9">SUM(C70:N70)</f>
        <v>2167.852785</v>
      </c>
    </row>
    <row r="71" spans="2:15" ht="15" x14ac:dyDescent="0.2"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</row>
    <row r="72" spans="2:15" ht="15" x14ac:dyDescent="0.2">
      <c r="B72" s="40" t="s">
        <v>139</v>
      </c>
      <c r="C72" s="120">
        <f>C68+C70</f>
        <v>622.57000000000005</v>
      </c>
      <c r="D72" s="120">
        <f t="shared" ref="D72:N72" si="10">D68+D70</f>
        <v>643.32000000000005</v>
      </c>
      <c r="E72" s="120">
        <f t="shared" si="10"/>
        <v>622.57000000000005</v>
      </c>
      <c r="F72" s="120">
        <f t="shared" si="10"/>
        <v>643.32000000000005</v>
      </c>
      <c r="G72" s="120">
        <f t="shared" si="10"/>
        <v>643.32000000000005</v>
      </c>
      <c r="H72" s="120">
        <f t="shared" si="10"/>
        <v>622.57000000000005</v>
      </c>
      <c r="I72" s="120">
        <f t="shared" si="10"/>
        <v>643.32000000000005</v>
      </c>
      <c r="J72" s="120">
        <f t="shared" si="10"/>
        <v>462.48</v>
      </c>
      <c r="K72" s="120">
        <f t="shared" si="10"/>
        <v>589.96</v>
      </c>
      <c r="L72" s="120">
        <f t="shared" si="10"/>
        <v>643.32000000000005</v>
      </c>
      <c r="M72" s="120">
        <f t="shared" si="10"/>
        <v>581.05999999999995</v>
      </c>
      <c r="N72" s="120">
        <f t="shared" si="10"/>
        <v>643.32000000000005</v>
      </c>
      <c r="O72" s="120">
        <f>O68+O70</f>
        <v>7361.130000000001</v>
      </c>
    </row>
  </sheetData>
  <mergeCells count="6">
    <mergeCell ref="B16:B17"/>
    <mergeCell ref="I16:N16"/>
    <mergeCell ref="C16:H16"/>
    <mergeCell ref="B1:O2"/>
    <mergeCell ref="B3:O3"/>
    <mergeCell ref="B4:O4"/>
  </mergeCells>
  <pageMargins left="0.78740157480314965" right="0.59055118110236227" top="0.98425196850393704" bottom="0.64" header="0.51181102362204722" footer="0.51181102362204722"/>
  <pageSetup paperSize="9" scale="75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9"/>
  <sheetViews>
    <sheetView showGridLines="0" zoomScale="80" zoomScaleNormal="80" zoomScaleSheetLayoutView="70" workbookViewId="0">
      <selection activeCell="B4" sqref="B4:N4"/>
    </sheetView>
  </sheetViews>
  <sheetFormatPr defaultColWidth="9.28515625" defaultRowHeight="14.25" x14ac:dyDescent="0.2"/>
  <cols>
    <col min="1" max="1" width="3.28515625" style="19" customWidth="1"/>
    <col min="2" max="2" width="29.42578125" style="19" customWidth="1"/>
    <col min="3" max="3" width="18.5703125" style="19" customWidth="1"/>
    <col min="4" max="4" width="14.42578125" style="19" customWidth="1"/>
    <col min="5" max="5" width="20.7109375" style="19" customWidth="1"/>
    <col min="6" max="6" width="19.7109375" style="19" customWidth="1"/>
    <col min="7" max="9" width="12.5703125" style="19" customWidth="1"/>
    <col min="10" max="10" width="18.28515625" style="19" customWidth="1"/>
    <col min="11" max="11" width="15.42578125" style="19" customWidth="1"/>
    <col min="12" max="12" width="21.5703125" style="19" customWidth="1"/>
    <col min="13" max="14" width="12.5703125" style="19" customWidth="1"/>
    <col min="15" max="16384" width="9.28515625" style="19"/>
  </cols>
  <sheetData>
    <row r="1" spans="2:14" s="5" customFormat="1" ht="15" x14ac:dyDescent="0.2">
      <c r="B1" s="99"/>
    </row>
    <row r="2" spans="2:14" s="5" customFormat="1" ht="15" customHeight="1" x14ac:dyDescent="0.2">
      <c r="B2" s="323" t="s">
        <v>550</v>
      </c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</row>
    <row r="3" spans="2:14" s="5" customFormat="1" ht="15" customHeight="1" x14ac:dyDescent="0.2">
      <c r="B3" s="323" t="s">
        <v>518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</row>
    <row r="4" spans="2:14" ht="14.25" customHeight="1" x14ac:dyDescent="0.2">
      <c r="B4" s="311" t="s">
        <v>393</v>
      </c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</row>
    <row r="5" spans="2:14" ht="15" x14ac:dyDescent="0.2">
      <c r="B5" s="26" t="s">
        <v>523</v>
      </c>
    </row>
    <row r="6" spans="2:14" ht="15" x14ac:dyDescent="0.2">
      <c r="B6" s="26" t="s">
        <v>12</v>
      </c>
      <c r="N6" s="38" t="s">
        <v>4</v>
      </c>
    </row>
    <row r="7" spans="2:14" s="56" customFormat="1" ht="45.75" customHeight="1" x14ac:dyDescent="0.2">
      <c r="B7" s="321" t="s">
        <v>389</v>
      </c>
      <c r="C7" s="314" t="s">
        <v>155</v>
      </c>
      <c r="D7" s="314"/>
      <c r="E7" s="314"/>
      <c r="F7" s="314"/>
      <c r="G7" s="313" t="s">
        <v>156</v>
      </c>
      <c r="H7" s="313"/>
      <c r="I7" s="313"/>
      <c r="J7" s="313" t="s">
        <v>157</v>
      </c>
      <c r="K7" s="313"/>
      <c r="L7" s="313"/>
      <c r="M7" s="313"/>
      <c r="N7" s="313"/>
    </row>
    <row r="8" spans="2:14" ht="45" x14ac:dyDescent="0.2">
      <c r="B8" s="322"/>
      <c r="C8" s="33" t="s">
        <v>180</v>
      </c>
      <c r="D8" s="33" t="s">
        <v>178</v>
      </c>
      <c r="E8" s="33" t="s">
        <v>248</v>
      </c>
      <c r="F8" s="33" t="s">
        <v>179</v>
      </c>
      <c r="G8" s="33" t="s">
        <v>158</v>
      </c>
      <c r="H8" s="33" t="s">
        <v>249</v>
      </c>
      <c r="I8" s="33" t="s">
        <v>159</v>
      </c>
      <c r="J8" s="33" t="s">
        <v>160</v>
      </c>
      <c r="K8" s="33" t="s">
        <v>161</v>
      </c>
      <c r="L8" s="33" t="s">
        <v>250</v>
      </c>
      <c r="M8" s="33" t="s">
        <v>251</v>
      </c>
      <c r="N8" s="25" t="s">
        <v>139</v>
      </c>
    </row>
    <row r="9" spans="2:14" ht="15" x14ac:dyDescent="0.2">
      <c r="B9" s="2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25"/>
    </row>
    <row r="10" spans="2:14" ht="15" x14ac:dyDescent="0.2">
      <c r="B10" s="76" t="s">
        <v>390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2:14" ht="15" x14ac:dyDescent="0.2">
      <c r="B11" s="76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2:14" ht="15" x14ac:dyDescent="0.2">
      <c r="B12" s="76" t="s">
        <v>391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4" x14ac:dyDescent="0.2">
      <c r="B13" s="39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2:14" ht="15" x14ac:dyDescent="0.2">
      <c r="B14" s="76" t="s">
        <v>392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2:14" x14ac:dyDescent="0.2">
      <c r="B15" s="74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2:14" ht="15" x14ac:dyDescent="0.2">
      <c r="B16" s="76" t="s">
        <v>9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14" x14ac:dyDescent="0.2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2:14" ht="15" x14ac:dyDescent="0.2">
      <c r="B18" s="76" t="s">
        <v>139</v>
      </c>
      <c r="C18" s="119">
        <f>C10+C12+C14</f>
        <v>0</v>
      </c>
      <c r="D18" s="119">
        <f>D10+D12+D14</f>
        <v>0</v>
      </c>
      <c r="E18" s="119">
        <f>E10+E12+E14</f>
        <v>0</v>
      </c>
      <c r="F18" s="119">
        <f>F10+F12+F14</f>
        <v>0</v>
      </c>
      <c r="G18" s="119">
        <f>G10+G12+G14</f>
        <v>0</v>
      </c>
      <c r="H18" s="3"/>
      <c r="I18" s="3"/>
      <c r="J18" s="119">
        <f>J10+J12+J14</f>
        <v>0</v>
      </c>
      <c r="K18" s="119">
        <f>K10+K12+K14</f>
        <v>0</v>
      </c>
      <c r="L18" s="119">
        <f>L10+L12+L14</f>
        <v>0</v>
      </c>
      <c r="M18" s="119">
        <f>M10+M12+M14</f>
        <v>0</v>
      </c>
      <c r="N18" s="119">
        <f>N10+N12+N14</f>
        <v>0</v>
      </c>
    </row>
    <row r="19" spans="2:14" ht="15" x14ac:dyDescent="0.2">
      <c r="B19" s="38"/>
    </row>
  </sheetData>
  <mergeCells count="7">
    <mergeCell ref="B7:B8"/>
    <mergeCell ref="C7:F7"/>
    <mergeCell ref="G7:I7"/>
    <mergeCell ref="J7:N7"/>
    <mergeCell ref="B2:N2"/>
    <mergeCell ref="B3:N3"/>
    <mergeCell ref="B4:N4"/>
  </mergeCells>
  <pageMargins left="2.2000000000000002" right="0.93" top="0.77" bottom="1" header="0.5" footer="0.5"/>
  <pageSetup paperSize="9" scale="4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1"/>
  <sheetViews>
    <sheetView showGridLines="0" view="pageBreakPreview" topLeftCell="D6" zoomScale="60" zoomScaleNormal="131" workbookViewId="0">
      <selection activeCell="L6" sqref="L6"/>
    </sheetView>
  </sheetViews>
  <sheetFormatPr defaultColWidth="9.28515625" defaultRowHeight="14.25" x14ac:dyDescent="0.2"/>
  <cols>
    <col min="1" max="1" width="2.42578125" style="19" customWidth="1"/>
    <col min="2" max="2" width="5" style="19" customWidth="1"/>
    <col min="3" max="3" width="40.5703125" style="19" customWidth="1"/>
    <col min="4" max="4" width="13" style="19" customWidth="1"/>
    <col min="5" max="5" width="9.85546875" style="19" customWidth="1"/>
    <col min="6" max="6" width="10.42578125" style="19" customWidth="1"/>
    <col min="7" max="7" width="9" style="19" customWidth="1"/>
    <col min="8" max="8" width="9.7109375" style="19" customWidth="1"/>
    <col min="9" max="9" width="10" style="19" customWidth="1"/>
    <col min="10" max="10" width="11.140625" style="19" customWidth="1"/>
    <col min="11" max="11" width="9.5703125" style="19" customWidth="1"/>
    <col min="12" max="12" width="9" style="19" customWidth="1"/>
    <col min="13" max="13" width="9.7109375" style="19" customWidth="1"/>
    <col min="14" max="15" width="9" style="19" customWidth="1"/>
    <col min="16" max="16" width="10" style="19" customWidth="1"/>
    <col min="17" max="17" width="14.28515625" style="19" customWidth="1"/>
    <col min="18" max="16384" width="9.28515625" style="19"/>
  </cols>
  <sheetData>
    <row r="1" spans="2:17" s="5" customFormat="1" ht="15" x14ac:dyDescent="0.2">
      <c r="B1" s="99"/>
    </row>
    <row r="2" spans="2:17" s="5" customFormat="1" ht="15" customHeight="1" x14ac:dyDescent="0.2"/>
    <row r="3" spans="2:17" s="5" customFormat="1" ht="15" customHeight="1" x14ac:dyDescent="0.2">
      <c r="I3" s="36" t="s">
        <v>550</v>
      </c>
    </row>
    <row r="4" spans="2:17" s="5" customFormat="1" ht="15" customHeight="1" x14ac:dyDescent="0.2">
      <c r="I4" s="36" t="s">
        <v>518</v>
      </c>
    </row>
    <row r="5" spans="2:17" ht="15" x14ac:dyDescent="0.2">
      <c r="B5" s="26" t="s">
        <v>523</v>
      </c>
      <c r="I5" s="37" t="s">
        <v>396</v>
      </c>
    </row>
    <row r="6" spans="2:17" ht="15" x14ac:dyDescent="0.2">
      <c r="B6" s="38" t="s">
        <v>12</v>
      </c>
    </row>
    <row r="7" spans="2:17" ht="30" x14ac:dyDescent="0.2">
      <c r="B7" s="101" t="s">
        <v>210</v>
      </c>
      <c r="C7" s="101" t="s">
        <v>18</v>
      </c>
      <c r="D7" s="101" t="s">
        <v>39</v>
      </c>
      <c r="E7" s="33" t="s">
        <v>141</v>
      </c>
      <c r="F7" s="33" t="s">
        <v>142</v>
      </c>
      <c r="G7" s="100" t="s">
        <v>143</v>
      </c>
      <c r="H7" s="100" t="s">
        <v>144</v>
      </c>
      <c r="I7" s="100" t="s">
        <v>145</v>
      </c>
      <c r="J7" s="100" t="s">
        <v>146</v>
      </c>
      <c r="K7" s="100" t="s">
        <v>147</v>
      </c>
      <c r="L7" s="100" t="s">
        <v>148</v>
      </c>
      <c r="M7" s="100" t="s">
        <v>149</v>
      </c>
      <c r="N7" s="100" t="s">
        <v>150</v>
      </c>
      <c r="O7" s="100" t="s">
        <v>151</v>
      </c>
      <c r="P7" s="100" t="s">
        <v>152</v>
      </c>
      <c r="Q7" s="102" t="s">
        <v>139</v>
      </c>
    </row>
    <row r="8" spans="2:17" x14ac:dyDescent="0.2">
      <c r="B8" s="103">
        <v>1</v>
      </c>
      <c r="C8" s="104" t="s">
        <v>184</v>
      </c>
      <c r="D8" s="103" t="s">
        <v>42</v>
      </c>
      <c r="E8" s="105">
        <v>85</v>
      </c>
      <c r="F8" s="105">
        <v>85</v>
      </c>
      <c r="G8" s="105">
        <v>85</v>
      </c>
      <c r="H8" s="105">
        <v>85</v>
      </c>
      <c r="I8" s="105">
        <v>85</v>
      </c>
      <c r="J8" s="105">
        <v>85</v>
      </c>
      <c r="K8" s="105">
        <v>85</v>
      </c>
      <c r="L8" s="105">
        <v>85</v>
      </c>
      <c r="M8" s="105">
        <v>85</v>
      </c>
      <c r="N8" s="105">
        <v>85</v>
      </c>
      <c r="O8" s="105">
        <v>85</v>
      </c>
      <c r="P8" s="105">
        <v>85</v>
      </c>
      <c r="Q8" s="105">
        <v>80</v>
      </c>
    </row>
    <row r="9" spans="2:17" x14ac:dyDescent="0.2">
      <c r="B9" s="103">
        <f>B8+1</f>
        <v>2</v>
      </c>
      <c r="C9" s="104" t="s">
        <v>211</v>
      </c>
      <c r="D9" s="103" t="s">
        <v>42</v>
      </c>
      <c r="E9" s="105">
        <v>73.23</v>
      </c>
      <c r="F9" s="105">
        <v>62.6</v>
      </c>
      <c r="G9" s="105">
        <v>56.32</v>
      </c>
      <c r="H9" s="105">
        <v>39.47</v>
      </c>
      <c r="I9" s="105">
        <v>57.27</v>
      </c>
      <c r="J9" s="105">
        <v>64.680000000000007</v>
      </c>
      <c r="K9" s="105">
        <v>71.349999999999994</v>
      </c>
      <c r="L9" s="105">
        <v>64.58</v>
      </c>
      <c r="M9" s="105">
        <v>68.13</v>
      </c>
      <c r="N9" s="105">
        <v>89.51</v>
      </c>
      <c r="O9" s="105">
        <v>85.87</v>
      </c>
      <c r="P9" s="105">
        <v>71.77</v>
      </c>
      <c r="Q9" s="106">
        <v>82.26</v>
      </c>
    </row>
    <row r="10" spans="2:17" x14ac:dyDescent="0.2">
      <c r="B10" s="103">
        <f t="shared" ref="B10:B26" si="0">B9+1</f>
        <v>3</v>
      </c>
      <c r="C10" s="104" t="s">
        <v>212</v>
      </c>
      <c r="D10" s="103" t="s">
        <v>42</v>
      </c>
      <c r="E10" s="105">
        <v>73.23</v>
      </c>
      <c r="F10" s="105">
        <v>67.83</v>
      </c>
      <c r="G10" s="105">
        <v>64.03</v>
      </c>
      <c r="H10" s="105">
        <v>57.79</v>
      </c>
      <c r="I10" s="105">
        <v>57.69</v>
      </c>
      <c r="J10" s="105">
        <v>58.83</v>
      </c>
      <c r="K10" s="105">
        <v>60.65</v>
      </c>
      <c r="L10" s="105">
        <v>61.13</v>
      </c>
      <c r="M10" s="105">
        <v>61.92</v>
      </c>
      <c r="N10" s="105">
        <v>64.709999999999994</v>
      </c>
      <c r="O10" s="105">
        <v>66.489999999999995</v>
      </c>
      <c r="P10" s="105">
        <v>66.94</v>
      </c>
      <c r="Q10" s="105"/>
    </row>
    <row r="11" spans="2:17" x14ac:dyDescent="0.2">
      <c r="B11" s="103">
        <f t="shared" si="0"/>
        <v>4</v>
      </c>
      <c r="C11" s="104" t="s">
        <v>43</v>
      </c>
      <c r="D11" s="103" t="s">
        <v>42</v>
      </c>
      <c r="E11" s="105">
        <v>85</v>
      </c>
      <c r="F11" s="105">
        <v>85</v>
      </c>
      <c r="G11" s="105">
        <v>85</v>
      </c>
      <c r="H11" s="105">
        <v>85</v>
      </c>
      <c r="I11" s="105">
        <v>85</v>
      </c>
      <c r="J11" s="105">
        <v>85</v>
      </c>
      <c r="K11" s="105">
        <v>85</v>
      </c>
      <c r="L11" s="105">
        <v>85</v>
      </c>
      <c r="M11" s="105">
        <v>85</v>
      </c>
      <c r="N11" s="105">
        <v>85</v>
      </c>
      <c r="O11" s="105">
        <v>85</v>
      </c>
      <c r="P11" s="105">
        <v>85</v>
      </c>
      <c r="Q11" s="105">
        <v>80</v>
      </c>
    </row>
    <row r="12" spans="2:17" x14ac:dyDescent="0.2">
      <c r="B12" s="103">
        <f t="shared" si="0"/>
        <v>5</v>
      </c>
      <c r="C12" s="104" t="s">
        <v>213</v>
      </c>
      <c r="D12" s="103" t="s">
        <v>42</v>
      </c>
      <c r="E12" s="105">
        <v>70.55</v>
      </c>
      <c r="F12" s="105">
        <v>60.8</v>
      </c>
      <c r="G12" s="105">
        <v>55.09</v>
      </c>
      <c r="H12" s="105">
        <v>39.35</v>
      </c>
      <c r="I12" s="105">
        <v>56.2</v>
      </c>
      <c r="J12" s="105">
        <v>63.62</v>
      </c>
      <c r="K12" s="105">
        <v>69.650000000000006</v>
      </c>
      <c r="L12" s="105">
        <v>63.82</v>
      </c>
      <c r="M12" s="105">
        <v>65.55</v>
      </c>
      <c r="N12" s="105">
        <v>86.49</v>
      </c>
      <c r="O12" s="105">
        <v>84.45</v>
      </c>
      <c r="P12" s="105">
        <v>72.08</v>
      </c>
      <c r="Q12" s="105"/>
    </row>
    <row r="13" spans="2:17" x14ac:dyDescent="0.2">
      <c r="B13" s="103">
        <f t="shared" si="0"/>
        <v>6</v>
      </c>
      <c r="C13" s="104" t="s">
        <v>214</v>
      </c>
      <c r="D13" s="103" t="s">
        <v>42</v>
      </c>
      <c r="E13" s="105">
        <v>70.55</v>
      </c>
      <c r="F13" s="105">
        <v>65.59</v>
      </c>
      <c r="G13" s="105">
        <v>62.13</v>
      </c>
      <c r="H13" s="105">
        <v>56.34</v>
      </c>
      <c r="I13" s="105">
        <v>56.31</v>
      </c>
      <c r="J13" s="105">
        <v>57.51</v>
      </c>
      <c r="K13" s="105">
        <v>59.27</v>
      </c>
      <c r="L13" s="105">
        <v>59.83</v>
      </c>
      <c r="M13" s="105">
        <v>60.47</v>
      </c>
      <c r="N13" s="105">
        <v>63.11</v>
      </c>
      <c r="O13" s="105">
        <v>64.900000000000006</v>
      </c>
      <c r="P13" s="105">
        <v>65.510000000000005</v>
      </c>
      <c r="Q13" s="105"/>
    </row>
    <row r="14" spans="2:17" x14ac:dyDescent="0.2">
      <c r="B14" s="103">
        <f t="shared" si="0"/>
        <v>7</v>
      </c>
      <c r="C14" s="98" t="s">
        <v>215</v>
      </c>
      <c r="D14" s="107" t="s">
        <v>45</v>
      </c>
      <c r="E14" s="105">
        <v>548.59100000000001</v>
      </c>
      <c r="F14" s="105">
        <v>488.51600000000002</v>
      </c>
      <c r="G14" s="105">
        <v>428.36099999999999</v>
      </c>
      <c r="H14" s="105">
        <v>316.16300000000001</v>
      </c>
      <c r="I14" s="105">
        <v>451.55200000000002</v>
      </c>
      <c r="J14" s="105">
        <v>494.69</v>
      </c>
      <c r="K14" s="105">
        <v>559.68600000000004</v>
      </c>
      <c r="L14" s="105">
        <v>496.28899999999999</v>
      </c>
      <c r="M14" s="105">
        <v>526.71299999999997</v>
      </c>
      <c r="N14" s="105">
        <v>694.93100000000004</v>
      </c>
      <c r="O14" s="105">
        <v>612.91</v>
      </c>
      <c r="P14" s="105">
        <v>579.15</v>
      </c>
      <c r="Q14" s="106">
        <f>SUM(E14:P14)</f>
        <v>6197.5519999999997</v>
      </c>
    </row>
    <row r="15" spans="2:17" x14ac:dyDescent="0.2">
      <c r="B15" s="103">
        <f t="shared" si="0"/>
        <v>8</v>
      </c>
      <c r="C15" s="98" t="s">
        <v>216</v>
      </c>
      <c r="D15" s="107" t="s">
        <v>45</v>
      </c>
      <c r="E15" s="105">
        <v>47.732999999999997</v>
      </c>
      <c r="F15" s="105">
        <v>45.106000000000002</v>
      </c>
      <c r="G15" s="105">
        <v>38.703000000000003</v>
      </c>
      <c r="H15" s="105">
        <v>36.655999999999999</v>
      </c>
      <c r="I15" s="105">
        <v>45.633000000000003</v>
      </c>
      <c r="J15" s="105">
        <v>48.216000000000001</v>
      </c>
      <c r="K15" s="105">
        <v>51.975999999999999</v>
      </c>
      <c r="L15" s="105">
        <v>44.258000000000003</v>
      </c>
      <c r="M15" s="105">
        <v>45.956999999999944</v>
      </c>
      <c r="N15" s="105">
        <v>56.183999999999997</v>
      </c>
      <c r="O15" s="105">
        <v>50.695999999999998</v>
      </c>
      <c r="P15" s="105">
        <v>53.305</v>
      </c>
      <c r="Q15" s="106">
        <f>SUM(E15:P15)</f>
        <v>564.42299999999989</v>
      </c>
    </row>
    <row r="16" spans="2:17" ht="15" x14ac:dyDescent="0.2">
      <c r="B16" s="103">
        <f t="shared" si="0"/>
        <v>9</v>
      </c>
      <c r="C16" s="98" t="s">
        <v>234</v>
      </c>
      <c r="D16" s="107" t="s">
        <v>45</v>
      </c>
      <c r="E16" s="118">
        <f>E14-E15</f>
        <v>500.858</v>
      </c>
      <c r="F16" s="118">
        <f t="shared" ref="F16:Q16" si="1">F14-F15</f>
        <v>443.41</v>
      </c>
      <c r="G16" s="118">
        <f t="shared" si="1"/>
        <v>389.65800000000002</v>
      </c>
      <c r="H16" s="118">
        <f t="shared" si="1"/>
        <v>279.50700000000001</v>
      </c>
      <c r="I16" s="118">
        <f t="shared" si="1"/>
        <v>405.91900000000004</v>
      </c>
      <c r="J16" s="118">
        <f t="shared" si="1"/>
        <v>446.47399999999999</v>
      </c>
      <c r="K16" s="118">
        <f t="shared" si="1"/>
        <v>507.71000000000004</v>
      </c>
      <c r="L16" s="118">
        <f t="shared" si="1"/>
        <v>452.03100000000001</v>
      </c>
      <c r="M16" s="118">
        <f t="shared" si="1"/>
        <v>480.75600000000003</v>
      </c>
      <c r="N16" s="118">
        <f t="shared" si="1"/>
        <v>638.74700000000007</v>
      </c>
      <c r="O16" s="118">
        <f t="shared" si="1"/>
        <v>562.21399999999994</v>
      </c>
      <c r="P16" s="118">
        <f t="shared" si="1"/>
        <v>525.84500000000003</v>
      </c>
      <c r="Q16" s="118">
        <f t="shared" si="1"/>
        <v>5633.1289999999999</v>
      </c>
    </row>
    <row r="17" spans="2:17" ht="16.5" x14ac:dyDescent="0.2">
      <c r="B17" s="103">
        <f t="shared" si="0"/>
        <v>10</v>
      </c>
      <c r="C17" s="98" t="s">
        <v>235</v>
      </c>
      <c r="D17" s="107" t="s">
        <v>45</v>
      </c>
      <c r="E17" s="138">
        <f>E16-((1080*1000*24*30*E11%)/1000000)</f>
        <v>-160.10200000000003</v>
      </c>
      <c r="F17" s="138">
        <f>F16-((1080*1000*24*31*F11%)/1000000)</f>
        <v>-239.58199999999994</v>
      </c>
      <c r="G17" s="138">
        <f>G16-((1080*1000*24*30*G11%)/1000000)</f>
        <v>-271.30200000000002</v>
      </c>
      <c r="H17" s="138">
        <f>H16-((1080*1000*24*31*H11%)/1000000)</f>
        <v>-403.48499999999996</v>
      </c>
      <c r="I17" s="138">
        <f>I16-((1080*1000*24*31*I11%)/1000000)</f>
        <v>-277.07299999999992</v>
      </c>
      <c r="J17" s="138">
        <f>J16-((1080*1000*24*30*J11%)/1000000)</f>
        <v>-214.48600000000005</v>
      </c>
      <c r="K17" s="138">
        <f>K16-((1080*1000*24*31*K11%)/1000000)</f>
        <v>-175.28199999999993</v>
      </c>
      <c r="L17" s="138">
        <f>L16-((1080*1000*24*30*L11%)/1000000)</f>
        <v>-208.92900000000003</v>
      </c>
      <c r="M17" s="138">
        <f>M16-((1080*1000*24*31*M11%)/1000000)</f>
        <v>-202.23599999999993</v>
      </c>
      <c r="N17" s="138">
        <f>N16-((1080*1000*24*31*N11%)/1000000)</f>
        <v>-44.244999999999891</v>
      </c>
      <c r="O17" s="138">
        <f>O16-((1080*1000*24*28*O11%)/1000000)</f>
        <v>-54.682000000000016</v>
      </c>
      <c r="P17" s="138">
        <f>P16-((1080*1000*24*31*P11%)/1000000)</f>
        <v>-157.14699999999993</v>
      </c>
      <c r="Q17" s="118">
        <f>SUM(E17:P17)</f>
        <v>-2408.5509999999995</v>
      </c>
    </row>
    <row r="18" spans="2:17" ht="16.5" x14ac:dyDescent="0.2">
      <c r="B18" s="103">
        <f t="shared" si="0"/>
        <v>11</v>
      </c>
      <c r="C18" s="98" t="s">
        <v>217</v>
      </c>
      <c r="D18" s="107" t="s">
        <v>221</v>
      </c>
      <c r="E18" s="139">
        <v>2.363</v>
      </c>
      <c r="F18" s="139">
        <v>2.363</v>
      </c>
      <c r="G18" s="139">
        <v>2.363</v>
      </c>
      <c r="H18" s="139">
        <v>2.363</v>
      </c>
      <c r="I18" s="139">
        <v>2.363</v>
      </c>
      <c r="J18" s="139">
        <v>2.363</v>
      </c>
      <c r="K18" s="139">
        <v>2.363</v>
      </c>
      <c r="L18" s="139">
        <v>2.363</v>
      </c>
      <c r="M18" s="139">
        <v>2.363</v>
      </c>
      <c r="N18" s="139">
        <v>2.363</v>
      </c>
      <c r="O18" s="139">
        <v>2.363</v>
      </c>
      <c r="P18" s="139">
        <v>2.363</v>
      </c>
      <c r="Q18" s="139">
        <v>2.6680000000000001</v>
      </c>
    </row>
    <row r="19" spans="2:17" ht="16.5" x14ac:dyDescent="0.2">
      <c r="B19" s="103">
        <f t="shared" si="0"/>
        <v>12</v>
      </c>
      <c r="C19" s="98" t="s">
        <v>236</v>
      </c>
      <c r="D19" s="107" t="s">
        <v>222</v>
      </c>
      <c r="E19" s="140">
        <v>161.155</v>
      </c>
      <c r="F19" s="140">
        <v>161.155</v>
      </c>
      <c r="G19" s="140">
        <v>161.155</v>
      </c>
      <c r="H19" s="140">
        <v>161.155</v>
      </c>
      <c r="I19" s="140">
        <v>161.155</v>
      </c>
      <c r="J19" s="140">
        <v>161.155</v>
      </c>
      <c r="K19" s="140">
        <v>161.155</v>
      </c>
      <c r="L19" s="140">
        <v>161.155</v>
      </c>
      <c r="M19" s="140">
        <v>161.155</v>
      </c>
      <c r="N19" s="140">
        <v>161.155</v>
      </c>
      <c r="O19" s="140">
        <v>161.155</v>
      </c>
      <c r="P19" s="140">
        <v>161.155</v>
      </c>
      <c r="Q19" s="106">
        <f>SUM(E19:P19)</f>
        <v>1933.86</v>
      </c>
    </row>
    <row r="20" spans="2:17" ht="16.5" x14ac:dyDescent="0.2">
      <c r="B20" s="103">
        <f t="shared" si="0"/>
        <v>13</v>
      </c>
      <c r="C20" s="98" t="s">
        <v>394</v>
      </c>
      <c r="D20" s="107" t="s">
        <v>221</v>
      </c>
      <c r="E20" s="139">
        <v>2.7249172648993296</v>
      </c>
      <c r="F20" s="139">
        <v>3.0005244952967542</v>
      </c>
      <c r="G20" s="139">
        <v>2.943642503377415</v>
      </c>
      <c r="H20" s="139">
        <v>3.267369561878938</v>
      </c>
      <c r="I20" s="139">
        <v>3.0736463722570697</v>
      </c>
      <c r="J20" s="139">
        <v>3.1105755850963055</v>
      </c>
      <c r="K20" s="139">
        <v>3.0681312226901123</v>
      </c>
      <c r="L20" s="139">
        <v>3.0111215629570331</v>
      </c>
      <c r="M20" s="139">
        <v>3.0223479624045586</v>
      </c>
      <c r="N20" s="139">
        <v>3.2063338163675974</v>
      </c>
      <c r="O20" s="139">
        <v>3.4171218836584121</v>
      </c>
      <c r="P20" s="139">
        <v>3.4252724564100974</v>
      </c>
      <c r="Q20" s="142">
        <v>3.6287570059104328</v>
      </c>
    </row>
    <row r="21" spans="2:17" ht="16.5" x14ac:dyDescent="0.2">
      <c r="B21" s="103">
        <f t="shared" si="0"/>
        <v>14</v>
      </c>
      <c r="C21" s="98" t="s">
        <v>218</v>
      </c>
      <c r="D21" s="107" t="s">
        <v>222</v>
      </c>
      <c r="E21" s="140">
        <v>138.83977235294117</v>
      </c>
      <c r="F21" s="140">
        <v>118.36360764705881</v>
      </c>
      <c r="G21" s="140">
        <v>106.98796058823535</v>
      </c>
      <c r="H21" s="140">
        <v>74.074421764705846</v>
      </c>
      <c r="I21" s="140">
        <v>108.61846999999995</v>
      </c>
      <c r="J21" s="140">
        <v>122.34508411764718</v>
      </c>
      <c r="K21" s="140">
        <v>135.69250999999997</v>
      </c>
      <c r="L21" s="140">
        <v>122.26924649999999</v>
      </c>
      <c r="M21" s="140">
        <v>129.37902588235295</v>
      </c>
      <c r="N21" s="140">
        <v>170.29343647058818</v>
      </c>
      <c r="O21" s="140">
        <v>159.8088817647058</v>
      </c>
      <c r="P21" s="140">
        <v>136.29921117647064</v>
      </c>
      <c r="Q21" s="106">
        <f>SUM(E21:P21)</f>
        <v>1522.9716282647057</v>
      </c>
    </row>
    <row r="22" spans="2:17" ht="16.5" x14ac:dyDescent="0.2">
      <c r="B22" s="103">
        <f t="shared" si="0"/>
        <v>15</v>
      </c>
      <c r="C22" s="98" t="s">
        <v>395</v>
      </c>
      <c r="D22" s="107" t="s">
        <v>222</v>
      </c>
      <c r="E22" s="140">
        <v>118.3527454</v>
      </c>
      <c r="F22" s="140">
        <v>104.777783</v>
      </c>
      <c r="G22" s="140">
        <v>92.0761854</v>
      </c>
      <c r="H22" s="140">
        <v>66.047504099999998</v>
      </c>
      <c r="I22" s="140">
        <v>95.918659700000006</v>
      </c>
      <c r="J22" s="140">
        <v>105.5018062</v>
      </c>
      <c r="K22" s="140">
        <v>119.971873</v>
      </c>
      <c r="L22" s="140">
        <v>106.8149253</v>
      </c>
      <c r="M22" s="140">
        <v>113.6026428</v>
      </c>
      <c r="N22" s="140">
        <v>150.93591609999999</v>
      </c>
      <c r="O22" s="140">
        <v>132.85116819999999</v>
      </c>
      <c r="P22" s="140">
        <v>124.25717349999999</v>
      </c>
      <c r="Q22" s="106">
        <f t="shared" ref="Q22:Q24" si="2">SUM(E22:P22)</f>
        <v>1331.1083827</v>
      </c>
    </row>
    <row r="23" spans="2:17" ht="16.5" x14ac:dyDescent="0.2">
      <c r="B23" s="103">
        <f t="shared" si="0"/>
        <v>16</v>
      </c>
      <c r="C23" s="98" t="s">
        <v>237</v>
      </c>
      <c r="D23" s="107" t="s">
        <v>222</v>
      </c>
      <c r="E23" s="140">
        <v>18.126915746294831</v>
      </c>
      <c r="F23" s="140">
        <v>28.268473645953367</v>
      </c>
      <c r="G23" s="140">
        <v>22.625199658103682</v>
      </c>
      <c r="H23" s="140">
        <v>25.277762313209628</v>
      </c>
      <c r="I23" s="140">
        <v>28.846486478021763</v>
      </c>
      <c r="J23" s="140">
        <v>33.377306178028775</v>
      </c>
      <c r="K23" s="140">
        <v>35.800217307199667</v>
      </c>
      <c r="L23" s="140">
        <v>29.297103822503043</v>
      </c>
      <c r="M23" s="140">
        <v>31.698548901376583</v>
      </c>
      <c r="N23" s="140">
        <v>53.867694520335363</v>
      </c>
      <c r="O23" s="140">
        <v>59.264208069913053</v>
      </c>
      <c r="P23" s="140">
        <v>55.859065984096766</v>
      </c>
      <c r="Q23" s="106">
        <f t="shared" si="2"/>
        <v>422.30898262503649</v>
      </c>
    </row>
    <row r="24" spans="2:17" x14ac:dyDescent="0.2">
      <c r="B24" s="103">
        <f t="shared" si="0"/>
        <v>17</v>
      </c>
      <c r="C24" s="98" t="s">
        <v>219</v>
      </c>
      <c r="D24" s="107" t="s">
        <v>222</v>
      </c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6">
        <f t="shared" si="2"/>
        <v>0</v>
      </c>
    </row>
    <row r="25" spans="2:17" ht="15" x14ac:dyDescent="0.2">
      <c r="B25" s="103">
        <f t="shared" si="0"/>
        <v>18</v>
      </c>
      <c r="C25" s="109" t="s">
        <v>163</v>
      </c>
      <c r="D25" s="107" t="s">
        <v>222</v>
      </c>
      <c r="E25" s="108">
        <f>E21+E22+E23+E24</f>
        <v>275.31943349923603</v>
      </c>
      <c r="F25" s="108">
        <f t="shared" ref="F25:P25" si="3">F21+F22+F23+F24</f>
        <v>251.40986429301219</v>
      </c>
      <c r="G25" s="108">
        <f t="shared" si="3"/>
        <v>221.68934564633901</v>
      </c>
      <c r="H25" s="108">
        <f t="shared" si="3"/>
        <v>165.39968817791546</v>
      </c>
      <c r="I25" s="108">
        <f t="shared" si="3"/>
        <v>233.38361617802173</v>
      </c>
      <c r="J25" s="108">
        <f t="shared" si="3"/>
        <v>261.22419649567598</v>
      </c>
      <c r="K25" s="108">
        <f t="shared" si="3"/>
        <v>291.46460030719965</v>
      </c>
      <c r="L25" s="108">
        <f t="shared" si="3"/>
        <v>258.38127562250304</v>
      </c>
      <c r="M25" s="108">
        <f t="shared" si="3"/>
        <v>274.68021758372953</v>
      </c>
      <c r="N25" s="108">
        <f t="shared" si="3"/>
        <v>375.09704709092352</v>
      </c>
      <c r="O25" s="108">
        <f t="shared" si="3"/>
        <v>351.92425803461879</v>
      </c>
      <c r="P25" s="108">
        <f t="shared" si="3"/>
        <v>316.41545066056744</v>
      </c>
      <c r="Q25" s="110">
        <f>SUM(Q21:Q24)</f>
        <v>3276.3889935897423</v>
      </c>
    </row>
    <row r="26" spans="2:17" ht="15" x14ac:dyDescent="0.2">
      <c r="B26" s="103">
        <f t="shared" si="0"/>
        <v>19</v>
      </c>
      <c r="C26" s="111" t="s">
        <v>220</v>
      </c>
      <c r="D26" s="107"/>
      <c r="E26" s="108"/>
      <c r="F26" s="105"/>
      <c r="G26" s="105"/>
      <c r="H26" s="105"/>
      <c r="I26" s="105"/>
      <c r="J26" s="105"/>
      <c r="K26" s="105"/>
      <c r="L26" s="105"/>
      <c r="M26" s="106"/>
      <c r="N26" s="106"/>
      <c r="O26" s="106"/>
      <c r="P26" s="106"/>
      <c r="Q26" s="110"/>
    </row>
    <row r="27" spans="2:17" ht="28.5" x14ac:dyDescent="0.2">
      <c r="B27" s="103"/>
      <c r="C27" s="74" t="s">
        <v>480</v>
      </c>
      <c r="D27" s="107"/>
      <c r="E27" s="108"/>
      <c r="F27" s="105"/>
      <c r="G27" s="105"/>
      <c r="H27" s="105"/>
      <c r="I27" s="105"/>
      <c r="J27" s="105"/>
      <c r="K27" s="105"/>
      <c r="L27" s="105"/>
      <c r="M27" s="106"/>
      <c r="N27" s="106"/>
      <c r="O27" s="106"/>
      <c r="P27" s="106"/>
      <c r="Q27" s="110">
        <v>101.32521108099644</v>
      </c>
    </row>
    <row r="28" spans="2:17" ht="15" x14ac:dyDescent="0.2">
      <c r="B28" s="103"/>
      <c r="C28" s="74" t="s">
        <v>481</v>
      </c>
      <c r="D28" s="107"/>
      <c r="E28" s="108"/>
      <c r="F28" s="105"/>
      <c r="G28" s="105"/>
      <c r="H28" s="105"/>
      <c r="I28" s="105"/>
      <c r="J28" s="105"/>
      <c r="K28" s="105"/>
      <c r="L28" s="105"/>
      <c r="M28" s="106"/>
      <c r="N28" s="106"/>
      <c r="O28" s="106"/>
      <c r="P28" s="106"/>
      <c r="Q28" s="110">
        <v>-487.24834588235302</v>
      </c>
    </row>
    <row r="29" spans="2:17" ht="15" x14ac:dyDescent="0.2">
      <c r="B29" s="103"/>
      <c r="C29" s="98" t="s">
        <v>479</v>
      </c>
      <c r="D29" s="107" t="s">
        <v>222</v>
      </c>
      <c r="E29" s="108"/>
      <c r="F29" s="105"/>
      <c r="G29" s="105"/>
      <c r="H29" s="105"/>
      <c r="I29" s="105"/>
      <c r="J29" s="105"/>
      <c r="K29" s="105"/>
      <c r="L29" s="105"/>
      <c r="M29" s="106"/>
      <c r="N29" s="106"/>
      <c r="O29" s="106"/>
      <c r="P29" s="106"/>
      <c r="Q29" s="110">
        <v>1.8775586</v>
      </c>
    </row>
    <row r="30" spans="2:17" ht="15" x14ac:dyDescent="0.2">
      <c r="B30" s="107">
        <f>B26+1</f>
        <v>20</v>
      </c>
      <c r="C30" s="97" t="s">
        <v>182</v>
      </c>
      <c r="D30" s="107" t="s">
        <v>222</v>
      </c>
      <c r="E30" s="118">
        <f t="shared" ref="E30:P30" si="4">E25+E26</f>
        <v>275.31943349923603</v>
      </c>
      <c r="F30" s="118">
        <f t="shared" si="4"/>
        <v>251.40986429301219</v>
      </c>
      <c r="G30" s="118">
        <f t="shared" si="4"/>
        <v>221.68934564633901</v>
      </c>
      <c r="H30" s="118">
        <f t="shared" si="4"/>
        <v>165.39968817791546</v>
      </c>
      <c r="I30" s="118">
        <f t="shared" si="4"/>
        <v>233.38361617802173</v>
      </c>
      <c r="J30" s="118">
        <f t="shared" si="4"/>
        <v>261.22419649567598</v>
      </c>
      <c r="K30" s="118">
        <f t="shared" si="4"/>
        <v>291.46460030719965</v>
      </c>
      <c r="L30" s="118">
        <f t="shared" si="4"/>
        <v>258.38127562250304</v>
      </c>
      <c r="M30" s="118">
        <f t="shared" si="4"/>
        <v>274.68021758372953</v>
      </c>
      <c r="N30" s="118">
        <f t="shared" si="4"/>
        <v>375.09704709092352</v>
      </c>
      <c r="O30" s="118">
        <f t="shared" si="4"/>
        <v>351.92425803461879</v>
      </c>
      <c r="P30" s="118">
        <f t="shared" si="4"/>
        <v>316.41545066056744</v>
      </c>
      <c r="Q30" s="118">
        <f>Q25+Q27+Q28+Q29</f>
        <v>2892.3434173883857</v>
      </c>
    </row>
    <row r="31" spans="2:17" ht="15" x14ac:dyDescent="0.2">
      <c r="B31" s="107">
        <f>B30+1</f>
        <v>21</v>
      </c>
      <c r="C31" s="97" t="s">
        <v>223</v>
      </c>
      <c r="D31" s="107" t="s">
        <v>222</v>
      </c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12"/>
    </row>
  </sheetData>
  <pageMargins left="0.7" right="0.7" top="0.75" bottom="0.75" header="0.3" footer="0.3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6"/>
  <sheetViews>
    <sheetView showGridLines="0" view="pageBreakPreview" zoomScale="80" zoomScaleNormal="96" zoomScaleSheetLayoutView="80" workbookViewId="0">
      <selection activeCell="E27" sqref="E27"/>
    </sheetView>
  </sheetViews>
  <sheetFormatPr defaultColWidth="9.28515625" defaultRowHeight="14.25" x14ac:dyDescent="0.2"/>
  <cols>
    <col min="1" max="1" width="9.28515625" style="5"/>
    <col min="2" max="2" width="7.28515625" style="5" customWidth="1"/>
    <col min="3" max="3" width="32.28515625" style="5" customWidth="1"/>
    <col min="4" max="4" width="14.42578125" style="5" customWidth="1"/>
    <col min="5" max="7" width="14.7109375" style="5" customWidth="1"/>
    <col min="8" max="8" width="12.28515625" style="5" bestFit="1" customWidth="1"/>
    <col min="9" max="10" width="12.28515625" style="5" customWidth="1"/>
    <col min="11" max="11" width="12.28515625" style="5" bestFit="1" customWidth="1"/>
    <col min="12" max="12" width="13" style="5" customWidth="1"/>
    <col min="13" max="13" width="13.42578125" style="5" customWidth="1"/>
    <col min="14" max="14" width="12.7109375" style="5" customWidth="1"/>
    <col min="15" max="16384" width="9.28515625" style="5"/>
  </cols>
  <sheetData>
    <row r="1" spans="2:16" ht="15" x14ac:dyDescent="0.2">
      <c r="C1" s="38"/>
      <c r="D1" s="38"/>
      <c r="E1" s="38"/>
      <c r="F1" s="38"/>
      <c r="G1" s="38"/>
      <c r="I1" s="36"/>
      <c r="J1" s="38"/>
    </row>
    <row r="2" spans="2:16" s="19" customFormat="1" ht="15.75" x14ac:dyDescent="0.2">
      <c r="B2" s="294" t="s">
        <v>551</v>
      </c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5"/>
      <c r="P2" s="5"/>
    </row>
    <row r="3" spans="2:16" s="19" customFormat="1" ht="15.75" x14ac:dyDescent="0.2">
      <c r="B3" s="294" t="s">
        <v>519</v>
      </c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5"/>
      <c r="P3" s="5"/>
    </row>
    <row r="4" spans="2:16" ht="15" x14ac:dyDescent="0.2">
      <c r="B4" s="311" t="s">
        <v>404</v>
      </c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</row>
    <row r="5" spans="2:16" ht="15" x14ac:dyDescent="0.2">
      <c r="B5" s="37"/>
      <c r="C5" s="37"/>
      <c r="D5" s="37"/>
      <c r="E5" s="37"/>
      <c r="F5" s="37"/>
      <c r="G5" s="37"/>
      <c r="H5" s="37"/>
      <c r="I5" s="37"/>
      <c r="J5" s="37"/>
    </row>
    <row r="6" spans="2:16" ht="15" x14ac:dyDescent="0.2">
      <c r="B6" s="312" t="s">
        <v>68</v>
      </c>
      <c r="C6" s="312"/>
      <c r="D6" s="312"/>
      <c r="E6" s="312"/>
      <c r="F6" s="312"/>
      <c r="G6" s="312"/>
      <c r="H6" s="312"/>
      <c r="I6" s="312"/>
      <c r="J6" s="312"/>
    </row>
    <row r="7" spans="2:16" ht="15" x14ac:dyDescent="0.2">
      <c r="N7" s="28" t="s">
        <v>4</v>
      </c>
    </row>
    <row r="8" spans="2:16" ht="13.9" customHeight="1" x14ac:dyDescent="0.2">
      <c r="B8" s="313" t="s">
        <v>210</v>
      </c>
      <c r="C8" s="313" t="s">
        <v>18</v>
      </c>
      <c r="D8" s="318" t="s">
        <v>1</v>
      </c>
      <c r="E8" s="315" t="s">
        <v>484</v>
      </c>
      <c r="F8" s="316"/>
      <c r="G8" s="317"/>
      <c r="H8" s="315" t="s">
        <v>485</v>
      </c>
      <c r="I8" s="316"/>
      <c r="J8" s="314" t="s">
        <v>252</v>
      </c>
      <c r="K8" s="314"/>
      <c r="L8" s="314"/>
      <c r="M8" s="314"/>
      <c r="N8" s="314"/>
    </row>
    <row r="9" spans="2:16" ht="30" x14ac:dyDescent="0.2">
      <c r="B9" s="313"/>
      <c r="C9" s="313"/>
      <c r="D9" s="319"/>
      <c r="E9" s="21" t="s">
        <v>397</v>
      </c>
      <c r="F9" s="21" t="s">
        <v>270</v>
      </c>
      <c r="G9" s="21" t="s">
        <v>226</v>
      </c>
      <c r="H9" s="21" t="s">
        <v>397</v>
      </c>
      <c r="I9" s="21" t="s">
        <v>269</v>
      </c>
      <c r="J9" s="21" t="s">
        <v>486</v>
      </c>
      <c r="K9" s="21" t="s">
        <v>487</v>
      </c>
      <c r="L9" s="21" t="s">
        <v>488</v>
      </c>
      <c r="M9" s="21" t="s">
        <v>489</v>
      </c>
      <c r="N9" s="21" t="s">
        <v>490</v>
      </c>
    </row>
    <row r="10" spans="2:16" ht="15" x14ac:dyDescent="0.2">
      <c r="B10" s="313"/>
      <c r="C10" s="313"/>
      <c r="D10" s="320"/>
      <c r="E10" s="21" t="s">
        <v>10</v>
      </c>
      <c r="F10" s="21" t="s">
        <v>12</v>
      </c>
      <c r="G10" s="21" t="s">
        <v>259</v>
      </c>
      <c r="H10" s="21" t="s">
        <v>10</v>
      </c>
      <c r="I10" s="21" t="s">
        <v>5</v>
      </c>
      <c r="J10" s="21" t="s">
        <v>8</v>
      </c>
      <c r="K10" s="21" t="s">
        <v>8</v>
      </c>
      <c r="L10" s="21" t="s">
        <v>8</v>
      </c>
      <c r="M10" s="21" t="s">
        <v>8</v>
      </c>
      <c r="N10" s="21" t="s">
        <v>8</v>
      </c>
    </row>
    <row r="11" spans="2:16" x14ac:dyDescent="0.2">
      <c r="B11" s="23">
        <v>1</v>
      </c>
      <c r="C11" s="31" t="s">
        <v>69</v>
      </c>
      <c r="D11" s="31" t="s">
        <v>24</v>
      </c>
      <c r="E11" s="135">
        <v>142.81399999999999</v>
      </c>
      <c r="F11" s="133">
        <f>F2.1!G36</f>
        <v>346.37880040856669</v>
      </c>
      <c r="G11" s="133">
        <f>F11</f>
        <v>346.37880040856669</v>
      </c>
      <c r="H11" s="135">
        <v>151.38</v>
      </c>
      <c r="I11" s="133">
        <f>F2.1!H36</f>
        <v>360.23404047364107</v>
      </c>
      <c r="J11" s="133">
        <f>F2.1!I36</f>
        <v>373.79605541613182</v>
      </c>
      <c r="K11" s="133">
        <f>F2.1!J36</f>
        <v>395.47622663026749</v>
      </c>
      <c r="L11" s="133">
        <f>F2.1!K36</f>
        <v>418.41384777482301</v>
      </c>
      <c r="M11" s="133">
        <f>F2.1!L36</f>
        <v>442.68185094576279</v>
      </c>
      <c r="N11" s="133">
        <f>F2.1!M36</f>
        <v>468.35739830061704</v>
      </c>
    </row>
    <row r="12" spans="2:16" x14ac:dyDescent="0.2">
      <c r="B12" s="23">
        <f>B11+1</f>
        <v>2</v>
      </c>
      <c r="C12" s="39" t="s">
        <v>271</v>
      </c>
      <c r="D12" s="39" t="s">
        <v>25</v>
      </c>
      <c r="E12" s="135">
        <v>11.42</v>
      </c>
      <c r="F12" s="134">
        <f>F2.2!G40</f>
        <v>12.108593793633762</v>
      </c>
      <c r="G12" s="133">
        <f>F12</f>
        <v>12.108593793633762</v>
      </c>
      <c r="H12" s="136">
        <v>12.1</v>
      </c>
      <c r="I12" s="133">
        <f>F2.2!H40</f>
        <v>16.434991693841386</v>
      </c>
      <c r="J12" s="133">
        <f>F2.2!I40</f>
        <v>14.971110588180714</v>
      </c>
      <c r="K12" s="133">
        <f>F2.2!J40</f>
        <v>15.704695007001568</v>
      </c>
      <c r="L12" s="133">
        <f>F2.2!K40</f>
        <v>16.474225062344644</v>
      </c>
      <c r="M12" s="133">
        <f>F2.2!L40</f>
        <v>17.281462090399529</v>
      </c>
      <c r="N12" s="133">
        <f>F2.2!M40</f>
        <v>18.128253732829105</v>
      </c>
    </row>
    <row r="13" spans="2:16" x14ac:dyDescent="0.2">
      <c r="B13" s="23">
        <f>B12+1</f>
        <v>3</v>
      </c>
      <c r="C13" s="31" t="s">
        <v>229</v>
      </c>
      <c r="D13" s="31" t="s">
        <v>305</v>
      </c>
      <c r="E13" s="135">
        <v>7.34</v>
      </c>
      <c r="F13" s="133">
        <f>F2.3!G18</f>
        <v>34.073393959643369</v>
      </c>
      <c r="G13" s="133">
        <f>F13</f>
        <v>34.073393959643369</v>
      </c>
      <c r="H13" s="136">
        <v>7.78</v>
      </c>
      <c r="I13" s="133">
        <f>F2.3!H18</f>
        <v>62.793178830540903</v>
      </c>
      <c r="J13" s="133">
        <f>F2.3!I18</f>
        <v>53.257001048210455</v>
      </c>
      <c r="K13" s="133">
        <f>F2.3!J18</f>
        <v>62.739464594754828</v>
      </c>
      <c r="L13" s="133">
        <f>F2.3!K18</f>
        <v>71.327859526379171</v>
      </c>
      <c r="M13" s="133">
        <f>F2.3!L18</f>
        <v>71.327859526379171</v>
      </c>
      <c r="N13" s="133">
        <f>F2.3!M18</f>
        <v>71.327859526379171</v>
      </c>
    </row>
    <row r="14" spans="2:16" ht="15" x14ac:dyDescent="0.2">
      <c r="B14" s="23">
        <f>B13+1</f>
        <v>4</v>
      </c>
      <c r="C14" s="31" t="s">
        <v>70</v>
      </c>
      <c r="D14" s="31"/>
      <c r="E14" s="117">
        <f>SUM(E11:E13)*0.99</f>
        <v>159.95826</v>
      </c>
      <c r="F14" s="117">
        <f t="shared" ref="F14:I14" si="0">SUM(F11:F13)</f>
        <v>392.56078816184379</v>
      </c>
      <c r="G14" s="117">
        <f>SUM(G11:G13)</f>
        <v>392.56078816184379</v>
      </c>
      <c r="H14" s="117">
        <f>SUM(H11:H13)*0.99</f>
        <v>169.54739999999998</v>
      </c>
      <c r="I14" s="117">
        <f t="shared" si="0"/>
        <v>439.46221099802335</v>
      </c>
      <c r="J14" s="117">
        <f>SUM(J11:J13)</f>
        <v>442.02416705252296</v>
      </c>
      <c r="K14" s="117">
        <f t="shared" ref="K14:N14" si="1">SUM(K11:K13)</f>
        <v>473.92038623202393</v>
      </c>
      <c r="L14" s="117">
        <f t="shared" si="1"/>
        <v>506.21593236354681</v>
      </c>
      <c r="M14" s="117">
        <f t="shared" si="1"/>
        <v>531.29117256254153</v>
      </c>
      <c r="N14" s="117">
        <f t="shared" si="1"/>
        <v>557.81351155982532</v>
      </c>
    </row>
    <row r="15" spans="2:16" x14ac:dyDescent="0.2">
      <c r="B15" s="50" t="s">
        <v>272</v>
      </c>
      <c r="C15" s="51"/>
      <c r="D15" s="48"/>
      <c r="E15" s="48"/>
      <c r="F15" s="48"/>
      <c r="G15" s="49"/>
      <c r="H15" s="49"/>
      <c r="I15" s="49"/>
      <c r="J15" s="49"/>
      <c r="K15" s="49"/>
      <c r="L15" s="49"/>
      <c r="M15" s="49"/>
      <c r="N15" s="49"/>
    </row>
    <row r="16" spans="2:16" x14ac:dyDescent="0.2">
      <c r="B16" s="52">
        <v>1</v>
      </c>
      <c r="C16" s="51" t="s">
        <v>273</v>
      </c>
    </row>
  </sheetData>
  <mergeCells count="10">
    <mergeCell ref="B2:N2"/>
    <mergeCell ref="B3:N3"/>
    <mergeCell ref="B4:N4"/>
    <mergeCell ref="B6:J6"/>
    <mergeCell ref="B8:B10"/>
    <mergeCell ref="C8:C10"/>
    <mergeCell ref="J8:N8"/>
    <mergeCell ref="H8:I8"/>
    <mergeCell ref="E8:G8"/>
    <mergeCell ref="D8:D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9"/>
  <sheetViews>
    <sheetView showGridLines="0" view="pageBreakPreview" zoomScale="70" zoomScaleNormal="80" zoomScaleSheetLayoutView="70" workbookViewId="0">
      <selection activeCell="E11" sqref="E11"/>
    </sheetView>
  </sheetViews>
  <sheetFormatPr defaultColWidth="9.28515625" defaultRowHeight="14.25" x14ac:dyDescent="0.2"/>
  <cols>
    <col min="1" max="1" width="6.7109375" style="19" customWidth="1"/>
    <col min="2" max="2" width="7" style="19" customWidth="1"/>
    <col min="3" max="3" width="44.85546875" style="19" customWidth="1"/>
    <col min="4" max="6" width="16.7109375" style="19" customWidth="1"/>
    <col min="7" max="7" width="16" style="19" customWidth="1"/>
    <col min="8" max="8" width="18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6" ht="14.25" customHeight="1" x14ac:dyDescent="0.2">
      <c r="B2" s="323" t="s">
        <v>550</v>
      </c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5"/>
      <c r="O2" s="5"/>
      <c r="P2" s="5"/>
    </row>
    <row r="3" spans="2:16" ht="14.25" customHeight="1" x14ac:dyDescent="0.2">
      <c r="B3" s="323" t="s">
        <v>518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5"/>
      <c r="O3" s="5"/>
      <c r="P3" s="5"/>
    </row>
    <row r="4" spans="2:16" s="4" customFormat="1" ht="15" x14ac:dyDescent="0.25">
      <c r="B4" s="324" t="s">
        <v>564</v>
      </c>
      <c r="C4" s="324"/>
      <c r="D4" s="324"/>
      <c r="E4" s="324"/>
      <c r="F4" s="324"/>
      <c r="G4" s="324"/>
      <c r="H4" s="324"/>
      <c r="I4" s="324"/>
      <c r="J4" s="324"/>
      <c r="K4" s="324"/>
      <c r="L4" s="324"/>
      <c r="M4" s="324"/>
    </row>
    <row r="5" spans="2:16" s="4" customFormat="1" ht="15" x14ac:dyDescent="0.25">
      <c r="C5" s="41"/>
      <c r="D5" s="41"/>
      <c r="E5" s="41"/>
      <c r="F5" s="41"/>
      <c r="G5" s="42"/>
      <c r="H5" s="42"/>
    </row>
    <row r="6" spans="2:16" ht="15" x14ac:dyDescent="0.2">
      <c r="M6" s="28" t="s">
        <v>4</v>
      </c>
    </row>
    <row r="7" spans="2:16" ht="12.75" customHeight="1" x14ac:dyDescent="0.2">
      <c r="B7" s="321" t="s">
        <v>2</v>
      </c>
      <c r="C7" s="321" t="s">
        <v>18</v>
      </c>
      <c r="D7" s="21" t="s">
        <v>507</v>
      </c>
      <c r="E7" s="21" t="s">
        <v>508</v>
      </c>
      <c r="F7" s="21" t="s">
        <v>509</v>
      </c>
      <c r="G7" s="21" t="s">
        <v>484</v>
      </c>
      <c r="H7" s="21" t="s">
        <v>485</v>
      </c>
      <c r="I7" s="314" t="s">
        <v>252</v>
      </c>
      <c r="J7" s="314"/>
      <c r="K7" s="314"/>
      <c r="L7" s="314"/>
      <c r="M7" s="314"/>
    </row>
    <row r="8" spans="2:16" ht="15" x14ac:dyDescent="0.2">
      <c r="B8" s="321"/>
      <c r="C8" s="321"/>
      <c r="D8" s="21" t="s">
        <v>270</v>
      </c>
      <c r="E8" s="21" t="s">
        <v>270</v>
      </c>
      <c r="F8" s="21" t="s">
        <v>270</v>
      </c>
      <c r="G8" s="21" t="s">
        <v>270</v>
      </c>
      <c r="H8" s="21" t="s">
        <v>269</v>
      </c>
      <c r="I8" s="21" t="s">
        <v>486</v>
      </c>
      <c r="J8" s="21" t="s">
        <v>487</v>
      </c>
      <c r="K8" s="21" t="s">
        <v>488</v>
      </c>
      <c r="L8" s="21" t="s">
        <v>489</v>
      </c>
      <c r="M8" s="21" t="s">
        <v>490</v>
      </c>
    </row>
    <row r="9" spans="2:16" ht="15" x14ac:dyDescent="0.2">
      <c r="B9" s="322"/>
      <c r="C9" s="321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6" x14ac:dyDescent="0.2">
      <c r="B10" s="2">
        <v>1</v>
      </c>
      <c r="C10" s="43" t="s">
        <v>73</v>
      </c>
      <c r="D10" s="130"/>
      <c r="E10" s="130"/>
      <c r="F10" s="130"/>
      <c r="G10" s="127">
        <v>178.41759329387642</v>
      </c>
      <c r="H10" s="213">
        <v>170.08796053511372</v>
      </c>
      <c r="I10" s="3"/>
      <c r="J10" s="3"/>
      <c r="K10" s="3"/>
      <c r="L10" s="3"/>
      <c r="M10" s="3"/>
    </row>
    <row r="11" spans="2:16" x14ac:dyDescent="0.2">
      <c r="B11" s="2">
        <v>2</v>
      </c>
      <c r="C11" s="43" t="s">
        <v>74</v>
      </c>
      <c r="D11" s="130"/>
      <c r="E11" s="130"/>
      <c r="F11" s="130"/>
      <c r="G11" s="127">
        <v>8.848140431901685</v>
      </c>
      <c r="H11" s="213">
        <v>15.068526868267014</v>
      </c>
      <c r="I11" s="3"/>
      <c r="J11" s="3"/>
      <c r="K11" s="3"/>
      <c r="L11" s="3"/>
      <c r="M11" s="3"/>
    </row>
    <row r="12" spans="2:16" x14ac:dyDescent="0.2">
      <c r="B12" s="2">
        <v>3</v>
      </c>
      <c r="C12" s="3" t="s">
        <v>75</v>
      </c>
      <c r="D12" s="127"/>
      <c r="E12" s="127"/>
      <c r="F12" s="127"/>
      <c r="G12" s="127">
        <v>15.849540286640678</v>
      </c>
      <c r="H12" s="213">
        <v>15.828517577364472</v>
      </c>
      <c r="I12" s="3"/>
      <c r="J12" s="3"/>
      <c r="K12" s="3"/>
      <c r="L12" s="3"/>
      <c r="M12" s="3"/>
    </row>
    <row r="13" spans="2:16" x14ac:dyDescent="0.2">
      <c r="B13" s="2">
        <v>4</v>
      </c>
      <c r="C13" s="43" t="s">
        <v>76</v>
      </c>
      <c r="D13" s="130"/>
      <c r="E13" s="130"/>
      <c r="F13" s="130"/>
      <c r="G13" s="127">
        <v>0.98422892384161109</v>
      </c>
      <c r="H13" s="213">
        <v>0.99028108615136479</v>
      </c>
      <c r="I13" s="3"/>
      <c r="J13" s="3"/>
      <c r="K13" s="3"/>
      <c r="L13" s="3"/>
      <c r="M13" s="3"/>
    </row>
    <row r="14" spans="2:16" x14ac:dyDescent="0.2">
      <c r="B14" s="2">
        <v>5</v>
      </c>
      <c r="C14" s="43" t="s">
        <v>77</v>
      </c>
      <c r="D14" s="130"/>
      <c r="E14" s="130"/>
      <c r="F14" s="130"/>
      <c r="G14" s="127">
        <v>4.8943302545757328E-4</v>
      </c>
      <c r="H14" s="213">
        <v>7.742048892411407E-4</v>
      </c>
      <c r="I14" s="3"/>
      <c r="J14" s="3"/>
      <c r="K14" s="3"/>
      <c r="L14" s="3"/>
      <c r="M14" s="3"/>
    </row>
    <row r="15" spans="2:16" x14ac:dyDescent="0.2">
      <c r="B15" s="2">
        <v>6</v>
      </c>
      <c r="C15" s="3" t="s">
        <v>78</v>
      </c>
      <c r="D15" s="127"/>
      <c r="E15" s="127"/>
      <c r="F15" s="127"/>
      <c r="G15" s="127">
        <v>41.578801949951426</v>
      </c>
      <c r="H15" s="213">
        <v>35.153928876490689</v>
      </c>
      <c r="I15" s="3"/>
      <c r="J15" s="3"/>
      <c r="K15" s="3"/>
      <c r="L15" s="3"/>
      <c r="M15" s="3"/>
    </row>
    <row r="16" spans="2:16" x14ac:dyDescent="0.2">
      <c r="B16" s="2">
        <v>7</v>
      </c>
      <c r="C16" s="43" t="s">
        <v>79</v>
      </c>
      <c r="D16" s="130"/>
      <c r="E16" s="130"/>
      <c r="F16" s="130"/>
      <c r="G16" s="127">
        <v>32.04151234241418</v>
      </c>
      <c r="H16" s="213">
        <v>31.134307381610306</v>
      </c>
      <c r="I16" s="3"/>
      <c r="J16" s="3"/>
      <c r="K16" s="3"/>
      <c r="L16" s="3"/>
      <c r="M16" s="3"/>
    </row>
    <row r="17" spans="2:13" x14ac:dyDescent="0.2">
      <c r="B17" s="2">
        <v>8</v>
      </c>
      <c r="C17" s="43" t="s">
        <v>80</v>
      </c>
      <c r="D17" s="130"/>
      <c r="E17" s="130"/>
      <c r="F17" s="130"/>
      <c r="G17" s="127">
        <v>6.2309173332469587</v>
      </c>
      <c r="H17" s="213">
        <v>1.866273838060716</v>
      </c>
      <c r="I17" s="3"/>
      <c r="J17" s="3"/>
      <c r="K17" s="3"/>
      <c r="L17" s="3"/>
      <c r="M17" s="3"/>
    </row>
    <row r="18" spans="2:13" x14ac:dyDescent="0.2">
      <c r="B18" s="2">
        <v>9</v>
      </c>
      <c r="C18" s="43" t="s">
        <v>81</v>
      </c>
      <c r="D18" s="130"/>
      <c r="E18" s="130"/>
      <c r="F18" s="130"/>
      <c r="G18" s="127">
        <v>0</v>
      </c>
      <c r="H18" s="213">
        <v>0</v>
      </c>
      <c r="I18" s="3"/>
      <c r="J18" s="3"/>
      <c r="K18" s="3"/>
      <c r="L18" s="3"/>
      <c r="M18" s="3"/>
    </row>
    <row r="19" spans="2:13" x14ac:dyDescent="0.2">
      <c r="B19" s="2">
        <v>10</v>
      </c>
      <c r="C19" s="43" t="s">
        <v>82</v>
      </c>
      <c r="D19" s="130"/>
      <c r="E19" s="130"/>
      <c r="F19" s="130"/>
      <c r="G19" s="130">
        <v>0</v>
      </c>
      <c r="H19" s="213">
        <v>0</v>
      </c>
      <c r="I19" s="3"/>
      <c r="J19" s="3"/>
      <c r="K19" s="3"/>
      <c r="L19" s="3"/>
      <c r="M19" s="3"/>
    </row>
    <row r="20" spans="2:13" x14ac:dyDescent="0.2">
      <c r="B20" s="2">
        <v>11</v>
      </c>
      <c r="C20" s="43" t="s">
        <v>83</v>
      </c>
      <c r="D20" s="130"/>
      <c r="E20" s="130"/>
      <c r="F20" s="130"/>
      <c r="G20" s="130">
        <v>0</v>
      </c>
      <c r="H20" s="213">
        <v>5.2675309899680202E-3</v>
      </c>
      <c r="I20" s="3"/>
      <c r="J20" s="3"/>
      <c r="K20" s="3"/>
      <c r="L20" s="3"/>
      <c r="M20" s="3"/>
    </row>
    <row r="21" spans="2:13" x14ac:dyDescent="0.2">
      <c r="B21" s="2">
        <v>12</v>
      </c>
      <c r="C21" s="43" t="s">
        <v>84</v>
      </c>
      <c r="D21" s="130"/>
      <c r="E21" s="130"/>
      <c r="F21" s="130"/>
      <c r="G21" s="130">
        <v>4.5637569170329053</v>
      </c>
      <c r="H21" s="213">
        <v>4.098449367815733</v>
      </c>
      <c r="I21" s="3"/>
      <c r="J21" s="3"/>
      <c r="K21" s="3"/>
      <c r="L21" s="3"/>
      <c r="M21" s="3"/>
    </row>
    <row r="22" spans="2:13" x14ac:dyDescent="0.2">
      <c r="B22" s="2">
        <v>13</v>
      </c>
      <c r="C22" s="43" t="s">
        <v>85</v>
      </c>
      <c r="D22" s="130"/>
      <c r="E22" s="130"/>
      <c r="F22" s="130"/>
      <c r="G22" s="130">
        <v>0</v>
      </c>
      <c r="H22" s="213">
        <v>0</v>
      </c>
      <c r="I22" s="3"/>
      <c r="J22" s="3"/>
      <c r="K22" s="3"/>
      <c r="L22" s="3"/>
      <c r="M22" s="3"/>
    </row>
    <row r="23" spans="2:13" x14ac:dyDescent="0.2">
      <c r="B23" s="2">
        <v>14</v>
      </c>
      <c r="C23" s="43" t="s">
        <v>86</v>
      </c>
      <c r="D23" s="130"/>
      <c r="E23" s="130"/>
      <c r="F23" s="130"/>
      <c r="G23" s="130">
        <v>0</v>
      </c>
      <c r="H23" s="213">
        <v>0</v>
      </c>
      <c r="I23" s="3"/>
      <c r="J23" s="3"/>
      <c r="K23" s="3"/>
      <c r="L23" s="3"/>
      <c r="M23" s="3"/>
    </row>
    <row r="24" spans="2:13" x14ac:dyDescent="0.2">
      <c r="B24" s="2">
        <v>15</v>
      </c>
      <c r="C24" s="43" t="s">
        <v>87</v>
      </c>
      <c r="D24" s="130"/>
      <c r="E24" s="130"/>
      <c r="F24" s="130"/>
      <c r="G24" s="127">
        <v>0</v>
      </c>
      <c r="H24" s="213">
        <v>0</v>
      </c>
      <c r="I24" s="3"/>
      <c r="J24" s="3"/>
      <c r="K24" s="3"/>
      <c r="L24" s="3"/>
      <c r="M24" s="3"/>
    </row>
    <row r="25" spans="2:13" x14ac:dyDescent="0.2">
      <c r="B25" s="2">
        <v>16</v>
      </c>
      <c r="C25" s="43" t="s">
        <v>88</v>
      </c>
      <c r="D25" s="130"/>
      <c r="E25" s="130"/>
      <c r="F25" s="130"/>
      <c r="G25" s="137">
        <v>0</v>
      </c>
      <c r="H25" s="213">
        <v>0</v>
      </c>
      <c r="I25" s="3"/>
      <c r="J25" s="3"/>
      <c r="K25" s="3"/>
      <c r="L25" s="3"/>
      <c r="M25" s="3"/>
    </row>
    <row r="26" spans="2:13" ht="15" x14ac:dyDescent="0.25">
      <c r="B26" s="2">
        <v>17</v>
      </c>
      <c r="C26" s="43" t="s">
        <v>89</v>
      </c>
      <c r="D26" s="130"/>
      <c r="E26" s="130"/>
      <c r="F26" s="130"/>
      <c r="G26" s="137">
        <v>288.51498091193127</v>
      </c>
      <c r="H26" s="214">
        <v>274.2342872667532</v>
      </c>
      <c r="I26" s="3"/>
      <c r="J26" s="3"/>
      <c r="K26" s="3"/>
      <c r="L26" s="3"/>
      <c r="M26" s="3"/>
    </row>
    <row r="27" spans="2:13" x14ac:dyDescent="0.2">
      <c r="B27" s="2">
        <v>18</v>
      </c>
      <c r="C27" s="43" t="s">
        <v>90</v>
      </c>
      <c r="D27" s="130"/>
      <c r="E27" s="130"/>
      <c r="F27" s="130"/>
      <c r="G27" s="137">
        <v>0</v>
      </c>
      <c r="H27" s="213">
        <v>0</v>
      </c>
      <c r="I27" s="3"/>
      <c r="J27" s="3"/>
      <c r="K27" s="3"/>
      <c r="L27" s="3"/>
      <c r="M27" s="3"/>
    </row>
    <row r="28" spans="2:13" x14ac:dyDescent="0.2">
      <c r="B28" s="2">
        <f>+B27+0.1</f>
        <v>18.100000000000001</v>
      </c>
      <c r="C28" s="43" t="s">
        <v>91</v>
      </c>
      <c r="D28" s="130"/>
      <c r="E28" s="130"/>
      <c r="F28" s="130"/>
      <c r="G28" s="137">
        <v>14.97649736661621</v>
      </c>
      <c r="H28" s="213">
        <v>15.364222960885858</v>
      </c>
      <c r="I28" s="3"/>
      <c r="J28" s="3"/>
      <c r="K28" s="3"/>
      <c r="L28" s="3"/>
      <c r="M28" s="3"/>
    </row>
    <row r="29" spans="2:13" x14ac:dyDescent="0.2">
      <c r="B29" s="2">
        <f>+B28+0.1</f>
        <v>18.200000000000003</v>
      </c>
      <c r="C29" s="43" t="s">
        <v>92</v>
      </c>
      <c r="D29" s="130"/>
      <c r="E29" s="130"/>
      <c r="F29" s="130"/>
      <c r="G29" s="137">
        <v>0</v>
      </c>
      <c r="H29" s="213">
        <v>0</v>
      </c>
      <c r="I29" s="3"/>
      <c r="J29" s="3"/>
      <c r="K29" s="3"/>
      <c r="L29" s="3"/>
      <c r="M29" s="3"/>
    </row>
    <row r="30" spans="2:13" x14ac:dyDescent="0.2">
      <c r="B30" s="2">
        <f>+B29+0.1</f>
        <v>18.300000000000004</v>
      </c>
      <c r="C30" s="43" t="s">
        <v>93</v>
      </c>
      <c r="D30" s="130"/>
      <c r="E30" s="130"/>
      <c r="F30" s="130"/>
      <c r="G30" s="137">
        <v>0</v>
      </c>
      <c r="H30" s="213">
        <v>0</v>
      </c>
      <c r="I30" s="3"/>
      <c r="J30" s="3"/>
      <c r="K30" s="3"/>
      <c r="L30" s="3"/>
      <c r="M30" s="3"/>
    </row>
    <row r="31" spans="2:13" x14ac:dyDescent="0.2">
      <c r="B31" s="2">
        <f>+B30+0.1</f>
        <v>18.400000000000006</v>
      </c>
      <c r="C31" s="43" t="s">
        <v>94</v>
      </c>
      <c r="D31" s="130"/>
      <c r="E31" s="130"/>
      <c r="F31" s="130"/>
      <c r="G31" s="127">
        <v>42.887322130019157</v>
      </c>
      <c r="H31" s="213">
        <v>70.635530246002034</v>
      </c>
      <c r="I31" s="3"/>
      <c r="J31" s="3"/>
      <c r="K31" s="3"/>
      <c r="L31" s="3"/>
      <c r="M31" s="3"/>
    </row>
    <row r="32" spans="2:13" x14ac:dyDescent="0.2">
      <c r="B32" s="2">
        <v>19</v>
      </c>
      <c r="C32" s="47" t="s">
        <v>431</v>
      </c>
      <c r="D32" s="130"/>
      <c r="E32" s="130"/>
      <c r="F32" s="130"/>
      <c r="G32" s="127">
        <v>0</v>
      </c>
      <c r="H32" s="213">
        <v>0</v>
      </c>
      <c r="I32" s="3"/>
      <c r="J32" s="3"/>
      <c r="K32" s="3"/>
      <c r="L32" s="3"/>
      <c r="M32" s="3"/>
    </row>
    <row r="33" spans="2:13" x14ac:dyDescent="0.2">
      <c r="B33" s="2">
        <v>20</v>
      </c>
      <c r="C33" s="43" t="s">
        <v>95</v>
      </c>
      <c r="D33" s="130"/>
      <c r="E33" s="130"/>
      <c r="F33" s="130"/>
      <c r="G33" s="127">
        <v>0</v>
      </c>
      <c r="H33" s="213">
        <v>0</v>
      </c>
      <c r="I33" s="127">
        <v>373.79605541613182</v>
      </c>
      <c r="J33" s="127">
        <v>395.47622663026749</v>
      </c>
      <c r="K33" s="127">
        <v>418.41384777482301</v>
      </c>
      <c r="L33" s="127">
        <v>442.68185094576279</v>
      </c>
      <c r="M33" s="127">
        <v>468.35739830061704</v>
      </c>
    </row>
    <row r="34" spans="2:13" ht="15" x14ac:dyDescent="0.25">
      <c r="B34" s="20">
        <v>21</v>
      </c>
      <c r="C34" s="44" t="s">
        <v>96</v>
      </c>
      <c r="D34" s="129"/>
      <c r="E34" s="129">
        <f t="shared" ref="E34:G34" si="0">SUM(E26:E33)</f>
        <v>0</v>
      </c>
      <c r="F34" s="129">
        <f t="shared" si="0"/>
        <v>0</v>
      </c>
      <c r="G34" s="129">
        <f t="shared" si="0"/>
        <v>346.37880040856669</v>
      </c>
      <c r="H34" s="129">
        <f t="shared" ref="H34" si="1">SUM(H26:H33)</f>
        <v>360.23404047364107</v>
      </c>
      <c r="I34" s="129">
        <f t="shared" ref="I34:M34" si="2">SUM(I10:I33)</f>
        <v>373.79605541613182</v>
      </c>
      <c r="J34" s="129">
        <f t="shared" si="2"/>
        <v>395.47622663026749</v>
      </c>
      <c r="K34" s="129">
        <f t="shared" si="2"/>
        <v>418.41384777482301</v>
      </c>
      <c r="L34" s="129">
        <f t="shared" si="2"/>
        <v>442.68185094576279</v>
      </c>
      <c r="M34" s="129">
        <f t="shared" si="2"/>
        <v>468.35739830061704</v>
      </c>
    </row>
    <row r="35" spans="2:13" x14ac:dyDescent="0.2">
      <c r="B35" s="2">
        <v>22</v>
      </c>
      <c r="C35" s="43" t="s">
        <v>17</v>
      </c>
      <c r="D35" s="130"/>
      <c r="E35" s="130"/>
      <c r="F35" s="130"/>
      <c r="G35" s="127">
        <v>0</v>
      </c>
      <c r="H35" s="127">
        <v>0</v>
      </c>
      <c r="I35" s="127"/>
      <c r="J35" s="127"/>
      <c r="K35" s="127"/>
      <c r="L35" s="127"/>
      <c r="M35" s="127"/>
    </row>
    <row r="36" spans="2:13" ht="15" x14ac:dyDescent="0.2">
      <c r="B36" s="20">
        <v>23</v>
      </c>
      <c r="C36" s="22" t="s">
        <v>97</v>
      </c>
      <c r="D36" s="119">
        <v>0</v>
      </c>
      <c r="E36" s="119">
        <v>85.68</v>
      </c>
      <c r="F36" s="119">
        <v>134.72999999999999</v>
      </c>
      <c r="G36" s="119">
        <f t="shared" ref="G36:M36" si="3">G34-G35</f>
        <v>346.37880040856669</v>
      </c>
      <c r="H36" s="119">
        <f t="shared" si="3"/>
        <v>360.23404047364107</v>
      </c>
      <c r="I36" s="119">
        <f t="shared" si="3"/>
        <v>373.79605541613182</v>
      </c>
      <c r="J36" s="119">
        <f t="shared" si="3"/>
        <v>395.47622663026749</v>
      </c>
      <c r="K36" s="119">
        <f t="shared" si="3"/>
        <v>418.41384777482301</v>
      </c>
      <c r="L36" s="119">
        <f t="shared" si="3"/>
        <v>442.68185094576279</v>
      </c>
      <c r="M36" s="119">
        <f t="shared" si="3"/>
        <v>468.35739830061704</v>
      </c>
    </row>
    <row r="38" spans="2:13" ht="15" x14ac:dyDescent="0.2">
      <c r="B38" s="45"/>
    </row>
    <row r="39" spans="2:13" x14ac:dyDescent="0.2">
      <c r="B39" s="46"/>
    </row>
  </sheetData>
  <mergeCells count="6">
    <mergeCell ref="I7:M7"/>
    <mergeCell ref="B7:B9"/>
    <mergeCell ref="C7:C9"/>
    <mergeCell ref="B2:M2"/>
    <mergeCell ref="B3:M3"/>
    <mergeCell ref="B4:M4"/>
  </mergeCells>
  <pageMargins left="0.23" right="0.45" top="1" bottom="1" header="0.5" footer="0.5"/>
  <pageSetup paperSize="9" scale="69" fitToHeight="0" orientation="landscape" r:id="rId1"/>
  <headerFooter alignWithMargins="0"/>
  <rowBreaks count="1" manualBreakCount="1">
    <brk id="3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40"/>
  <sheetViews>
    <sheetView showGridLines="0" topLeftCell="A16" zoomScale="80" zoomScaleNormal="80" zoomScaleSheetLayoutView="70" workbookViewId="0">
      <selection activeCell="B4" sqref="B4:M4"/>
    </sheetView>
  </sheetViews>
  <sheetFormatPr defaultColWidth="9.28515625" defaultRowHeight="14.25" x14ac:dyDescent="0.2"/>
  <cols>
    <col min="1" max="1" width="2" style="19" customWidth="1"/>
    <col min="2" max="2" width="7" style="19" customWidth="1"/>
    <col min="3" max="3" width="50.2851562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 ht="15.75" x14ac:dyDescent="0.2">
      <c r="B2" s="294" t="s">
        <v>551</v>
      </c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</row>
    <row r="3" spans="2:13" ht="15.75" x14ac:dyDescent="0.2">
      <c r="B3" s="294" t="s">
        <v>519</v>
      </c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</row>
    <row r="4" spans="2:13" s="4" customFormat="1" ht="15.75" x14ac:dyDescent="0.2">
      <c r="B4" s="294" t="s">
        <v>565</v>
      </c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</row>
    <row r="6" spans="2:13" ht="15" x14ac:dyDescent="0.2">
      <c r="M6" s="28" t="s">
        <v>4</v>
      </c>
    </row>
    <row r="7" spans="2:13" ht="12.75" customHeight="1" x14ac:dyDescent="0.2">
      <c r="B7" s="325" t="s">
        <v>210</v>
      </c>
      <c r="C7" s="321" t="s">
        <v>18</v>
      </c>
      <c r="D7" s="21" t="s">
        <v>507</v>
      </c>
      <c r="E7" s="21" t="s">
        <v>508</v>
      </c>
      <c r="F7" s="21" t="s">
        <v>509</v>
      </c>
      <c r="G7" s="21" t="s">
        <v>484</v>
      </c>
      <c r="H7" s="21"/>
      <c r="I7" s="314" t="s">
        <v>252</v>
      </c>
      <c r="J7" s="314"/>
      <c r="K7" s="314"/>
      <c r="L7" s="314"/>
      <c r="M7" s="314"/>
    </row>
    <row r="8" spans="2:13" ht="15" x14ac:dyDescent="0.2">
      <c r="B8" s="325"/>
      <c r="C8" s="321"/>
      <c r="D8" s="21" t="s">
        <v>270</v>
      </c>
      <c r="E8" s="21" t="s">
        <v>270</v>
      </c>
      <c r="F8" s="21" t="s">
        <v>270</v>
      </c>
      <c r="G8" s="21" t="s">
        <v>270</v>
      </c>
      <c r="H8" s="21" t="s">
        <v>269</v>
      </c>
      <c r="I8" s="21" t="s">
        <v>486</v>
      </c>
      <c r="J8" s="21" t="s">
        <v>487</v>
      </c>
      <c r="K8" s="21" t="s">
        <v>488</v>
      </c>
      <c r="L8" s="21" t="s">
        <v>489</v>
      </c>
      <c r="M8" s="21" t="s">
        <v>490</v>
      </c>
    </row>
    <row r="9" spans="2:13" ht="15" x14ac:dyDescent="0.2">
      <c r="B9" s="325"/>
      <c r="C9" s="321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 x14ac:dyDescent="0.2">
      <c r="B10" s="3">
        <v>1</v>
      </c>
      <c r="C10" s="53" t="s">
        <v>98</v>
      </c>
      <c r="D10" s="127">
        <v>0</v>
      </c>
      <c r="E10" s="127">
        <v>0.6299132443232115</v>
      </c>
      <c r="F10" s="127">
        <v>0.84372730667256302</v>
      </c>
      <c r="G10" s="127">
        <v>0.30977839073545332</v>
      </c>
      <c r="H10" s="215">
        <v>0.48530056313116204</v>
      </c>
      <c r="I10" s="3"/>
      <c r="J10" s="3"/>
      <c r="K10" s="3"/>
      <c r="L10" s="3"/>
      <c r="M10" s="3"/>
    </row>
    <row r="11" spans="2:13" x14ac:dyDescent="0.2">
      <c r="B11" s="3">
        <v>2</v>
      </c>
      <c r="C11" s="54" t="s">
        <v>99</v>
      </c>
      <c r="D11" s="127">
        <v>0</v>
      </c>
      <c r="E11" s="127">
        <v>0.97011109566664089</v>
      </c>
      <c r="F11" s="127">
        <v>3.1169426117861914</v>
      </c>
      <c r="G11" s="127">
        <v>4.3634234473721287</v>
      </c>
      <c r="H11" s="215">
        <v>5.181349582543084</v>
      </c>
      <c r="I11" s="3"/>
      <c r="J11" s="3"/>
      <c r="K11" s="3"/>
      <c r="L11" s="3"/>
      <c r="M11" s="3"/>
    </row>
    <row r="12" spans="2:13" x14ac:dyDescent="0.2">
      <c r="B12" s="3">
        <v>3</v>
      </c>
      <c r="C12" s="54" t="s">
        <v>100</v>
      </c>
      <c r="D12" s="127">
        <v>0</v>
      </c>
      <c r="E12" s="127">
        <v>8.2735555726678289E-2</v>
      </c>
      <c r="F12" s="127">
        <v>0.10838392963448638</v>
      </c>
      <c r="G12" s="127">
        <v>0.27884236779544436</v>
      </c>
      <c r="H12" s="215">
        <v>0.29367203627364208</v>
      </c>
      <c r="I12" s="3"/>
      <c r="J12" s="3"/>
      <c r="K12" s="3"/>
      <c r="L12" s="3"/>
      <c r="M12" s="3"/>
    </row>
    <row r="13" spans="2:13" x14ac:dyDescent="0.2">
      <c r="B13" s="3">
        <v>4</v>
      </c>
      <c r="C13" s="54" t="s">
        <v>101</v>
      </c>
      <c r="D13" s="127">
        <v>0</v>
      </c>
      <c r="E13" s="127">
        <v>0.21242154126120014</v>
      </c>
      <c r="F13" s="127">
        <v>0.17396274509199142</v>
      </c>
      <c r="G13" s="127">
        <v>0.28216637663278998</v>
      </c>
      <c r="H13" s="215">
        <v>0.19106625609458985</v>
      </c>
      <c r="I13" s="3"/>
      <c r="J13" s="3"/>
      <c r="K13" s="3"/>
      <c r="L13" s="3"/>
      <c r="M13" s="3"/>
    </row>
    <row r="14" spans="2:13" x14ac:dyDescent="0.2">
      <c r="B14" s="3">
        <v>5</v>
      </c>
      <c r="C14" s="54" t="s">
        <v>102</v>
      </c>
      <c r="D14" s="127">
        <v>0</v>
      </c>
      <c r="E14" s="127">
        <v>3.3271155251916165E-2</v>
      </c>
      <c r="F14" s="127">
        <v>0.10509093040112272</v>
      </c>
      <c r="G14" s="127">
        <v>0.10591177220671469</v>
      </c>
      <c r="H14" s="215">
        <v>3.2282531888004486E-2</v>
      </c>
      <c r="I14" s="3"/>
      <c r="J14" s="3"/>
      <c r="K14" s="3"/>
      <c r="L14" s="3"/>
      <c r="M14" s="3"/>
    </row>
    <row r="15" spans="2:13" x14ac:dyDescent="0.2">
      <c r="B15" s="3">
        <v>6</v>
      </c>
      <c r="C15" s="54" t="s">
        <v>103</v>
      </c>
      <c r="D15" s="127">
        <v>0</v>
      </c>
      <c r="E15" s="127">
        <v>3.7172133706799504E-2</v>
      </c>
      <c r="F15" s="127">
        <v>4.5274007701679449E-2</v>
      </c>
      <c r="G15" s="127">
        <v>0.13682952898231113</v>
      </c>
      <c r="H15" s="215">
        <v>0.11790186545130958</v>
      </c>
      <c r="I15" s="3"/>
      <c r="J15" s="3"/>
      <c r="K15" s="3"/>
      <c r="L15" s="3"/>
      <c r="M15" s="3"/>
    </row>
    <row r="16" spans="2:13" x14ac:dyDescent="0.2">
      <c r="B16" s="3">
        <v>7</v>
      </c>
      <c r="C16" s="54" t="s">
        <v>104</v>
      </c>
      <c r="D16" s="127">
        <v>0</v>
      </c>
      <c r="E16" s="127">
        <v>2.2195305328146446</v>
      </c>
      <c r="F16" s="127">
        <v>4.0964474540690592</v>
      </c>
      <c r="G16" s="127">
        <v>1.7729627300695527</v>
      </c>
      <c r="H16" s="215">
        <v>0.31827312215824805</v>
      </c>
      <c r="I16" s="3"/>
      <c r="J16" s="3"/>
      <c r="K16" s="3"/>
      <c r="L16" s="3"/>
      <c r="M16" s="3"/>
    </row>
    <row r="17" spans="2:13" x14ac:dyDescent="0.2">
      <c r="B17" s="3">
        <v>8</v>
      </c>
      <c r="C17" s="54" t="s">
        <v>105</v>
      </c>
      <c r="D17" s="127">
        <v>0</v>
      </c>
      <c r="E17" s="127">
        <v>2.093194081088167E-2</v>
      </c>
      <c r="F17" s="127">
        <v>8.0481594003978842E-3</v>
      </c>
      <c r="G17" s="127">
        <v>4.2037113181068115E-3</v>
      </c>
      <c r="H17" s="215">
        <v>3.6562795940332381E-3</v>
      </c>
      <c r="I17" s="3"/>
      <c r="J17" s="3"/>
      <c r="K17" s="3"/>
      <c r="L17" s="3"/>
      <c r="M17" s="3"/>
    </row>
    <row r="18" spans="2:13" x14ac:dyDescent="0.2">
      <c r="B18" s="3">
        <v>9</v>
      </c>
      <c r="C18" s="54" t="s">
        <v>106</v>
      </c>
      <c r="D18" s="127">
        <v>0</v>
      </c>
      <c r="E18" s="127">
        <v>0.43382422133613502</v>
      </c>
      <c r="F18" s="127">
        <v>1.2138632175538764</v>
      </c>
      <c r="G18" s="127">
        <v>1.1786566796943387</v>
      </c>
      <c r="H18" s="215">
        <v>4.8579234491938399</v>
      </c>
      <c r="I18" s="3"/>
      <c r="J18" s="3"/>
      <c r="K18" s="3"/>
      <c r="L18" s="3"/>
      <c r="M18" s="3"/>
    </row>
    <row r="19" spans="2:13" x14ac:dyDescent="0.2">
      <c r="B19" s="3">
        <v>10</v>
      </c>
      <c r="C19" s="54" t="s">
        <v>107</v>
      </c>
      <c r="D19" s="127">
        <v>0</v>
      </c>
      <c r="E19" s="127">
        <v>0.28019266967907097</v>
      </c>
      <c r="F19" s="127">
        <v>5.0667378128710881E-2</v>
      </c>
      <c r="G19" s="127">
        <v>3.9982002066529923E-2</v>
      </c>
      <c r="H19" s="215">
        <v>3.9079844447254229E-2</v>
      </c>
      <c r="I19" s="3"/>
      <c r="J19" s="3"/>
      <c r="K19" s="3"/>
      <c r="L19" s="3"/>
      <c r="M19" s="3"/>
    </row>
    <row r="20" spans="2:13" x14ac:dyDescent="0.2">
      <c r="B20" s="3">
        <v>11</v>
      </c>
      <c r="C20" s="54" t="s">
        <v>108</v>
      </c>
      <c r="D20" s="127">
        <v>0</v>
      </c>
      <c r="E20" s="127">
        <v>1.1275E-4</v>
      </c>
      <c r="F20" s="127">
        <v>1.9448E-3</v>
      </c>
      <c r="G20" s="127">
        <v>1.855084558086455E-3</v>
      </c>
      <c r="H20" s="215">
        <v>7.5836546969589491E-4</v>
      </c>
      <c r="I20" s="3"/>
      <c r="J20" s="3"/>
      <c r="K20" s="3"/>
      <c r="L20" s="3"/>
      <c r="M20" s="3"/>
    </row>
    <row r="21" spans="2:13" x14ac:dyDescent="0.2">
      <c r="B21" s="3">
        <v>12</v>
      </c>
      <c r="C21" s="54" t="s">
        <v>109</v>
      </c>
      <c r="D21" s="127">
        <v>0</v>
      </c>
      <c r="E21" s="127">
        <v>0</v>
      </c>
      <c r="F21" s="127">
        <v>0</v>
      </c>
      <c r="G21" s="127">
        <v>0</v>
      </c>
      <c r="H21" s="215">
        <v>0</v>
      </c>
      <c r="I21" s="3"/>
      <c r="J21" s="3"/>
      <c r="K21" s="3"/>
      <c r="L21" s="3"/>
      <c r="M21" s="3"/>
    </row>
    <row r="22" spans="2:13" x14ac:dyDescent="0.2">
      <c r="B22" s="3">
        <v>13</v>
      </c>
      <c r="C22" s="54" t="s">
        <v>110</v>
      </c>
      <c r="D22" s="127">
        <v>0</v>
      </c>
      <c r="E22" s="127">
        <v>9.0938610697762295E-2</v>
      </c>
      <c r="F22" s="127">
        <v>2.9924508133491665E-2</v>
      </c>
      <c r="G22" s="127">
        <v>0.14675347891831039</v>
      </c>
      <c r="H22" s="215">
        <v>5.0647709151213673E-2</v>
      </c>
      <c r="I22" s="3"/>
      <c r="J22" s="3"/>
      <c r="K22" s="3"/>
      <c r="L22" s="3"/>
      <c r="M22" s="3"/>
    </row>
    <row r="23" spans="2:13" x14ac:dyDescent="0.2">
      <c r="B23" s="3">
        <v>14</v>
      </c>
      <c r="C23" s="54" t="s">
        <v>111</v>
      </c>
      <c r="D23" s="127">
        <v>0</v>
      </c>
      <c r="E23" s="127">
        <v>6.3453691099039214E-2</v>
      </c>
      <c r="F23" s="127">
        <v>0.16673517308432673</v>
      </c>
      <c r="G23" s="127">
        <v>4.3427550544931609E-2</v>
      </c>
      <c r="H23" s="215">
        <v>0.14124088938014512</v>
      </c>
      <c r="I23" s="3"/>
      <c r="J23" s="3"/>
      <c r="K23" s="3"/>
      <c r="L23" s="3"/>
      <c r="M23" s="3"/>
    </row>
    <row r="24" spans="2:13" x14ac:dyDescent="0.2">
      <c r="B24" s="3">
        <v>15</v>
      </c>
      <c r="C24" s="54" t="s">
        <v>112</v>
      </c>
      <c r="D24" s="127">
        <v>0</v>
      </c>
      <c r="E24" s="127">
        <v>0</v>
      </c>
      <c r="F24" s="127">
        <v>0</v>
      </c>
      <c r="G24" s="127">
        <v>0</v>
      </c>
      <c r="H24" s="215">
        <v>0</v>
      </c>
      <c r="I24" s="3"/>
      <c r="J24" s="3"/>
      <c r="K24" s="3"/>
      <c r="L24" s="3"/>
      <c r="M24" s="3"/>
    </row>
    <row r="25" spans="2:13" x14ac:dyDescent="0.2">
      <c r="B25" s="3">
        <v>16</v>
      </c>
      <c r="C25" s="53" t="s">
        <v>113</v>
      </c>
      <c r="D25" s="127">
        <v>0</v>
      </c>
      <c r="E25" s="127">
        <v>0</v>
      </c>
      <c r="F25" s="127">
        <v>0</v>
      </c>
      <c r="G25" s="127">
        <v>0</v>
      </c>
      <c r="H25" s="215">
        <v>0</v>
      </c>
      <c r="I25" s="3"/>
      <c r="J25" s="3"/>
      <c r="K25" s="3"/>
      <c r="L25" s="3"/>
      <c r="M25" s="3"/>
    </row>
    <row r="26" spans="2:13" x14ac:dyDescent="0.2">
      <c r="B26" s="3">
        <v>17</v>
      </c>
      <c r="C26" s="53" t="s">
        <v>114</v>
      </c>
      <c r="D26" s="127">
        <v>0</v>
      </c>
      <c r="E26" s="127">
        <v>0</v>
      </c>
      <c r="F26" s="127">
        <v>0</v>
      </c>
      <c r="G26" s="127">
        <v>0</v>
      </c>
      <c r="H26" s="215">
        <v>0</v>
      </c>
      <c r="I26" s="3"/>
      <c r="J26" s="3"/>
      <c r="K26" s="3"/>
      <c r="L26" s="3"/>
      <c r="M26" s="3"/>
    </row>
    <row r="27" spans="2:13" x14ac:dyDescent="0.2">
      <c r="B27" s="3">
        <v>18</v>
      </c>
      <c r="C27" s="54" t="s">
        <v>115</v>
      </c>
      <c r="D27" s="127">
        <v>0</v>
      </c>
      <c r="E27" s="127">
        <v>3.2630183254938855E-2</v>
      </c>
      <c r="F27" s="127">
        <v>0.11101553120691517</v>
      </c>
      <c r="G27" s="127">
        <v>0.38106960014422531</v>
      </c>
      <c r="H27" s="215">
        <v>0.31958450402697502</v>
      </c>
      <c r="I27" s="3"/>
      <c r="J27" s="3"/>
      <c r="K27" s="3"/>
      <c r="L27" s="3"/>
      <c r="M27" s="3"/>
    </row>
    <row r="28" spans="2:13" x14ac:dyDescent="0.2">
      <c r="B28" s="3">
        <v>19</v>
      </c>
      <c r="C28" s="54" t="s">
        <v>116</v>
      </c>
      <c r="D28" s="127">
        <v>0</v>
      </c>
      <c r="E28" s="127">
        <v>0.75624220375507001</v>
      </c>
      <c r="F28" s="127">
        <v>1.9957601440028991</v>
      </c>
      <c r="G28" s="127">
        <v>2.4883625737360084</v>
      </c>
      <c r="H28" s="215">
        <v>1.566785876725334</v>
      </c>
      <c r="I28" s="3"/>
      <c r="J28" s="3"/>
      <c r="K28" s="3"/>
      <c r="L28" s="3"/>
      <c r="M28" s="3"/>
    </row>
    <row r="29" spans="2:13" x14ac:dyDescent="0.2">
      <c r="B29" s="3">
        <v>20</v>
      </c>
      <c r="C29" s="54" t="s">
        <v>117</v>
      </c>
      <c r="D29" s="127">
        <v>0</v>
      </c>
      <c r="E29" s="127">
        <v>0</v>
      </c>
      <c r="F29" s="127">
        <v>0</v>
      </c>
      <c r="G29" s="127">
        <v>0</v>
      </c>
      <c r="H29" s="215">
        <v>0</v>
      </c>
      <c r="I29" s="3"/>
      <c r="J29" s="3"/>
      <c r="K29" s="3"/>
      <c r="L29" s="3"/>
      <c r="M29" s="3"/>
    </row>
    <row r="30" spans="2:13" x14ac:dyDescent="0.2">
      <c r="B30" s="3">
        <v>21</v>
      </c>
      <c r="C30" s="54" t="s">
        <v>118</v>
      </c>
      <c r="D30" s="127">
        <v>0</v>
      </c>
      <c r="E30" s="127">
        <v>0</v>
      </c>
      <c r="F30" s="127">
        <v>0</v>
      </c>
      <c r="G30" s="127">
        <v>0</v>
      </c>
      <c r="H30" s="215">
        <v>0</v>
      </c>
      <c r="I30" s="3"/>
      <c r="J30" s="3"/>
      <c r="K30" s="3"/>
      <c r="L30" s="3"/>
      <c r="M30" s="3"/>
    </row>
    <row r="31" spans="2:13" x14ac:dyDescent="0.2">
      <c r="B31" s="3">
        <v>22</v>
      </c>
      <c r="C31" s="54" t="s">
        <v>119</v>
      </c>
      <c r="D31" s="127">
        <v>0</v>
      </c>
      <c r="E31" s="127">
        <v>0</v>
      </c>
      <c r="F31" s="127">
        <v>0</v>
      </c>
      <c r="G31" s="127">
        <v>0.148338</v>
      </c>
      <c r="H31" s="215">
        <v>7.4307372999999996E-2</v>
      </c>
      <c r="I31" s="3"/>
      <c r="J31" s="3"/>
      <c r="K31" s="3"/>
      <c r="L31" s="3"/>
      <c r="M31" s="3"/>
    </row>
    <row r="32" spans="2:13" x14ac:dyDescent="0.2">
      <c r="B32" s="3">
        <v>23</v>
      </c>
      <c r="C32" s="54" t="s">
        <v>120</v>
      </c>
      <c r="D32" s="127">
        <v>0</v>
      </c>
      <c r="E32" s="127">
        <v>0</v>
      </c>
      <c r="F32" s="127">
        <v>0</v>
      </c>
      <c r="G32" s="127">
        <v>0</v>
      </c>
      <c r="H32" s="215">
        <v>0</v>
      </c>
      <c r="I32" s="3"/>
      <c r="J32" s="3"/>
      <c r="K32" s="3"/>
      <c r="L32" s="3"/>
      <c r="M32" s="3"/>
    </row>
    <row r="33" spans="2:13" x14ac:dyDescent="0.2">
      <c r="B33" s="3">
        <v>24</v>
      </c>
      <c r="C33" s="54" t="s">
        <v>121</v>
      </c>
      <c r="D33" s="127">
        <v>0</v>
      </c>
      <c r="E33" s="127">
        <v>1.7596855907345436E-2</v>
      </c>
      <c r="F33" s="127">
        <v>9.5035165979365566E-2</v>
      </c>
      <c r="G33" s="127">
        <v>4.9866157136468081E-2</v>
      </c>
      <c r="H33" s="215">
        <v>9.2527544480868903E-2</v>
      </c>
      <c r="I33" s="3"/>
      <c r="J33" s="3"/>
      <c r="K33" s="3"/>
      <c r="L33" s="3"/>
      <c r="M33" s="3"/>
    </row>
    <row r="34" spans="2:13" x14ac:dyDescent="0.2">
      <c r="B34" s="3">
        <v>25</v>
      </c>
      <c r="C34" s="54" t="s">
        <v>122</v>
      </c>
      <c r="D34" s="127">
        <v>0</v>
      </c>
      <c r="E34" s="127">
        <v>0</v>
      </c>
      <c r="F34" s="127">
        <v>0</v>
      </c>
      <c r="G34" s="127">
        <v>0</v>
      </c>
      <c r="H34" s="215">
        <v>0</v>
      </c>
      <c r="I34" s="3"/>
      <c r="J34" s="3"/>
      <c r="K34" s="3"/>
      <c r="L34" s="3"/>
      <c r="M34" s="3"/>
    </row>
    <row r="35" spans="2:13" x14ac:dyDescent="0.2">
      <c r="B35" s="3">
        <v>26</v>
      </c>
      <c r="C35" s="54" t="s">
        <v>123</v>
      </c>
      <c r="D35" s="127">
        <v>0</v>
      </c>
      <c r="E35" s="127">
        <v>0</v>
      </c>
      <c r="F35" s="127">
        <v>0</v>
      </c>
      <c r="G35" s="127">
        <v>0</v>
      </c>
      <c r="H35" s="215">
        <v>0</v>
      </c>
      <c r="I35" s="3"/>
      <c r="J35" s="3"/>
      <c r="K35" s="3"/>
      <c r="L35" s="3"/>
      <c r="M35" s="3"/>
    </row>
    <row r="36" spans="2:13" x14ac:dyDescent="0.2">
      <c r="B36" s="3">
        <v>27</v>
      </c>
      <c r="C36" s="54" t="s">
        <v>124</v>
      </c>
      <c r="D36" s="127">
        <v>0</v>
      </c>
      <c r="E36" s="127">
        <v>1.1455394205234181E-2</v>
      </c>
      <c r="F36" s="127">
        <v>6.2536976774671127E-2</v>
      </c>
      <c r="G36" s="127">
        <v>3.3613789716700343E-2</v>
      </c>
      <c r="H36" s="215">
        <v>0</v>
      </c>
      <c r="I36" s="127"/>
      <c r="J36" s="127"/>
      <c r="K36" s="127"/>
      <c r="L36" s="127"/>
      <c r="M36" s="127"/>
    </row>
    <row r="37" spans="2:13" x14ac:dyDescent="0.2">
      <c r="B37" s="3">
        <v>28</v>
      </c>
      <c r="C37" s="54" t="s">
        <v>95</v>
      </c>
      <c r="D37" s="127">
        <v>0</v>
      </c>
      <c r="E37" s="127">
        <v>0.45693484782328087</v>
      </c>
      <c r="F37" s="127">
        <v>0.55093432513754759</v>
      </c>
      <c r="G37" s="127">
        <v>0.34255055200565976</v>
      </c>
      <c r="H37" s="215">
        <v>2.6686339008319848</v>
      </c>
      <c r="I37" s="127">
        <v>14.971110588180714</v>
      </c>
      <c r="J37" s="127">
        <v>15.704695007001568</v>
      </c>
      <c r="K37" s="127">
        <v>16.474225062344644</v>
      </c>
      <c r="L37" s="127">
        <v>17.281462090399529</v>
      </c>
      <c r="M37" s="127">
        <v>18.128253732829105</v>
      </c>
    </row>
    <row r="38" spans="2:13" ht="15" x14ac:dyDescent="0.25">
      <c r="B38" s="3">
        <v>29</v>
      </c>
      <c r="C38" s="55" t="s">
        <v>125</v>
      </c>
      <c r="D38" s="119">
        <f>SUM(D10:D37)</f>
        <v>0</v>
      </c>
      <c r="E38" s="119">
        <f t="shared" ref="E38:G38" si="0">SUM(E10:E37)</f>
        <v>6.3494686273198493</v>
      </c>
      <c r="F38" s="119">
        <f t="shared" si="0"/>
        <v>12.776294364759297</v>
      </c>
      <c r="G38" s="119">
        <f t="shared" si="0"/>
        <v>12.108593793633762</v>
      </c>
      <c r="H38" s="119">
        <f t="shared" ref="H38" si="1">SUM(H10:H37)</f>
        <v>16.434991693841386</v>
      </c>
      <c r="I38" s="119">
        <f t="shared" ref="I38:J38" si="2">SUM(I10:I37)</f>
        <v>14.971110588180714</v>
      </c>
      <c r="J38" s="119">
        <f t="shared" si="2"/>
        <v>15.704695007001568</v>
      </c>
      <c r="K38" s="119">
        <f t="shared" ref="K38" si="3">SUM(K10:K37)</f>
        <v>16.474225062344644</v>
      </c>
      <c r="L38" s="119">
        <f t="shared" ref="L38" si="4">SUM(L10:L37)</f>
        <v>17.281462090399529</v>
      </c>
      <c r="M38" s="119">
        <f>SUM(M10:M37)</f>
        <v>18.128253732829105</v>
      </c>
    </row>
    <row r="39" spans="2:13" x14ac:dyDescent="0.2">
      <c r="B39" s="3">
        <v>30</v>
      </c>
      <c r="C39" s="43" t="s">
        <v>17</v>
      </c>
      <c r="D39" s="127">
        <v>0</v>
      </c>
      <c r="E39" s="127">
        <v>0</v>
      </c>
      <c r="F39" s="127">
        <v>0</v>
      </c>
      <c r="G39" s="127">
        <v>0</v>
      </c>
      <c r="H39" s="127">
        <v>0</v>
      </c>
      <c r="I39" s="127"/>
      <c r="J39" s="127"/>
      <c r="K39" s="127"/>
      <c r="L39" s="127"/>
      <c r="M39" s="127"/>
    </row>
    <row r="40" spans="2:13" ht="15" x14ac:dyDescent="0.2">
      <c r="B40" s="3">
        <v>31</v>
      </c>
      <c r="C40" s="22" t="s">
        <v>126</v>
      </c>
      <c r="D40" s="119">
        <f>D38-D39</f>
        <v>0</v>
      </c>
      <c r="E40" s="119">
        <f t="shared" ref="E40:G40" si="5">E38-E39</f>
        <v>6.3494686273198493</v>
      </c>
      <c r="F40" s="119">
        <f t="shared" si="5"/>
        <v>12.776294364759297</v>
      </c>
      <c r="G40" s="119">
        <f t="shared" si="5"/>
        <v>12.108593793633762</v>
      </c>
      <c r="H40" s="119">
        <f t="shared" ref="H40" si="6">H38-H39</f>
        <v>16.434991693841386</v>
      </c>
      <c r="I40" s="119">
        <f t="shared" ref="I40:J40" si="7">I38-I39</f>
        <v>14.971110588180714</v>
      </c>
      <c r="J40" s="119">
        <f t="shared" si="7"/>
        <v>15.704695007001568</v>
      </c>
      <c r="K40" s="119">
        <f>K38-K39</f>
        <v>16.474225062344644</v>
      </c>
      <c r="L40" s="119">
        <f t="shared" ref="L40" si="8">L38-L39</f>
        <v>17.281462090399529</v>
      </c>
      <c r="M40" s="119">
        <f t="shared" ref="M40" si="9">M38-M39</f>
        <v>18.128253732829105</v>
      </c>
    </row>
  </sheetData>
  <mergeCells count="6">
    <mergeCell ref="B7:B9"/>
    <mergeCell ref="C7:C9"/>
    <mergeCell ref="I7:M7"/>
    <mergeCell ref="B2:M2"/>
    <mergeCell ref="B3:M3"/>
    <mergeCell ref="B4:M4"/>
  </mergeCells>
  <pageMargins left="0.75" right="0.75" top="1" bottom="1" header="0.5" footer="0.5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22"/>
  <sheetViews>
    <sheetView showGridLines="0" zoomScale="80" zoomScaleNormal="80" zoomScaleSheetLayoutView="90" workbookViewId="0">
      <selection activeCell="I17" sqref="I17"/>
    </sheetView>
  </sheetViews>
  <sheetFormatPr defaultColWidth="9.28515625" defaultRowHeight="14.25" x14ac:dyDescent="0.2"/>
  <cols>
    <col min="1" max="1" width="4.5703125" style="19" customWidth="1"/>
    <col min="2" max="2" width="8.7109375" style="56" customWidth="1"/>
    <col min="3" max="3" width="45.710937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 ht="15" x14ac:dyDescent="0.2">
      <c r="B2" s="323" t="s">
        <v>550</v>
      </c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</row>
    <row r="3" spans="2:13" ht="15" x14ac:dyDescent="0.2">
      <c r="B3" s="323" t="s">
        <v>518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</row>
    <row r="4" spans="2:13" s="4" customFormat="1" ht="15" x14ac:dyDescent="0.2">
      <c r="B4" s="311" t="s">
        <v>553</v>
      </c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</row>
    <row r="6" spans="2:13" ht="15" x14ac:dyDescent="0.2">
      <c r="M6" s="28" t="s">
        <v>4</v>
      </c>
    </row>
    <row r="7" spans="2:13" ht="12.75" customHeight="1" x14ac:dyDescent="0.2">
      <c r="B7" s="325" t="s">
        <v>210</v>
      </c>
      <c r="C7" s="321" t="s">
        <v>18</v>
      </c>
      <c r="D7" s="21" t="s">
        <v>507</v>
      </c>
      <c r="E7" s="21" t="s">
        <v>508</v>
      </c>
      <c r="F7" s="21" t="s">
        <v>509</v>
      </c>
      <c r="G7" s="21" t="s">
        <v>484</v>
      </c>
      <c r="H7" s="21" t="s">
        <v>485</v>
      </c>
      <c r="I7" s="314" t="s">
        <v>252</v>
      </c>
      <c r="J7" s="314"/>
      <c r="K7" s="314"/>
      <c r="L7" s="314"/>
      <c r="M7" s="314"/>
    </row>
    <row r="8" spans="2:13" ht="15" x14ac:dyDescent="0.2">
      <c r="B8" s="325"/>
      <c r="C8" s="321"/>
      <c r="D8" s="21" t="s">
        <v>270</v>
      </c>
      <c r="E8" s="21" t="s">
        <v>270</v>
      </c>
      <c r="F8" s="21" t="s">
        <v>270</v>
      </c>
      <c r="G8" s="21" t="s">
        <v>270</v>
      </c>
      <c r="H8" s="21" t="s">
        <v>269</v>
      </c>
      <c r="I8" s="21" t="s">
        <v>486</v>
      </c>
      <c r="J8" s="21" t="s">
        <v>487</v>
      </c>
      <c r="K8" s="21" t="s">
        <v>488</v>
      </c>
      <c r="L8" s="21" t="s">
        <v>489</v>
      </c>
      <c r="M8" s="21" t="s">
        <v>490</v>
      </c>
    </row>
    <row r="9" spans="2:13" ht="15" x14ac:dyDescent="0.2">
      <c r="B9" s="325"/>
      <c r="C9" s="321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 x14ac:dyDescent="0.2">
      <c r="B10" s="2">
        <v>1</v>
      </c>
      <c r="C10" s="54" t="s">
        <v>127</v>
      </c>
      <c r="D10" s="127"/>
      <c r="E10" s="127">
        <v>1.8004042355285845</v>
      </c>
      <c r="F10" s="127">
        <v>4.2804014677017106</v>
      </c>
      <c r="G10" s="127">
        <v>25.310508494533874</v>
      </c>
      <c r="H10" s="215">
        <v>47.578655722610577</v>
      </c>
      <c r="I10" s="3"/>
      <c r="J10" s="3"/>
      <c r="K10" s="3"/>
      <c r="L10" s="3"/>
      <c r="M10" s="3"/>
    </row>
    <row r="11" spans="2:13" x14ac:dyDescent="0.2">
      <c r="B11" s="2">
        <v>2</v>
      </c>
      <c r="C11" s="54" t="s">
        <v>128</v>
      </c>
      <c r="D11" s="127"/>
      <c r="E11" s="127">
        <v>5.812159832210108E-3</v>
      </c>
      <c r="F11" s="127">
        <v>3.7343767999999999E-2</v>
      </c>
      <c r="G11" s="127">
        <v>0.19604331625641935</v>
      </c>
      <c r="H11" s="215">
        <v>0.14763164099999998</v>
      </c>
      <c r="I11" s="3"/>
      <c r="J11" s="3"/>
      <c r="K11" s="3"/>
      <c r="L11" s="3"/>
      <c r="M11" s="3"/>
    </row>
    <row r="12" spans="2:13" x14ac:dyDescent="0.2">
      <c r="B12" s="2">
        <v>3</v>
      </c>
      <c r="C12" s="54" t="s">
        <v>129</v>
      </c>
      <c r="D12" s="127"/>
      <c r="E12" s="127">
        <v>0.45659292935584417</v>
      </c>
      <c r="F12" s="127">
        <v>2.1282245684719556</v>
      </c>
      <c r="G12" s="127">
        <v>6.5535054545532594</v>
      </c>
      <c r="H12" s="215">
        <v>11.801388578970471</v>
      </c>
      <c r="I12" s="3"/>
      <c r="J12" s="3"/>
      <c r="K12" s="3"/>
      <c r="L12" s="3"/>
      <c r="M12" s="3"/>
    </row>
    <row r="13" spans="2:13" x14ac:dyDescent="0.2">
      <c r="B13" s="2">
        <v>4</v>
      </c>
      <c r="C13" s="54" t="s">
        <v>130</v>
      </c>
      <c r="D13" s="127"/>
      <c r="E13" s="127">
        <v>0</v>
      </c>
      <c r="F13" s="127">
        <v>0</v>
      </c>
      <c r="G13" s="127">
        <v>0</v>
      </c>
      <c r="H13" s="215">
        <v>0</v>
      </c>
      <c r="I13" s="3"/>
      <c r="J13" s="3"/>
      <c r="K13" s="3"/>
      <c r="L13" s="3"/>
      <c r="M13" s="3"/>
    </row>
    <row r="14" spans="2:13" x14ac:dyDescent="0.2">
      <c r="B14" s="2">
        <v>5</v>
      </c>
      <c r="C14" s="54" t="s">
        <v>131</v>
      </c>
      <c r="D14" s="127"/>
      <c r="E14" s="127">
        <v>3.9899509733957408E-2</v>
      </c>
      <c r="F14" s="127">
        <v>0.61618355935172653</v>
      </c>
      <c r="G14" s="127">
        <v>1.5592359428983082</v>
      </c>
      <c r="H14" s="215">
        <v>2.7397371621507141</v>
      </c>
      <c r="I14" s="3"/>
      <c r="J14" s="3"/>
      <c r="K14" s="3"/>
      <c r="L14" s="3"/>
      <c r="M14" s="3"/>
    </row>
    <row r="15" spans="2:13" x14ac:dyDescent="0.2">
      <c r="B15" s="2">
        <v>6</v>
      </c>
      <c r="C15" s="54" t="s">
        <v>132</v>
      </c>
      <c r="D15" s="127"/>
      <c r="E15" s="127">
        <v>1.9353E-3</v>
      </c>
      <c r="F15" s="127">
        <v>0</v>
      </c>
      <c r="G15" s="127">
        <v>3.5798605999999997E-2</v>
      </c>
      <c r="H15" s="215">
        <v>5.1718942893059033E-2</v>
      </c>
      <c r="I15" s="3"/>
      <c r="J15" s="3"/>
      <c r="K15" s="3"/>
      <c r="L15" s="3"/>
      <c r="M15" s="3"/>
    </row>
    <row r="16" spans="2:13" x14ac:dyDescent="0.2">
      <c r="B16" s="2">
        <v>7</v>
      </c>
      <c r="C16" s="54" t="s">
        <v>133</v>
      </c>
      <c r="D16" s="127"/>
      <c r="E16" s="127">
        <v>1.0831145998797095E-3</v>
      </c>
      <c r="F16" s="127">
        <v>0</v>
      </c>
      <c r="G16" s="127">
        <v>0</v>
      </c>
      <c r="H16" s="215">
        <v>0</v>
      </c>
      <c r="I16" s="3"/>
      <c r="J16" s="3"/>
      <c r="K16" s="3"/>
      <c r="L16" s="3"/>
      <c r="M16" s="3"/>
    </row>
    <row r="17" spans="2:13" x14ac:dyDescent="0.2">
      <c r="B17" s="2">
        <v>8</v>
      </c>
      <c r="C17" s="54" t="s">
        <v>134</v>
      </c>
      <c r="D17" s="127"/>
      <c r="E17" s="127">
        <v>0.63543444161127649</v>
      </c>
      <c r="F17" s="127">
        <v>0.74631117232353528</v>
      </c>
      <c r="G17" s="127">
        <v>0.41830214540150829</v>
      </c>
      <c r="H17" s="215">
        <v>0.47404678291608049</v>
      </c>
      <c r="I17" s="127">
        <v>53.257001048210455</v>
      </c>
      <c r="J17" s="127">
        <v>62.739464594754828</v>
      </c>
      <c r="K17" s="127">
        <v>71.327859526379171</v>
      </c>
      <c r="L17" s="127">
        <v>71.327859526379171</v>
      </c>
      <c r="M17" s="127">
        <v>71.327859526379171</v>
      </c>
    </row>
    <row r="18" spans="2:13" ht="15" x14ac:dyDescent="0.25">
      <c r="B18" s="2">
        <v>9</v>
      </c>
      <c r="C18" s="55" t="s">
        <v>135</v>
      </c>
      <c r="D18" s="119">
        <f>SUM(D10:D17)</f>
        <v>0</v>
      </c>
      <c r="E18" s="119">
        <f t="shared" ref="E18:M18" si="0">SUM(E10:E17)</f>
        <v>2.9411616906617524</v>
      </c>
      <c r="F18" s="119">
        <f t="shared" si="0"/>
        <v>7.8084645358489277</v>
      </c>
      <c r="G18" s="119">
        <f t="shared" si="0"/>
        <v>34.073393959643369</v>
      </c>
      <c r="H18" s="119">
        <f t="shared" si="0"/>
        <v>62.793178830540903</v>
      </c>
      <c r="I18" s="119">
        <f t="shared" si="0"/>
        <v>53.257001048210455</v>
      </c>
      <c r="J18" s="119">
        <f t="shared" si="0"/>
        <v>62.739464594754828</v>
      </c>
      <c r="K18" s="119">
        <f t="shared" si="0"/>
        <v>71.327859526379171</v>
      </c>
      <c r="L18" s="119">
        <f t="shared" si="0"/>
        <v>71.327859526379171</v>
      </c>
      <c r="M18" s="119">
        <f t="shared" si="0"/>
        <v>71.327859526379171</v>
      </c>
    </row>
    <row r="19" spans="2:13" x14ac:dyDescent="0.2">
      <c r="B19" s="2"/>
      <c r="C19" s="5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2:13" ht="15" x14ac:dyDescent="0.2">
      <c r="B20" s="2">
        <v>10</v>
      </c>
      <c r="C20" s="57" t="s">
        <v>136</v>
      </c>
      <c r="D20" s="127"/>
      <c r="E20" s="3">
        <v>4871.17</v>
      </c>
      <c r="F20" s="3">
        <v>4871.17</v>
      </c>
      <c r="G20" s="119">
        <f>'F4'!F21</f>
        <v>6946.2906710550005</v>
      </c>
      <c r="H20" s="119">
        <f>'F4'!F38</f>
        <v>7259.1215476710004</v>
      </c>
      <c r="I20" s="119">
        <f>'F4'!F55</f>
        <v>7445.2815476710002</v>
      </c>
      <c r="J20" s="119">
        <f>'F4'!F72</f>
        <v>8770.9251376709999</v>
      </c>
      <c r="K20" s="119">
        <f>'F4'!F89</f>
        <v>9971.5796676709997</v>
      </c>
      <c r="L20" s="119">
        <f>'F4'!F106</f>
        <v>9971.5796676709997</v>
      </c>
      <c r="M20" s="119">
        <f>'F4'!F123</f>
        <v>9971.5796676709997</v>
      </c>
    </row>
    <row r="21" spans="2:13" ht="28.5" x14ac:dyDescent="0.2">
      <c r="B21" s="2">
        <v>11</v>
      </c>
      <c r="C21" s="57" t="s">
        <v>137</v>
      </c>
      <c r="D21" s="128">
        <f>IFERROR(D18/D20,0)</f>
        <v>0</v>
      </c>
      <c r="E21" s="128">
        <f t="shared" ref="E21:M21" si="1">IFERROR(E18/E20,0)</f>
        <v>6.0378958046254845E-4</v>
      </c>
      <c r="F21" s="128">
        <f t="shared" si="1"/>
        <v>1.6029956942272448E-3</v>
      </c>
      <c r="G21" s="128">
        <f t="shared" si="1"/>
        <v>4.9052646330546247E-3</v>
      </c>
      <c r="H21" s="128">
        <f t="shared" si="1"/>
        <v>8.650244856512607E-3</v>
      </c>
      <c r="I21" s="128">
        <f t="shared" si="1"/>
        <v>7.1531211690537173E-3</v>
      </c>
      <c r="J21" s="128">
        <f t="shared" si="1"/>
        <v>7.1531182412320126E-3</v>
      </c>
      <c r="K21" s="128">
        <f t="shared" si="1"/>
        <v>7.1531153441648006E-3</v>
      </c>
      <c r="L21" s="128">
        <f t="shared" si="1"/>
        <v>7.1531153441648006E-3</v>
      </c>
      <c r="M21" s="128">
        <f t="shared" si="1"/>
        <v>7.1531153441648006E-3</v>
      </c>
    </row>
    <row r="22" spans="2:13" x14ac:dyDescent="0.2">
      <c r="B22" s="2"/>
      <c r="C22" s="53"/>
      <c r="D22" s="3"/>
      <c r="E22" s="3"/>
      <c r="F22" s="3"/>
      <c r="G22" s="3"/>
      <c r="H22" s="3"/>
      <c r="I22" s="3"/>
      <c r="J22" s="3"/>
      <c r="K22" s="3"/>
      <c r="L22" s="3"/>
      <c r="M22" s="3"/>
    </row>
  </sheetData>
  <mergeCells count="6">
    <mergeCell ref="B7:B9"/>
    <mergeCell ref="C7:C9"/>
    <mergeCell ref="I7:M7"/>
    <mergeCell ref="B2:M2"/>
    <mergeCell ref="B3:M3"/>
    <mergeCell ref="B4:M4"/>
  </mergeCells>
  <pageMargins left="0.75" right="0.75" top="1" bottom="1" header="0.5" footer="0.5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16"/>
  <sheetViews>
    <sheetView showGridLines="0" tabSelected="1" zoomScale="90" zoomScaleNormal="90" zoomScaleSheetLayoutView="90" workbookViewId="0">
      <selection activeCell="O13" sqref="O13"/>
    </sheetView>
  </sheetViews>
  <sheetFormatPr defaultColWidth="9.28515625" defaultRowHeight="14.25" x14ac:dyDescent="0.2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3.7109375" style="4" bestFit="1" customWidth="1"/>
    <col min="8" max="8" width="12.5703125" style="4" customWidth="1"/>
    <col min="9" max="9" width="11.7109375" style="4" bestFit="1" customWidth="1"/>
    <col min="10" max="10" width="13.7109375" style="4" bestFit="1" customWidth="1"/>
    <col min="11" max="16" width="11.7109375" style="4" bestFit="1" customWidth="1"/>
    <col min="17" max="16384" width="9.28515625" style="4"/>
  </cols>
  <sheetData>
    <row r="1" spans="2:13" ht="15" x14ac:dyDescent="0.25">
      <c r="B1" s="58"/>
    </row>
    <row r="2" spans="2:13" ht="15" x14ac:dyDescent="0.2">
      <c r="B2" s="323" t="s">
        <v>550</v>
      </c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</row>
    <row r="3" spans="2:13" ht="15" x14ac:dyDescent="0.2">
      <c r="B3" s="323" t="s">
        <v>518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</row>
    <row r="4" spans="2:13" ht="15" x14ac:dyDescent="0.2">
      <c r="B4" s="311" t="s">
        <v>554</v>
      </c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</row>
    <row r="5" spans="2:13" ht="15" x14ac:dyDescent="0.25">
      <c r="B5" s="38"/>
      <c r="C5" s="59"/>
      <c r="D5" s="59"/>
      <c r="E5" s="59"/>
      <c r="F5" s="59"/>
      <c r="G5" s="59"/>
      <c r="H5" s="59"/>
      <c r="I5" s="59"/>
      <c r="J5" s="59"/>
    </row>
    <row r="6" spans="2:13" ht="15" x14ac:dyDescent="0.2">
      <c r="M6" s="28" t="s">
        <v>4</v>
      </c>
    </row>
    <row r="7" spans="2:13" s="19" customFormat="1" ht="15" customHeight="1" x14ac:dyDescent="0.2">
      <c r="B7" s="326" t="s">
        <v>210</v>
      </c>
      <c r="C7" s="321" t="s">
        <v>18</v>
      </c>
      <c r="D7" s="315" t="s">
        <v>484</v>
      </c>
      <c r="E7" s="316"/>
      <c r="F7" s="317"/>
      <c r="G7" s="315" t="s">
        <v>485</v>
      </c>
      <c r="H7" s="316"/>
      <c r="I7" s="314" t="s">
        <v>252</v>
      </c>
      <c r="J7" s="314"/>
      <c r="K7" s="314"/>
      <c r="L7" s="314"/>
      <c r="M7" s="314"/>
    </row>
    <row r="8" spans="2:13" s="19" customFormat="1" ht="45" x14ac:dyDescent="0.2">
      <c r="B8" s="327"/>
      <c r="C8" s="321"/>
      <c r="D8" s="21" t="s">
        <v>397</v>
      </c>
      <c r="E8" s="21" t="s">
        <v>270</v>
      </c>
      <c r="F8" s="21" t="s">
        <v>226</v>
      </c>
      <c r="G8" s="21" t="s">
        <v>397</v>
      </c>
      <c r="H8" s="21" t="s">
        <v>269</v>
      </c>
      <c r="I8" s="21" t="s">
        <v>486</v>
      </c>
      <c r="J8" s="21" t="s">
        <v>487</v>
      </c>
      <c r="K8" s="21" t="s">
        <v>488</v>
      </c>
      <c r="L8" s="21" t="s">
        <v>489</v>
      </c>
      <c r="M8" s="21" t="s">
        <v>490</v>
      </c>
    </row>
    <row r="9" spans="2:13" s="19" customFormat="1" ht="15" x14ac:dyDescent="0.2">
      <c r="B9" s="328"/>
      <c r="C9" s="329"/>
      <c r="D9" s="21" t="s">
        <v>10</v>
      </c>
      <c r="E9" s="21" t="s">
        <v>12</v>
      </c>
      <c r="F9" s="21" t="s">
        <v>259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 s="5" customFormat="1" x14ac:dyDescent="0.2">
      <c r="B10" s="62">
        <v>1</v>
      </c>
      <c r="C10" s="29" t="s">
        <v>274</v>
      </c>
      <c r="D10" s="125"/>
      <c r="E10" s="113">
        <v>223.65</v>
      </c>
      <c r="F10" s="113">
        <f>E10</f>
        <v>223.65</v>
      </c>
      <c r="G10" s="116"/>
      <c r="H10" s="116">
        <f>E13</f>
        <v>345.05668954100008</v>
      </c>
      <c r="I10" s="116">
        <f>H13</f>
        <v>593.21442124100008</v>
      </c>
      <c r="J10" s="116">
        <f>I13</f>
        <v>665.86442124100017</v>
      </c>
      <c r="K10" s="116">
        <f>J13</f>
        <v>4.4212410000454838E-3</v>
      </c>
      <c r="L10" s="116">
        <f>K13</f>
        <v>4.4212410000454838E-3</v>
      </c>
      <c r="M10" s="116">
        <f>L13</f>
        <v>4.4212410000454838E-3</v>
      </c>
    </row>
    <row r="11" spans="2:13" s="5" customFormat="1" x14ac:dyDescent="0.2">
      <c r="B11" s="23">
        <v>2</v>
      </c>
      <c r="C11" s="29" t="s">
        <v>308</v>
      </c>
      <c r="D11" s="2"/>
      <c r="E11" s="113">
        <f>F3.1!G25</f>
        <v>434.23833995900003</v>
      </c>
      <c r="F11" s="113">
        <f>E11</f>
        <v>434.23833995900003</v>
      </c>
      <c r="G11" s="24"/>
      <c r="H11" s="116">
        <f>F3.1!G39</f>
        <v>434.31773169999997</v>
      </c>
      <c r="I11" s="116">
        <f>F3.1!G45</f>
        <v>1398.29359</v>
      </c>
      <c r="J11" s="116">
        <f>F3.1!G51</f>
        <v>534.79453000000001</v>
      </c>
      <c r="K11" s="116">
        <f>F3.1!G57</f>
        <v>0</v>
      </c>
      <c r="L11" s="116">
        <f>F3.1!G63</f>
        <v>0</v>
      </c>
      <c r="M11" s="116">
        <f>F3.1!G69</f>
        <v>0</v>
      </c>
    </row>
    <row r="12" spans="2:13" s="5" customFormat="1" ht="15" x14ac:dyDescent="0.2">
      <c r="B12" s="23">
        <v>3</v>
      </c>
      <c r="C12" s="31" t="s">
        <v>243</v>
      </c>
      <c r="D12" s="125"/>
      <c r="E12" s="131">
        <f>F3.1!H25</f>
        <v>312.83165041799998</v>
      </c>
      <c r="F12" s="131">
        <f>E12</f>
        <v>312.83165041799998</v>
      </c>
      <c r="G12" s="125"/>
      <c r="H12" s="115">
        <f>F3.1!H39</f>
        <v>186.16</v>
      </c>
      <c r="I12" s="115">
        <f>F3.1!H45</f>
        <v>1325.6435899999999</v>
      </c>
      <c r="J12" s="115">
        <f>F3.1!H51</f>
        <v>1200.65453</v>
      </c>
      <c r="K12" s="115">
        <f>F3.1!H57</f>
        <v>0</v>
      </c>
      <c r="L12" s="115">
        <f>F3.1!H63</f>
        <v>0</v>
      </c>
      <c r="M12" s="115">
        <f>F3.1!H69</f>
        <v>0</v>
      </c>
    </row>
    <row r="13" spans="2:13" s="5" customFormat="1" ht="15" x14ac:dyDescent="0.2">
      <c r="B13" s="23">
        <v>4</v>
      </c>
      <c r="C13" s="29" t="s">
        <v>275</v>
      </c>
      <c r="D13" s="126">
        <f>D10+D11-D12</f>
        <v>0</v>
      </c>
      <c r="E13" s="126">
        <f>E10+E11-E12</f>
        <v>345.05668954100008</v>
      </c>
      <c r="F13" s="126">
        <f t="shared" ref="F13:M13" si="0">F10+F11-F12</f>
        <v>345.05668954100008</v>
      </c>
      <c r="G13" s="126">
        <f t="shared" si="0"/>
        <v>0</v>
      </c>
      <c r="H13" s="126">
        <f t="shared" si="0"/>
        <v>593.21442124100008</v>
      </c>
      <c r="I13" s="126">
        <f t="shared" si="0"/>
        <v>665.86442124100017</v>
      </c>
      <c r="J13" s="126">
        <f t="shared" si="0"/>
        <v>4.4212410000454838E-3</v>
      </c>
      <c r="K13" s="126">
        <f t="shared" si="0"/>
        <v>4.4212410000454838E-3</v>
      </c>
      <c r="L13" s="126">
        <f t="shared" si="0"/>
        <v>4.4212410000454838E-3</v>
      </c>
      <c r="M13" s="126">
        <f t="shared" si="0"/>
        <v>4.4212410000454838E-3</v>
      </c>
    </row>
    <row r="14" spans="2:13" s="35" customFormat="1" ht="15" x14ac:dyDescent="0.2">
      <c r="B14" s="63"/>
      <c r="C14" s="50"/>
      <c r="D14" s="60"/>
      <c r="E14" s="60"/>
      <c r="F14" s="60"/>
      <c r="G14" s="61"/>
      <c r="H14" s="26"/>
      <c r="I14" s="26"/>
      <c r="J14" s="26"/>
      <c r="K14" s="26"/>
    </row>
    <row r="16" spans="2:13" x14ac:dyDescent="0.2">
      <c r="B16" s="64"/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9" orientation="landscape" r:id="rId1"/>
  <headerFooter alignWithMargins="0">
    <oddHeader>&amp;F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showGridLines="0" topLeftCell="A22" zoomScale="80" zoomScaleNormal="80" zoomScaleSheetLayoutView="90" workbookViewId="0">
      <selection activeCell="G37" sqref="G37"/>
    </sheetView>
  </sheetViews>
  <sheetFormatPr defaultColWidth="9.28515625" defaultRowHeight="15" x14ac:dyDescent="0.2"/>
  <cols>
    <col min="1" max="1" width="4.28515625" style="5" customWidth="1"/>
    <col min="2" max="2" width="6.28515625" style="5" customWidth="1"/>
    <col min="3" max="3" width="18.28515625" style="5" customWidth="1"/>
    <col min="4" max="4" width="21.28515625" style="35" customWidth="1"/>
    <col min="5" max="5" width="32.28515625" style="5" customWidth="1"/>
    <col min="6" max="7" width="22" style="5" customWidth="1"/>
    <col min="8" max="8" width="17.7109375" style="5" customWidth="1"/>
    <col min="9" max="9" width="35" style="5" customWidth="1"/>
    <col min="10" max="10" width="31.42578125" style="5" customWidth="1"/>
    <col min="11" max="11" width="37" style="5" customWidth="1"/>
    <col min="12" max="12" width="32.28515625" style="5" customWidth="1"/>
    <col min="13" max="13" width="13.28515625" style="5" bestFit="1" customWidth="1"/>
    <col min="14" max="14" width="12.5703125" style="5" customWidth="1"/>
    <col min="15" max="15" width="11.7109375" style="5" bestFit="1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1:17" x14ac:dyDescent="0.2">
      <c r="B1" s="26"/>
    </row>
    <row r="2" spans="1:17" x14ac:dyDescent="0.2">
      <c r="B2" s="323" t="s">
        <v>550</v>
      </c>
      <c r="C2" s="323"/>
      <c r="D2" s="323"/>
      <c r="E2" s="323"/>
      <c r="F2" s="323"/>
      <c r="G2" s="323"/>
      <c r="H2" s="323"/>
      <c r="I2" s="323"/>
      <c r="J2" s="323"/>
      <c r="K2" s="323"/>
      <c r="L2" s="323"/>
    </row>
    <row r="3" spans="1:17" x14ac:dyDescent="0.2">
      <c r="B3" s="323" t="s">
        <v>519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</row>
    <row r="4" spans="1:17" x14ac:dyDescent="0.2">
      <c r="B4" s="311" t="s">
        <v>306</v>
      </c>
      <c r="C4" s="311"/>
      <c r="D4" s="311"/>
      <c r="E4" s="311"/>
      <c r="F4" s="311"/>
      <c r="G4" s="311"/>
      <c r="H4" s="311"/>
      <c r="I4" s="311"/>
      <c r="J4" s="311"/>
      <c r="K4" s="311"/>
      <c r="L4" s="311"/>
    </row>
    <row r="5" spans="1:17" x14ac:dyDescent="0.2">
      <c r="K5" s="37"/>
    </row>
    <row r="6" spans="1:17" ht="60" x14ac:dyDescent="0.2">
      <c r="B6" s="21" t="s">
        <v>210</v>
      </c>
      <c r="C6" s="25" t="s">
        <v>276</v>
      </c>
      <c r="D6" s="33" t="s">
        <v>278</v>
      </c>
      <c r="E6" s="25" t="s">
        <v>277</v>
      </c>
      <c r="F6" s="33" t="s">
        <v>285</v>
      </c>
      <c r="G6" s="33" t="s">
        <v>288</v>
      </c>
      <c r="H6" s="33" t="s">
        <v>289</v>
      </c>
      <c r="I6" s="33" t="s">
        <v>302</v>
      </c>
      <c r="J6" s="25" t="s">
        <v>279</v>
      </c>
      <c r="K6" s="33" t="s">
        <v>290</v>
      </c>
      <c r="L6" s="33" t="s">
        <v>198</v>
      </c>
      <c r="M6" s="27"/>
      <c r="N6" s="27"/>
      <c r="O6" s="27"/>
      <c r="P6" s="27"/>
    </row>
    <row r="7" spans="1:17" s="35" customFormat="1" x14ac:dyDescent="0.2">
      <c r="B7" s="23"/>
      <c r="C7" s="33" t="s">
        <v>257</v>
      </c>
      <c r="D7" s="40" t="s">
        <v>492</v>
      </c>
      <c r="E7" s="32"/>
      <c r="F7" s="32"/>
      <c r="G7" s="32"/>
      <c r="H7" s="32"/>
      <c r="I7" s="32"/>
      <c r="J7" s="32"/>
      <c r="K7" s="33"/>
      <c r="L7" s="34"/>
      <c r="M7" s="26"/>
      <c r="N7" s="26"/>
      <c r="O7" s="26"/>
      <c r="P7" s="26"/>
      <c r="Q7" s="26"/>
    </row>
    <row r="8" spans="1:17" ht="14.25" x14ac:dyDescent="0.2">
      <c r="B8" s="23">
        <v>1</v>
      </c>
      <c r="C8" s="31" t="s">
        <v>526</v>
      </c>
      <c r="D8" s="23"/>
      <c r="E8" s="23"/>
      <c r="F8" s="23"/>
      <c r="G8" s="205">
        <v>52.61</v>
      </c>
      <c r="H8" s="205">
        <v>52.61</v>
      </c>
      <c r="I8" s="31" t="s">
        <v>526</v>
      </c>
      <c r="J8" s="29"/>
      <c r="K8" s="29"/>
      <c r="L8" s="29"/>
    </row>
    <row r="9" spans="1:17" ht="14.25" x14ac:dyDescent="0.2">
      <c r="B9" s="23">
        <v>2</v>
      </c>
      <c r="C9" s="31" t="s">
        <v>527</v>
      </c>
      <c r="D9" s="23"/>
      <c r="E9" s="23"/>
      <c r="F9" s="23"/>
      <c r="G9" s="205">
        <v>9.15</v>
      </c>
      <c r="H9" s="205">
        <v>9.15</v>
      </c>
      <c r="I9" s="31" t="s">
        <v>527</v>
      </c>
      <c r="J9" s="29"/>
      <c r="K9" s="29"/>
      <c r="L9" s="29"/>
    </row>
    <row r="10" spans="1:17" ht="14.25" x14ac:dyDescent="0.2">
      <c r="B10" s="23">
        <v>3</v>
      </c>
      <c r="C10" s="31" t="s">
        <v>528</v>
      </c>
      <c r="D10" s="23"/>
      <c r="E10" s="23"/>
      <c r="F10" s="23"/>
      <c r="G10" s="205">
        <v>15.63</v>
      </c>
      <c r="H10" s="205">
        <v>15.63</v>
      </c>
      <c r="I10" s="31" t="s">
        <v>528</v>
      </c>
      <c r="J10" s="29"/>
      <c r="K10" s="29"/>
      <c r="L10" s="29"/>
    </row>
    <row r="11" spans="1:17" ht="14.25" x14ac:dyDescent="0.2">
      <c r="B11" s="23">
        <v>4</v>
      </c>
      <c r="C11" s="31" t="s">
        <v>529</v>
      </c>
      <c r="D11" s="23"/>
      <c r="E11" s="23"/>
      <c r="F11" s="23"/>
      <c r="G11" s="205">
        <v>25.96</v>
      </c>
      <c r="H11" s="205">
        <v>25.96</v>
      </c>
      <c r="I11" s="31" t="s">
        <v>529</v>
      </c>
      <c r="J11" s="29"/>
      <c r="K11" s="29"/>
      <c r="L11" s="29"/>
    </row>
    <row r="12" spans="1:17" ht="14.25" x14ac:dyDescent="0.2">
      <c r="B12" s="23">
        <v>5</v>
      </c>
      <c r="C12" s="31" t="s">
        <v>530</v>
      </c>
      <c r="D12" s="23"/>
      <c r="E12" s="23"/>
      <c r="F12" s="23"/>
      <c r="G12" s="205">
        <v>0.224</v>
      </c>
      <c r="H12" s="205">
        <v>0.224</v>
      </c>
      <c r="I12" s="31" t="s">
        <v>530</v>
      </c>
      <c r="J12" s="29"/>
      <c r="K12" s="29"/>
      <c r="L12" s="29"/>
    </row>
    <row r="13" spans="1:17" ht="14.25" x14ac:dyDescent="0.2">
      <c r="B13" s="23">
        <v>6</v>
      </c>
      <c r="C13" s="31" t="s">
        <v>531</v>
      </c>
      <c r="D13" s="23"/>
      <c r="E13" s="23"/>
      <c r="F13" s="23"/>
      <c r="G13" s="205">
        <v>0.90765041800000001</v>
      </c>
      <c r="H13" s="205">
        <v>0.90765041800000001</v>
      </c>
      <c r="I13" s="31" t="s">
        <v>531</v>
      </c>
      <c r="J13" s="29"/>
      <c r="K13" s="29"/>
      <c r="L13" s="29"/>
    </row>
    <row r="14" spans="1:17" x14ac:dyDescent="0.2">
      <c r="A14" s="35"/>
      <c r="B14" s="23">
        <v>7</v>
      </c>
      <c r="C14" s="31" t="s">
        <v>532</v>
      </c>
      <c r="D14" s="23"/>
      <c r="E14" s="23"/>
      <c r="F14" s="23"/>
      <c r="G14" s="205">
        <v>0.01</v>
      </c>
      <c r="H14" s="205">
        <v>0.01</v>
      </c>
      <c r="I14" s="31" t="s">
        <v>532</v>
      </c>
      <c r="J14" s="29"/>
      <c r="K14" s="29"/>
      <c r="L14" s="29"/>
    </row>
    <row r="15" spans="1:17" ht="14.25" x14ac:dyDescent="0.2">
      <c r="B15" s="23">
        <v>8</v>
      </c>
      <c r="C15" s="31" t="s">
        <v>533</v>
      </c>
      <c r="D15" s="23"/>
      <c r="E15" s="23" t="s">
        <v>534</v>
      </c>
      <c r="F15" s="23"/>
      <c r="G15" s="205">
        <v>77.109331409000006</v>
      </c>
      <c r="H15" s="205">
        <v>0.34</v>
      </c>
      <c r="I15" s="31" t="s">
        <v>534</v>
      </c>
      <c r="J15" s="29"/>
      <c r="K15" s="29"/>
      <c r="L15" s="29"/>
    </row>
    <row r="16" spans="1:17" ht="14.25" x14ac:dyDescent="0.2">
      <c r="B16" s="23">
        <v>9</v>
      </c>
      <c r="C16" s="31" t="s">
        <v>493</v>
      </c>
      <c r="D16" s="23"/>
      <c r="E16" s="23" t="s">
        <v>535</v>
      </c>
      <c r="F16" s="23"/>
      <c r="G16" s="205">
        <v>219.871463815</v>
      </c>
      <c r="H16" s="205">
        <v>0.89</v>
      </c>
      <c r="I16" s="31" t="s">
        <v>510</v>
      </c>
      <c r="J16" s="29"/>
      <c r="K16" s="29"/>
      <c r="L16" s="29"/>
    </row>
    <row r="17" spans="2:12" ht="14.25" x14ac:dyDescent="0.2">
      <c r="B17" s="23">
        <v>10</v>
      </c>
      <c r="C17" s="31" t="s">
        <v>493</v>
      </c>
      <c r="D17" s="23"/>
      <c r="E17" s="23"/>
      <c r="F17" s="23"/>
      <c r="G17" s="205">
        <v>0</v>
      </c>
      <c r="H17" s="205">
        <v>159.34</v>
      </c>
      <c r="I17" s="31" t="s">
        <v>511</v>
      </c>
      <c r="J17" s="29"/>
      <c r="K17" s="29"/>
      <c r="L17" s="29"/>
    </row>
    <row r="18" spans="2:12" ht="14.25" x14ac:dyDescent="0.2">
      <c r="B18" s="23">
        <v>11</v>
      </c>
      <c r="C18" s="31" t="s">
        <v>493</v>
      </c>
      <c r="D18" s="23"/>
      <c r="E18" s="23"/>
      <c r="F18" s="23"/>
      <c r="G18" s="205">
        <v>0</v>
      </c>
      <c r="H18" s="205">
        <v>5.9</v>
      </c>
      <c r="I18" s="31" t="s">
        <v>536</v>
      </c>
      <c r="J18" s="29"/>
      <c r="K18" s="29"/>
      <c r="L18" s="29"/>
    </row>
    <row r="19" spans="2:12" ht="14.25" x14ac:dyDescent="0.2">
      <c r="B19" s="23">
        <v>12</v>
      </c>
      <c r="C19" s="31" t="s">
        <v>537</v>
      </c>
      <c r="D19" s="23"/>
      <c r="E19" s="23"/>
      <c r="F19" s="23"/>
      <c r="G19" s="205">
        <v>0.75841388200000004</v>
      </c>
      <c r="H19" s="205">
        <v>0.76</v>
      </c>
      <c r="I19" s="31" t="s">
        <v>511</v>
      </c>
      <c r="J19" s="29"/>
      <c r="K19" s="29"/>
      <c r="L19" s="29"/>
    </row>
    <row r="20" spans="2:12" ht="14.25" x14ac:dyDescent="0.2">
      <c r="B20" s="23">
        <v>13</v>
      </c>
      <c r="C20" s="31" t="s">
        <v>538</v>
      </c>
      <c r="D20" s="23"/>
      <c r="E20" s="23"/>
      <c r="F20" s="23"/>
      <c r="G20" s="205">
        <v>51.863322799999999</v>
      </c>
      <c r="H20" s="205">
        <v>34.25</v>
      </c>
      <c r="I20" s="31" t="s">
        <v>534</v>
      </c>
      <c r="J20" s="29"/>
      <c r="K20" s="29"/>
      <c r="L20" s="29"/>
    </row>
    <row r="21" spans="2:12" ht="14.25" x14ac:dyDescent="0.2">
      <c r="B21" s="23">
        <v>14</v>
      </c>
      <c r="C21" s="31" t="s">
        <v>539</v>
      </c>
      <c r="D21" s="23"/>
      <c r="E21" s="23"/>
      <c r="F21" s="23"/>
      <c r="G21" s="205">
        <v>0.156810742</v>
      </c>
      <c r="H21" s="205">
        <v>0</v>
      </c>
      <c r="I21" s="31"/>
      <c r="J21" s="29"/>
      <c r="K21" s="29"/>
      <c r="L21" s="29"/>
    </row>
    <row r="22" spans="2:12" ht="14.25" x14ac:dyDescent="0.2">
      <c r="B22" s="23">
        <v>15</v>
      </c>
      <c r="C22" s="31" t="s">
        <v>540</v>
      </c>
      <c r="D22" s="23"/>
      <c r="E22" s="23"/>
      <c r="F22" s="23"/>
      <c r="G22" s="205">
        <v>34.307346893000002</v>
      </c>
      <c r="H22" s="205">
        <v>6.86</v>
      </c>
      <c r="I22" s="31" t="s">
        <v>511</v>
      </c>
      <c r="J22" s="29"/>
      <c r="K22" s="29"/>
      <c r="L22" s="29"/>
    </row>
    <row r="23" spans="2:12" ht="14.25" x14ac:dyDescent="0.2">
      <c r="B23" s="23">
        <v>16</v>
      </c>
      <c r="C23" s="31" t="s">
        <v>541</v>
      </c>
      <c r="D23" s="23"/>
      <c r="E23" s="23"/>
      <c r="F23" s="23"/>
      <c r="G23" s="205">
        <v>-54.32</v>
      </c>
      <c r="H23" s="205">
        <v>0</v>
      </c>
      <c r="I23" s="31" t="s">
        <v>542</v>
      </c>
      <c r="J23" s="29"/>
      <c r="K23" s="29"/>
      <c r="L23" s="29"/>
    </row>
    <row r="24" spans="2:12" x14ac:dyDescent="0.2">
      <c r="B24" s="23">
        <v>10</v>
      </c>
      <c r="C24" s="29" t="s">
        <v>9</v>
      </c>
      <c r="D24" s="40"/>
      <c r="E24" s="29"/>
      <c r="F24" s="124"/>
      <c r="G24" s="124"/>
      <c r="H24" s="29"/>
      <c r="I24" s="29"/>
      <c r="J24" s="29"/>
      <c r="K24" s="29"/>
      <c r="L24" s="29"/>
    </row>
    <row r="25" spans="2:12" x14ac:dyDescent="0.2">
      <c r="B25" s="29"/>
      <c r="C25" s="25" t="s">
        <v>139</v>
      </c>
      <c r="D25" s="132"/>
      <c r="E25" s="124"/>
      <c r="F25" s="120">
        <f>SUM(F24:F24)</f>
        <v>0</v>
      </c>
      <c r="G25" s="120">
        <f>SUM(G8:G24)</f>
        <v>434.23833995900003</v>
      </c>
      <c r="H25" s="120">
        <f>SUM(H8:H24)</f>
        <v>312.83165041799998</v>
      </c>
      <c r="I25" s="29"/>
      <c r="J25" s="29"/>
      <c r="K25" s="29"/>
      <c r="L25" s="29"/>
    </row>
    <row r="26" spans="2:12" x14ac:dyDescent="0.2">
      <c r="B26" s="149"/>
      <c r="C26" s="263" t="s">
        <v>256</v>
      </c>
      <c r="D26" s="150" t="s">
        <v>494</v>
      </c>
      <c r="E26" s="151"/>
      <c r="F26" s="151"/>
      <c r="J26" s="152"/>
      <c r="K26" s="152"/>
      <c r="L26" s="152"/>
    </row>
    <row r="27" spans="2:12" s="29" customFormat="1" x14ac:dyDescent="0.2">
      <c r="B27" s="23">
        <v>17</v>
      </c>
      <c r="C27" s="25" t="s">
        <v>533</v>
      </c>
      <c r="D27" s="132"/>
      <c r="E27" s="124"/>
      <c r="F27" s="124"/>
      <c r="G27" s="29">
        <v>13.28</v>
      </c>
    </row>
    <row r="28" spans="2:12" s="29" customFormat="1" x14ac:dyDescent="0.2">
      <c r="B28" s="23">
        <v>18</v>
      </c>
      <c r="C28" s="25" t="s">
        <v>493</v>
      </c>
      <c r="D28" s="132"/>
      <c r="E28" s="124"/>
      <c r="F28" s="124"/>
      <c r="G28" s="29">
        <v>88.91</v>
      </c>
    </row>
    <row r="29" spans="2:12" s="29" customFormat="1" x14ac:dyDescent="0.2">
      <c r="B29" s="23">
        <v>19</v>
      </c>
      <c r="C29" s="25" t="s">
        <v>537</v>
      </c>
      <c r="D29" s="132"/>
      <c r="E29" s="124"/>
      <c r="F29" s="124"/>
      <c r="G29" s="29">
        <v>0</v>
      </c>
    </row>
    <row r="30" spans="2:12" s="29" customFormat="1" x14ac:dyDescent="0.2">
      <c r="B30" s="23">
        <v>20</v>
      </c>
      <c r="C30" s="25" t="s">
        <v>538</v>
      </c>
      <c r="D30" s="132"/>
      <c r="E30" s="124"/>
      <c r="F30" s="124"/>
      <c r="G30" s="29">
        <v>24.72</v>
      </c>
    </row>
    <row r="31" spans="2:12" s="29" customFormat="1" x14ac:dyDescent="0.2">
      <c r="B31" s="23">
        <v>21</v>
      </c>
      <c r="C31" s="25" t="s">
        <v>539</v>
      </c>
      <c r="D31" s="132"/>
      <c r="E31" s="124"/>
      <c r="F31" s="124"/>
      <c r="G31" s="29">
        <v>0.26</v>
      </c>
    </row>
    <row r="32" spans="2:12" s="29" customFormat="1" x14ac:dyDescent="0.2">
      <c r="B32" s="23">
        <v>22</v>
      </c>
      <c r="C32" s="25" t="s">
        <v>540</v>
      </c>
      <c r="D32" s="132"/>
      <c r="E32" s="124"/>
      <c r="F32" s="124"/>
      <c r="G32" s="29">
        <v>22.77</v>
      </c>
    </row>
    <row r="33" spans="2:12" s="29" customFormat="1" x14ac:dyDescent="0.2">
      <c r="B33" s="23">
        <v>23</v>
      </c>
      <c r="C33" s="25" t="s">
        <v>541</v>
      </c>
      <c r="D33" s="132"/>
      <c r="E33" s="124"/>
      <c r="F33" s="124"/>
      <c r="G33" s="124">
        <v>-4.6722682999999998</v>
      </c>
    </row>
    <row r="34" spans="2:12" s="29" customFormat="1" x14ac:dyDescent="0.2">
      <c r="B34" s="23">
        <v>24</v>
      </c>
      <c r="C34" s="25" t="s">
        <v>534</v>
      </c>
      <c r="D34" s="132"/>
      <c r="E34" s="124"/>
      <c r="F34" s="124"/>
      <c r="I34" s="29" t="s">
        <v>534</v>
      </c>
    </row>
    <row r="35" spans="2:12" s="29" customFormat="1" x14ac:dyDescent="0.2">
      <c r="B35" s="23"/>
      <c r="C35" s="23" t="s">
        <v>543</v>
      </c>
      <c r="D35" s="132"/>
      <c r="F35" s="124"/>
      <c r="G35" s="124">
        <v>145.26773169999998</v>
      </c>
      <c r="H35" s="124">
        <v>186.16</v>
      </c>
    </row>
    <row r="36" spans="2:12" s="29" customFormat="1" x14ac:dyDescent="0.2">
      <c r="B36" s="23"/>
      <c r="C36" s="23" t="s">
        <v>5</v>
      </c>
      <c r="D36" s="132"/>
      <c r="F36" s="124"/>
      <c r="G36" s="124">
        <v>289.05</v>
      </c>
      <c r="H36" s="124"/>
    </row>
    <row r="37" spans="2:12" x14ac:dyDescent="0.2">
      <c r="B37" s="62">
        <v>3</v>
      </c>
      <c r="C37" s="62"/>
      <c r="D37" s="153"/>
      <c r="E37" s="154"/>
      <c r="F37" s="154"/>
      <c r="G37" s="154"/>
      <c r="H37" s="154"/>
      <c r="I37" s="155"/>
      <c r="J37" s="155"/>
      <c r="K37" s="155"/>
      <c r="L37" s="155"/>
    </row>
    <row r="38" spans="2:12" x14ac:dyDescent="0.2">
      <c r="B38" s="29"/>
      <c r="C38" s="29" t="s">
        <v>9</v>
      </c>
      <c r="D38" s="132"/>
      <c r="E38" s="124"/>
      <c r="F38" s="124"/>
      <c r="G38" s="124"/>
      <c r="H38" s="124"/>
      <c r="I38" s="29"/>
      <c r="J38" s="29"/>
      <c r="K38" s="29"/>
      <c r="L38" s="29"/>
    </row>
    <row r="39" spans="2:12" x14ac:dyDescent="0.2">
      <c r="B39" s="29"/>
      <c r="C39" s="25" t="s">
        <v>139</v>
      </c>
      <c r="D39" s="132"/>
      <c r="E39" s="124"/>
      <c r="F39" s="120">
        <f>SUM(F35:F38)</f>
        <v>0</v>
      </c>
      <c r="G39" s="120">
        <f>SUM(G35:G38)</f>
        <v>434.31773169999997</v>
      </c>
      <c r="H39" s="120">
        <f>SUM(H35:H38)</f>
        <v>186.16</v>
      </c>
      <c r="I39" s="29"/>
      <c r="J39" s="29"/>
      <c r="K39" s="29"/>
      <c r="L39" s="29"/>
    </row>
    <row r="40" spans="2:12" x14ac:dyDescent="0.2">
      <c r="B40" s="23"/>
      <c r="C40" s="33" t="s">
        <v>280</v>
      </c>
      <c r="D40" s="132" t="s">
        <v>495</v>
      </c>
      <c r="E40" s="124"/>
      <c r="F40" s="124"/>
      <c r="G40" s="124"/>
      <c r="H40" s="124"/>
      <c r="I40" s="29"/>
      <c r="J40" s="29"/>
      <c r="K40" s="29"/>
      <c r="L40" s="29"/>
    </row>
    <row r="41" spans="2:12" x14ac:dyDescent="0.2">
      <c r="B41" s="23">
        <v>1</v>
      </c>
      <c r="C41" s="23"/>
      <c r="D41" s="132"/>
      <c r="E41" s="124"/>
      <c r="F41" s="124"/>
      <c r="G41" s="124"/>
      <c r="H41" s="124"/>
      <c r="I41" s="29"/>
      <c r="J41" s="29"/>
      <c r="K41" s="29"/>
      <c r="L41" s="29"/>
    </row>
    <row r="42" spans="2:12" ht="30" x14ac:dyDescent="0.2">
      <c r="B42" s="23">
        <v>2</v>
      </c>
      <c r="C42" s="23"/>
      <c r="D42" s="132"/>
      <c r="E42" s="264" t="s">
        <v>555</v>
      </c>
      <c r="F42" s="124"/>
      <c r="G42" s="124">
        <v>34.723590000000002</v>
      </c>
      <c r="H42" s="124">
        <v>34.723590000000002</v>
      </c>
      <c r="I42" s="29"/>
      <c r="J42" s="29"/>
      <c r="K42" s="29"/>
      <c r="L42" s="29"/>
    </row>
    <row r="43" spans="2:12" ht="30" x14ac:dyDescent="0.2">
      <c r="B43" s="23">
        <v>3</v>
      </c>
      <c r="C43" s="31"/>
      <c r="D43" s="132"/>
      <c r="E43" s="264" t="s">
        <v>556</v>
      </c>
      <c r="F43" s="124"/>
      <c r="G43" s="124">
        <v>5.05</v>
      </c>
      <c r="H43" s="124">
        <v>5.05</v>
      </c>
      <c r="I43" s="29"/>
      <c r="J43" s="29"/>
      <c r="K43" s="29"/>
      <c r="L43" s="29"/>
    </row>
    <row r="44" spans="2:12" ht="60" x14ac:dyDescent="0.2">
      <c r="B44" s="29"/>
      <c r="C44" s="29" t="s">
        <v>9</v>
      </c>
      <c r="D44" s="132"/>
      <c r="E44" s="264" t="s">
        <v>557</v>
      </c>
      <c r="F44" s="124"/>
      <c r="G44" s="124">
        <f>1872.65-514.13</f>
        <v>1358.52</v>
      </c>
      <c r="H44" s="124">
        <f>1800-514.13</f>
        <v>1285.8699999999999</v>
      </c>
      <c r="I44" s="29"/>
      <c r="J44" s="29"/>
      <c r="K44" s="29"/>
      <c r="L44" s="29"/>
    </row>
    <row r="45" spans="2:12" x14ac:dyDescent="0.2">
      <c r="B45" s="29"/>
      <c r="C45" s="25" t="s">
        <v>139</v>
      </c>
      <c r="D45" s="132"/>
      <c r="E45" s="124"/>
      <c r="F45" s="120">
        <f>SUM(F41:F44)</f>
        <v>0</v>
      </c>
      <c r="G45" s="120">
        <f>SUM(G41:G44)</f>
        <v>1398.29359</v>
      </c>
      <c r="H45" s="120">
        <f>SUM(H41:H44)</f>
        <v>1325.6435899999999</v>
      </c>
      <c r="I45" s="29"/>
      <c r="J45" s="29"/>
      <c r="K45" s="29"/>
      <c r="L45" s="29"/>
    </row>
    <row r="46" spans="2:12" x14ac:dyDescent="0.2">
      <c r="B46" s="23"/>
      <c r="C46" s="33" t="s">
        <v>281</v>
      </c>
      <c r="D46" s="132" t="s">
        <v>496</v>
      </c>
      <c r="E46" s="124"/>
      <c r="F46" s="124"/>
      <c r="G46" s="124"/>
      <c r="H46" s="124"/>
      <c r="I46" s="29"/>
      <c r="J46" s="29"/>
      <c r="K46" s="29"/>
      <c r="L46" s="29"/>
    </row>
    <row r="47" spans="2:12" x14ac:dyDescent="0.2">
      <c r="B47" s="23">
        <v>1</v>
      </c>
      <c r="C47" s="23"/>
      <c r="D47" s="132"/>
      <c r="E47" s="124"/>
      <c r="F47" s="124"/>
      <c r="G47" s="124"/>
      <c r="H47" s="124"/>
      <c r="I47" s="29"/>
      <c r="J47" s="29"/>
      <c r="K47" s="29"/>
      <c r="L47" s="29"/>
    </row>
    <row r="48" spans="2:12" x14ac:dyDescent="0.2">
      <c r="B48" s="23">
        <v>2</v>
      </c>
      <c r="C48" s="23"/>
      <c r="D48" s="132"/>
      <c r="E48" s="124"/>
      <c r="F48" s="124"/>
      <c r="G48" s="124"/>
      <c r="H48" s="124"/>
      <c r="I48" s="29"/>
      <c r="J48" s="29"/>
      <c r="K48" s="29"/>
      <c r="L48" s="29"/>
    </row>
    <row r="49" spans="2:12" ht="30" x14ac:dyDescent="0.2">
      <c r="B49" s="23">
        <v>3</v>
      </c>
      <c r="C49" s="23"/>
      <c r="D49" s="132"/>
      <c r="E49" s="264" t="s">
        <v>558</v>
      </c>
      <c r="F49" s="124"/>
      <c r="G49" s="124">
        <v>11.574529999999999</v>
      </c>
      <c r="H49" s="124">
        <v>11.574529999999999</v>
      </c>
      <c r="I49" s="29"/>
      <c r="J49" s="29"/>
      <c r="K49" s="29"/>
      <c r="L49" s="29"/>
    </row>
    <row r="50" spans="2:12" ht="60" x14ac:dyDescent="0.2">
      <c r="B50" s="29"/>
      <c r="C50" s="29" t="s">
        <v>9</v>
      </c>
      <c r="D50" s="132"/>
      <c r="E50" s="264" t="s">
        <v>557</v>
      </c>
      <c r="F50" s="124"/>
      <c r="G50" s="124">
        <v>523.22</v>
      </c>
      <c r="H50" s="124">
        <v>1189.08</v>
      </c>
      <c r="I50" s="29"/>
      <c r="J50" s="29"/>
      <c r="K50" s="29"/>
      <c r="L50" s="29"/>
    </row>
    <row r="51" spans="2:12" x14ac:dyDescent="0.2">
      <c r="B51" s="29"/>
      <c r="C51" s="25" t="s">
        <v>139</v>
      </c>
      <c r="D51" s="132"/>
      <c r="E51" s="124"/>
      <c r="F51" s="120">
        <f>SUM(F47:F50)</f>
        <v>0</v>
      </c>
      <c r="G51" s="120">
        <f>SUM(G47:G50)</f>
        <v>534.79453000000001</v>
      </c>
      <c r="H51" s="120">
        <f>SUM(H47:H50)</f>
        <v>1200.65453</v>
      </c>
      <c r="I51" s="29"/>
      <c r="J51" s="29"/>
      <c r="K51" s="29"/>
      <c r="L51" s="29"/>
    </row>
    <row r="52" spans="2:12" x14ac:dyDescent="0.2">
      <c r="B52" s="23"/>
      <c r="C52" s="33" t="s">
        <v>282</v>
      </c>
      <c r="D52" s="132" t="s">
        <v>497</v>
      </c>
      <c r="E52" s="124"/>
      <c r="F52" s="124"/>
      <c r="G52" s="124"/>
      <c r="H52" s="124"/>
      <c r="I52" s="29"/>
      <c r="J52" s="29"/>
      <c r="K52" s="29"/>
      <c r="L52" s="29"/>
    </row>
    <row r="53" spans="2:12" x14ac:dyDescent="0.2">
      <c r="B53" s="23">
        <v>1</v>
      </c>
      <c r="C53" s="23"/>
      <c r="D53" s="132"/>
      <c r="E53" s="124"/>
      <c r="F53" s="124"/>
      <c r="G53" s="124"/>
      <c r="H53" s="124"/>
      <c r="I53" s="29"/>
      <c r="J53" s="29"/>
      <c r="K53" s="29"/>
      <c r="L53" s="29"/>
    </row>
    <row r="54" spans="2:12" x14ac:dyDescent="0.2">
      <c r="B54" s="23">
        <v>2</v>
      </c>
      <c r="C54" s="23"/>
      <c r="D54" s="132"/>
      <c r="E54" s="124"/>
      <c r="F54" s="124"/>
      <c r="G54" s="124"/>
      <c r="H54" s="124"/>
      <c r="I54" s="29"/>
      <c r="J54" s="29"/>
      <c r="K54" s="29"/>
      <c r="L54" s="29"/>
    </row>
    <row r="55" spans="2:12" x14ac:dyDescent="0.2">
      <c r="B55" s="23">
        <v>3</v>
      </c>
      <c r="C55" s="23"/>
      <c r="D55" s="132"/>
      <c r="E55" s="124"/>
      <c r="F55" s="124"/>
      <c r="G55" s="124"/>
      <c r="H55" s="124"/>
      <c r="I55" s="29"/>
      <c r="J55" s="29"/>
      <c r="K55" s="29"/>
      <c r="L55" s="29"/>
    </row>
    <row r="56" spans="2:12" x14ac:dyDescent="0.2">
      <c r="B56" s="29"/>
      <c r="C56" s="29" t="s">
        <v>9</v>
      </c>
      <c r="D56" s="132"/>
      <c r="E56" s="124"/>
      <c r="F56" s="124"/>
      <c r="G56" s="124"/>
      <c r="H56" s="124"/>
      <c r="I56" s="29"/>
      <c r="J56" s="29"/>
      <c r="K56" s="29"/>
      <c r="L56" s="29"/>
    </row>
    <row r="57" spans="2:12" x14ac:dyDescent="0.2">
      <c r="B57" s="29"/>
      <c r="C57" s="25" t="s">
        <v>139</v>
      </c>
      <c r="D57" s="132"/>
      <c r="E57" s="124"/>
      <c r="F57" s="120">
        <f>SUM(F53:F56)</f>
        <v>0</v>
      </c>
      <c r="G57" s="120">
        <f>SUM(G53:G56)</f>
        <v>0</v>
      </c>
      <c r="H57" s="120">
        <f>SUM(H53:H56)</f>
        <v>0</v>
      </c>
      <c r="I57" s="29"/>
      <c r="J57" s="29"/>
      <c r="K57" s="29"/>
      <c r="L57" s="29"/>
    </row>
    <row r="58" spans="2:12" x14ac:dyDescent="0.2">
      <c r="B58" s="23"/>
      <c r="C58" s="33" t="s">
        <v>283</v>
      </c>
      <c r="D58" s="132" t="s">
        <v>498</v>
      </c>
      <c r="E58" s="124"/>
      <c r="F58" s="124"/>
      <c r="G58" s="124"/>
      <c r="H58" s="124"/>
      <c r="I58" s="29"/>
      <c r="J58" s="29"/>
      <c r="K58" s="29"/>
      <c r="L58" s="29"/>
    </row>
    <row r="59" spans="2:12" x14ac:dyDescent="0.2">
      <c r="B59" s="23">
        <v>1</v>
      </c>
      <c r="C59" s="23"/>
      <c r="D59" s="132"/>
      <c r="E59" s="124"/>
      <c r="F59" s="124"/>
      <c r="G59" s="124"/>
      <c r="H59" s="124"/>
      <c r="I59" s="29"/>
      <c r="J59" s="29"/>
      <c r="K59" s="29"/>
      <c r="L59" s="29"/>
    </row>
    <row r="60" spans="2:12" x14ac:dyDescent="0.2">
      <c r="B60" s="23">
        <v>2</v>
      </c>
      <c r="C60" s="23"/>
      <c r="D60" s="132"/>
      <c r="E60" s="124"/>
      <c r="F60" s="124"/>
      <c r="G60" s="124"/>
      <c r="H60" s="124"/>
      <c r="I60" s="29"/>
      <c r="J60" s="29"/>
      <c r="K60" s="29"/>
      <c r="L60" s="29"/>
    </row>
    <row r="61" spans="2:12" x14ac:dyDescent="0.2">
      <c r="B61" s="23">
        <v>3</v>
      </c>
      <c r="C61" s="23"/>
      <c r="D61" s="132"/>
      <c r="E61" s="124"/>
      <c r="F61" s="124"/>
      <c r="G61" s="124"/>
      <c r="H61" s="124"/>
      <c r="I61" s="29"/>
      <c r="J61" s="29"/>
      <c r="K61" s="29"/>
      <c r="L61" s="29"/>
    </row>
    <row r="62" spans="2:12" x14ac:dyDescent="0.2">
      <c r="B62" s="29"/>
      <c r="C62" s="29" t="s">
        <v>9</v>
      </c>
      <c r="D62" s="132"/>
      <c r="E62" s="124"/>
      <c r="F62" s="124"/>
      <c r="G62" s="124"/>
      <c r="H62" s="124"/>
      <c r="I62" s="29"/>
      <c r="J62" s="29"/>
      <c r="K62" s="29"/>
      <c r="L62" s="29"/>
    </row>
    <row r="63" spans="2:12" x14ac:dyDescent="0.2">
      <c r="B63" s="29"/>
      <c r="C63" s="25" t="s">
        <v>139</v>
      </c>
      <c r="D63" s="132"/>
      <c r="E63" s="124"/>
      <c r="F63" s="120">
        <f>SUM(F59:F62)</f>
        <v>0</v>
      </c>
      <c r="G63" s="120">
        <f>SUM(G59:G62)</f>
        <v>0</v>
      </c>
      <c r="H63" s="120">
        <f>SUM(H59:H62)</f>
        <v>0</v>
      </c>
      <c r="I63" s="29"/>
      <c r="J63" s="29"/>
      <c r="K63" s="29"/>
      <c r="L63" s="29"/>
    </row>
    <row r="64" spans="2:12" x14ac:dyDescent="0.2">
      <c r="B64" s="23"/>
      <c r="C64" s="33" t="s">
        <v>284</v>
      </c>
      <c r="D64" s="132" t="s">
        <v>499</v>
      </c>
      <c r="E64" s="124"/>
      <c r="F64" s="124"/>
      <c r="G64" s="124"/>
      <c r="H64" s="124"/>
      <c r="I64" s="29"/>
      <c r="J64" s="29"/>
      <c r="K64" s="29"/>
      <c r="L64" s="29"/>
    </row>
    <row r="65" spans="2:12" x14ac:dyDescent="0.2">
      <c r="B65" s="23">
        <v>1</v>
      </c>
      <c r="C65" s="23"/>
      <c r="D65" s="132"/>
      <c r="E65" s="124"/>
      <c r="F65" s="124"/>
      <c r="G65" s="124"/>
      <c r="H65" s="124"/>
      <c r="I65" s="29"/>
      <c r="J65" s="29"/>
      <c r="K65" s="29"/>
      <c r="L65" s="29"/>
    </row>
    <row r="66" spans="2:12" x14ac:dyDescent="0.2">
      <c r="B66" s="23">
        <v>2</v>
      </c>
      <c r="C66" s="23"/>
      <c r="D66" s="132"/>
      <c r="E66" s="124"/>
      <c r="F66" s="124"/>
      <c r="G66" s="124"/>
      <c r="H66" s="124"/>
      <c r="I66" s="29"/>
      <c r="J66" s="29"/>
      <c r="K66" s="29"/>
      <c r="L66" s="29"/>
    </row>
    <row r="67" spans="2:12" x14ac:dyDescent="0.2">
      <c r="B67" s="23">
        <v>3</v>
      </c>
      <c r="C67" s="23"/>
      <c r="D67" s="132"/>
      <c r="E67" s="124"/>
      <c r="F67" s="124"/>
      <c r="G67" s="124"/>
      <c r="H67" s="124"/>
      <c r="I67" s="29"/>
      <c r="J67" s="29"/>
      <c r="K67" s="29"/>
      <c r="L67" s="29"/>
    </row>
    <row r="68" spans="2:12" x14ac:dyDescent="0.2">
      <c r="B68" s="29"/>
      <c r="C68" s="29" t="s">
        <v>9</v>
      </c>
      <c r="D68" s="132"/>
      <c r="E68" s="124"/>
      <c r="F68" s="124"/>
      <c r="G68" s="124"/>
      <c r="H68" s="124"/>
      <c r="I68" s="29"/>
      <c r="J68" s="29"/>
      <c r="K68" s="29"/>
      <c r="L68" s="29"/>
    </row>
    <row r="69" spans="2:12" x14ac:dyDescent="0.2">
      <c r="B69" s="29"/>
      <c r="C69" s="25" t="s">
        <v>139</v>
      </c>
      <c r="D69" s="120">
        <f>SUM(D65:D68)</f>
        <v>0</v>
      </c>
      <c r="E69" s="124"/>
      <c r="F69" s="120">
        <f>SUM(F65:F68)</f>
        <v>0</v>
      </c>
      <c r="G69" s="120">
        <f>SUM(G65:G68)</f>
        <v>0</v>
      </c>
      <c r="H69" s="120">
        <f>SUM(H65:H68)</f>
        <v>0</v>
      </c>
      <c r="I69" s="29"/>
      <c r="J69" s="29"/>
      <c r="K69" s="29"/>
      <c r="L69" s="29"/>
    </row>
    <row r="70" spans="2:12" x14ac:dyDescent="0.2">
      <c r="B70" s="63" t="s">
        <v>286</v>
      </c>
      <c r="C70" s="51" t="s">
        <v>287</v>
      </c>
    </row>
  </sheetData>
  <mergeCells count="3">
    <mergeCell ref="B3:L3"/>
    <mergeCell ref="B2:L2"/>
    <mergeCell ref="B4:L4"/>
  </mergeCells>
  <pageMargins left="0.54" right="0.23622047244094491" top="0.41" bottom="0.46" header="0.23622047244094491" footer="0.23622047244094491"/>
  <pageSetup paperSize="9" scale="45" orientation="landscape" r:id="rId1"/>
  <headerFooter alignWithMargins="0">
    <oddHeader>&amp;F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1"/>
  <sheetViews>
    <sheetView showGridLines="0" zoomScale="80" zoomScaleNormal="80" workbookViewId="0">
      <selection activeCell="F15" sqref="F15"/>
    </sheetView>
  </sheetViews>
  <sheetFormatPr defaultColWidth="9.28515625" defaultRowHeight="14.25" x14ac:dyDescent="0.2"/>
  <cols>
    <col min="1" max="1" width="2.5703125" style="92" customWidth="1"/>
    <col min="2" max="2" width="9.28515625" style="92"/>
    <col min="3" max="3" width="26.140625" style="92" customWidth="1"/>
    <col min="4" max="4" width="12.7109375" style="92" customWidth="1"/>
    <col min="5" max="5" width="12.5703125" style="92" customWidth="1"/>
    <col min="6" max="6" width="14.5703125" style="92" customWidth="1"/>
    <col min="7" max="7" width="13.85546875" style="92" customWidth="1"/>
    <col min="8" max="8" width="13.7109375" style="92" customWidth="1"/>
    <col min="9" max="9" width="13.85546875" style="92" customWidth="1"/>
    <col min="10" max="10" width="15.7109375" style="92" customWidth="1"/>
    <col min="11" max="16384" width="9.28515625" style="92"/>
  </cols>
  <sheetData>
    <row r="2" spans="2:10" ht="14.25" customHeight="1" x14ac:dyDescent="0.2">
      <c r="B2" s="323" t="s">
        <v>550</v>
      </c>
      <c r="C2" s="323"/>
      <c r="D2" s="323"/>
      <c r="E2" s="323"/>
      <c r="F2" s="323"/>
      <c r="G2" s="323"/>
      <c r="H2" s="323"/>
      <c r="I2" s="323"/>
      <c r="J2" s="323"/>
    </row>
    <row r="3" spans="2:10" ht="14.25" customHeight="1" x14ac:dyDescent="0.2">
      <c r="B3" s="323" t="s">
        <v>519</v>
      </c>
      <c r="C3" s="323"/>
      <c r="D3" s="323"/>
      <c r="E3" s="323"/>
      <c r="F3" s="323"/>
      <c r="G3" s="323"/>
      <c r="H3" s="323"/>
      <c r="I3" s="323"/>
      <c r="J3" s="323"/>
    </row>
    <row r="4" spans="2:10" ht="14.25" customHeight="1" x14ac:dyDescent="0.2">
      <c r="B4" s="311" t="s">
        <v>337</v>
      </c>
      <c r="C4" s="311"/>
      <c r="D4" s="311"/>
      <c r="E4" s="311"/>
      <c r="F4" s="311"/>
      <c r="G4" s="311"/>
      <c r="H4" s="311"/>
      <c r="I4" s="311"/>
      <c r="J4" s="311"/>
    </row>
    <row r="6" spans="2:10" ht="15" customHeight="1" x14ac:dyDescent="0.2">
      <c r="B6" s="325" t="s">
        <v>210</v>
      </c>
      <c r="C6" s="314" t="s">
        <v>18</v>
      </c>
      <c r="D6" s="325" t="s">
        <v>484</v>
      </c>
      <c r="E6" s="218" t="s">
        <v>485</v>
      </c>
      <c r="F6" s="325" t="s">
        <v>252</v>
      </c>
      <c r="G6" s="325"/>
      <c r="H6" s="325"/>
      <c r="I6" s="325"/>
      <c r="J6" s="325"/>
    </row>
    <row r="7" spans="2:10" ht="15" x14ac:dyDescent="0.2">
      <c r="B7" s="325"/>
      <c r="C7" s="314"/>
      <c r="D7" s="325"/>
      <c r="E7" s="21" t="s">
        <v>269</v>
      </c>
      <c r="F7" s="21" t="s">
        <v>486</v>
      </c>
      <c r="G7" s="21" t="s">
        <v>487</v>
      </c>
      <c r="H7" s="21" t="s">
        <v>488</v>
      </c>
      <c r="I7" s="21" t="s">
        <v>489</v>
      </c>
      <c r="J7" s="21" t="s">
        <v>490</v>
      </c>
    </row>
    <row r="8" spans="2:10" ht="15" x14ac:dyDescent="0.2">
      <c r="B8" s="325"/>
      <c r="C8" s="314"/>
      <c r="D8" s="95" t="s">
        <v>3</v>
      </c>
      <c r="E8" s="21" t="s">
        <v>5</v>
      </c>
      <c r="F8" s="21" t="s">
        <v>8</v>
      </c>
      <c r="G8" s="21" t="s">
        <v>8</v>
      </c>
      <c r="H8" s="21" t="s">
        <v>8</v>
      </c>
      <c r="I8" s="21" t="s">
        <v>8</v>
      </c>
      <c r="J8" s="21" t="s">
        <v>8</v>
      </c>
    </row>
    <row r="9" spans="2:10" ht="15" x14ac:dyDescent="0.2">
      <c r="B9" s="96">
        <v>1</v>
      </c>
      <c r="C9" s="30" t="s">
        <v>338</v>
      </c>
      <c r="D9" s="114">
        <f>F3.1!H25</f>
        <v>312.83165041799998</v>
      </c>
      <c r="E9" s="114">
        <f>F3.1!H39</f>
        <v>186.16</v>
      </c>
      <c r="F9" s="114">
        <f>F3.1!H45</f>
        <v>1325.6435899999999</v>
      </c>
      <c r="G9" s="114">
        <f>F3.1!H51</f>
        <v>1200.65453</v>
      </c>
      <c r="H9" s="114">
        <f>F3.1!H57</f>
        <v>0</v>
      </c>
      <c r="I9" s="114">
        <f>F3.1!H63</f>
        <v>0</v>
      </c>
      <c r="J9" s="114">
        <f>F3.1!H69</f>
        <v>0</v>
      </c>
    </row>
    <row r="10" spans="2:10" x14ac:dyDescent="0.2">
      <c r="B10" s="30"/>
      <c r="C10" s="30"/>
      <c r="D10" s="106"/>
      <c r="E10" s="106"/>
      <c r="F10" s="106"/>
      <c r="G10" s="106"/>
      <c r="H10" s="106"/>
      <c r="I10" s="106"/>
      <c r="J10" s="106"/>
    </row>
    <row r="11" spans="2:10" ht="15" x14ac:dyDescent="0.2">
      <c r="B11" s="96">
        <v>2</v>
      </c>
      <c r="C11" s="97" t="s">
        <v>199</v>
      </c>
      <c r="D11" s="106"/>
      <c r="E11" s="106"/>
      <c r="F11" s="106"/>
      <c r="G11" s="106"/>
      <c r="H11" s="106"/>
      <c r="I11" s="106"/>
      <c r="J11" s="106"/>
    </row>
    <row r="12" spans="2:10" x14ac:dyDescent="0.2">
      <c r="B12" s="30"/>
      <c r="C12" s="30" t="s">
        <v>209</v>
      </c>
      <c r="D12" s="106">
        <f>D9*0.7</f>
        <v>218.98215529259997</v>
      </c>
      <c r="E12" s="106">
        <f t="shared" ref="E12" si="0">E9*0.7</f>
        <v>130.31199999999998</v>
      </c>
      <c r="F12" s="106">
        <f>F9*0.75</f>
        <v>994.23269249999998</v>
      </c>
      <c r="G12" s="106">
        <f t="shared" ref="G12:J12" si="1">G9*0.75</f>
        <v>900.49089750000007</v>
      </c>
      <c r="H12" s="106">
        <f t="shared" si="1"/>
        <v>0</v>
      </c>
      <c r="I12" s="106">
        <f t="shared" si="1"/>
        <v>0</v>
      </c>
      <c r="J12" s="106">
        <f t="shared" si="1"/>
        <v>0</v>
      </c>
    </row>
    <row r="13" spans="2:10" x14ac:dyDescent="0.2">
      <c r="B13" s="30"/>
      <c r="C13" s="30" t="s">
        <v>208</v>
      </c>
      <c r="D13" s="106"/>
      <c r="E13" s="106"/>
      <c r="F13" s="106"/>
      <c r="G13" s="106"/>
      <c r="H13" s="106"/>
      <c r="I13" s="106"/>
      <c r="J13" s="106"/>
    </row>
    <row r="14" spans="2:10" x14ac:dyDescent="0.2">
      <c r="B14" s="30"/>
      <c r="C14" s="30" t="s">
        <v>9</v>
      </c>
      <c r="D14" s="106"/>
      <c r="E14" s="106"/>
      <c r="F14" s="106"/>
      <c r="G14" s="106"/>
      <c r="H14" s="106"/>
      <c r="I14" s="106"/>
      <c r="J14" s="106"/>
    </row>
    <row r="15" spans="2:10" ht="15" x14ac:dyDescent="0.2">
      <c r="B15" s="30"/>
      <c r="C15" s="97" t="s">
        <v>197</v>
      </c>
      <c r="D15" s="114">
        <f>SUM(D12:D14)</f>
        <v>218.98215529259997</v>
      </c>
      <c r="E15" s="114">
        <f>SUM(E12:E14)</f>
        <v>130.31199999999998</v>
      </c>
      <c r="F15" s="114">
        <f t="shared" ref="F15:J15" si="2">SUM(F12:F14)</f>
        <v>994.23269249999998</v>
      </c>
      <c r="G15" s="114">
        <f t="shared" si="2"/>
        <v>900.49089750000007</v>
      </c>
      <c r="H15" s="114">
        <f t="shared" si="2"/>
        <v>0</v>
      </c>
      <c r="I15" s="114">
        <f t="shared" si="2"/>
        <v>0</v>
      </c>
      <c r="J15" s="114">
        <f t="shared" si="2"/>
        <v>0</v>
      </c>
    </row>
    <row r="16" spans="2:10" x14ac:dyDescent="0.2">
      <c r="B16" s="30"/>
      <c r="C16" s="30"/>
      <c r="D16" s="106"/>
      <c r="E16" s="106"/>
      <c r="F16" s="106"/>
      <c r="G16" s="106"/>
      <c r="H16" s="106"/>
      <c r="I16" s="106"/>
      <c r="J16" s="106"/>
    </row>
    <row r="17" spans="2:10" x14ac:dyDescent="0.2">
      <c r="B17" s="96">
        <v>3</v>
      </c>
      <c r="C17" s="30" t="s">
        <v>0</v>
      </c>
      <c r="D17" s="106">
        <f>D9*0.3</f>
        <v>93.849495125399997</v>
      </c>
      <c r="E17" s="106">
        <f t="shared" ref="E17" si="3">E9*0.3</f>
        <v>55.847999999999999</v>
      </c>
      <c r="F17" s="106">
        <f>F9*0.25</f>
        <v>331.41089749999998</v>
      </c>
      <c r="G17" s="106">
        <f t="shared" ref="G17:J17" si="4">G9*0.25</f>
        <v>300.16363250000001</v>
      </c>
      <c r="H17" s="106">
        <f t="shared" si="4"/>
        <v>0</v>
      </c>
      <c r="I17" s="106">
        <f t="shared" si="4"/>
        <v>0</v>
      </c>
      <c r="J17" s="106">
        <f t="shared" si="4"/>
        <v>0</v>
      </c>
    </row>
    <row r="18" spans="2:10" x14ac:dyDescent="0.2">
      <c r="B18" s="96">
        <v>4</v>
      </c>
      <c r="C18" s="30" t="s">
        <v>200</v>
      </c>
      <c r="D18" s="106"/>
      <c r="E18" s="106"/>
      <c r="F18" s="106"/>
      <c r="G18" s="106"/>
      <c r="H18" s="106"/>
      <c r="I18" s="106"/>
      <c r="J18" s="106"/>
    </row>
    <row r="19" spans="2:10" x14ac:dyDescent="0.2">
      <c r="B19" s="96">
        <v>5</v>
      </c>
      <c r="C19" s="30" t="s">
        <v>339</v>
      </c>
      <c r="D19" s="106"/>
      <c r="E19" s="106"/>
      <c r="F19" s="106"/>
      <c r="G19" s="106"/>
      <c r="H19" s="106"/>
      <c r="I19" s="106"/>
      <c r="J19" s="106"/>
    </row>
    <row r="20" spans="2:10" ht="15" x14ac:dyDescent="0.2">
      <c r="B20" s="30"/>
      <c r="C20" s="30"/>
      <c r="D20" s="110"/>
      <c r="E20" s="110"/>
      <c r="F20" s="110"/>
      <c r="G20" s="110"/>
      <c r="H20" s="110"/>
      <c r="I20" s="110"/>
      <c r="J20" s="110"/>
    </row>
    <row r="21" spans="2:10" ht="15" x14ac:dyDescent="0.2">
      <c r="B21" s="96">
        <v>6</v>
      </c>
      <c r="C21" s="97" t="s">
        <v>340</v>
      </c>
      <c r="D21" s="114">
        <f>D15+D17+D18+D19</f>
        <v>312.83165041799998</v>
      </c>
      <c r="E21" s="114">
        <f>E15+E17+E18+E19</f>
        <v>186.15999999999997</v>
      </c>
      <c r="F21" s="114">
        <f t="shared" ref="F21:J21" si="5">F15+F17+F18+F19</f>
        <v>1325.6435899999999</v>
      </c>
      <c r="G21" s="114">
        <f t="shared" si="5"/>
        <v>1200.65453</v>
      </c>
      <c r="H21" s="114">
        <f t="shared" si="5"/>
        <v>0</v>
      </c>
      <c r="I21" s="114">
        <f t="shared" si="5"/>
        <v>0</v>
      </c>
      <c r="J21" s="114">
        <f t="shared" si="5"/>
        <v>0</v>
      </c>
    </row>
  </sheetData>
  <mergeCells count="7">
    <mergeCell ref="F6:J6"/>
    <mergeCell ref="D6:D7"/>
    <mergeCell ref="B6:B8"/>
    <mergeCell ref="C6:C8"/>
    <mergeCell ref="B2:J2"/>
    <mergeCell ref="B3:J3"/>
    <mergeCell ref="B4:J4"/>
  </mergeCells>
  <pageMargins left="0.35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</vt:i4>
      </vt:variant>
    </vt:vector>
  </HeadingPairs>
  <TitlesOfParts>
    <vt:vector size="23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F10</vt:lpstr>
      <vt:lpstr>F11</vt:lpstr>
      <vt:lpstr>F11.1</vt:lpstr>
      <vt:lpstr>F12</vt:lpstr>
      <vt:lpstr>F13</vt:lpstr>
      <vt:lpstr>F14</vt:lpstr>
      <vt:lpstr>F15</vt:lpstr>
      <vt:lpstr>Checklist!Print_Area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AE COMMERCIAL</cp:lastModifiedBy>
  <cp:lastPrinted>2024-09-21T10:27:11Z</cp:lastPrinted>
  <dcterms:created xsi:type="dcterms:W3CDTF">2004-07-28T05:30:50Z</dcterms:created>
  <dcterms:modified xsi:type="dcterms:W3CDTF">2024-09-22T08:31:30Z</dcterms:modified>
</cp:coreProperties>
</file>