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10140" yWindow="0" windowWidth="10455" windowHeight="10905" tabRatio="712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</sheets>
  <externalReferences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9"/>
  <c r="F21"/>
  <c r="E15"/>
  <c r="D15"/>
  <c r="G89" i="102"/>
  <c r="G72"/>
  <c r="G55"/>
  <c r="H57" i="101" l="1"/>
  <c r="G57"/>
  <c r="F57"/>
  <c r="D57"/>
  <c r="H51"/>
  <c r="G51"/>
  <c r="F51"/>
  <c r="H45"/>
  <c r="K12" i="93" s="1"/>
  <c r="G45" i="101"/>
  <c r="K11" i="93" s="1"/>
  <c r="F45" i="101"/>
  <c r="H38"/>
  <c r="G38"/>
  <c r="F38"/>
  <c r="H32"/>
  <c r="I12" i="93" s="1"/>
  <c r="G32" i="101"/>
  <c r="I11" i="93" s="1"/>
  <c r="F32" i="101"/>
  <c r="H25"/>
  <c r="G25"/>
  <c r="F25"/>
  <c r="G23"/>
  <c r="G15" i="110"/>
  <c r="G14"/>
  <c r="G10"/>
  <c r="G11"/>
  <c r="G12"/>
  <c r="G13"/>
  <c r="G9"/>
  <c r="K15"/>
  <c r="L15" s="1"/>
  <c r="M15" s="1"/>
  <c r="N15" s="1"/>
  <c r="K13"/>
  <c r="L13" s="1"/>
  <c r="M13" s="1"/>
  <c r="N13" s="1"/>
  <c r="I11" i="105" l="1"/>
  <c r="I12" s="1"/>
  <c r="I14" i="103"/>
  <c r="J11" i="105"/>
  <c r="J12" s="1"/>
  <c r="J14" i="103"/>
  <c r="K11" i="105"/>
  <c r="K12" s="1"/>
  <c r="K14" i="103"/>
  <c r="L11" i="105"/>
  <c r="L12" s="1"/>
  <c r="L14" i="103"/>
  <c r="M11" i="105"/>
  <c r="M12" s="1"/>
  <c r="M14" i="103"/>
  <c r="G124" i="102"/>
  <c r="H124"/>
  <c r="L124"/>
  <c r="G107"/>
  <c r="H107"/>
  <c r="L107"/>
  <c r="G90"/>
  <c r="H90"/>
  <c r="L90"/>
  <c r="G73"/>
  <c r="H73"/>
  <c r="L73"/>
  <c r="J54"/>
  <c r="L56"/>
  <c r="H56"/>
  <c r="G56"/>
  <c r="L39"/>
  <c r="H39"/>
  <c r="G39"/>
  <c r="L22"/>
  <c r="H22"/>
  <c r="G22"/>
  <c r="D71" i="71"/>
  <c r="E71"/>
  <c r="F71"/>
  <c r="G71"/>
  <c r="H71"/>
  <c r="I71"/>
  <c r="J71"/>
  <c r="K71"/>
  <c r="L71"/>
  <c r="M71"/>
  <c r="N71"/>
  <c r="C71"/>
  <c r="D61"/>
  <c r="E61"/>
  <c r="F61"/>
  <c r="G61"/>
  <c r="H61"/>
  <c r="I61"/>
  <c r="J61"/>
  <c r="K61"/>
  <c r="L61"/>
  <c r="M61"/>
  <c r="N61"/>
  <c r="C61"/>
  <c r="D51"/>
  <c r="E51"/>
  <c r="F51"/>
  <c r="G51"/>
  <c r="H51"/>
  <c r="I51"/>
  <c r="J51"/>
  <c r="K51"/>
  <c r="L51"/>
  <c r="M51"/>
  <c r="N51"/>
  <c r="C51"/>
  <c r="D41"/>
  <c r="E41"/>
  <c r="F41"/>
  <c r="G41"/>
  <c r="H41"/>
  <c r="I41"/>
  <c r="J41"/>
  <c r="K41"/>
  <c r="L41"/>
  <c r="M41"/>
  <c r="N41"/>
  <c r="C41"/>
  <c r="D31"/>
  <c r="E31"/>
  <c r="F31"/>
  <c r="G31"/>
  <c r="H31"/>
  <c r="I31"/>
  <c r="J31"/>
  <c r="K31"/>
  <c r="L31"/>
  <c r="M31"/>
  <c r="N31"/>
  <c r="C31"/>
  <c r="D22"/>
  <c r="E22"/>
  <c r="F22"/>
  <c r="G22"/>
  <c r="H22"/>
  <c r="I22"/>
  <c r="J22"/>
  <c r="K22"/>
  <c r="C22"/>
  <c r="D12"/>
  <c r="E12"/>
  <c r="F12"/>
  <c r="G12"/>
  <c r="H12"/>
  <c r="I12"/>
  <c r="J12"/>
  <c r="K12"/>
  <c r="L12"/>
  <c r="M12"/>
  <c r="N12"/>
  <c r="C12"/>
  <c r="K16" i="110"/>
  <c r="L16"/>
  <c r="M16"/>
  <c r="N16"/>
  <c r="J16"/>
  <c r="B27" i="102" l="1"/>
  <c r="B28" s="1"/>
  <c r="B29" s="1"/>
  <c r="B30" s="1"/>
  <c r="B31" s="1"/>
  <c r="B32" s="1"/>
  <c r="B33" s="1"/>
  <c r="B34" s="1"/>
  <c r="B35" s="1"/>
  <c r="B36" s="1"/>
  <c r="H34" i="67"/>
  <c r="H36" s="1"/>
  <c r="I15" i="110"/>
  <c r="I13"/>
  <c r="F17"/>
  <c r="F18"/>
  <c r="I38" i="81"/>
  <c r="N20" i="71"/>
  <c r="M20"/>
  <c r="L20"/>
  <c r="N18"/>
  <c r="M18"/>
  <c r="L18"/>
  <c r="H18" i="110"/>
  <c r="G18"/>
  <c r="H17"/>
  <c r="G17"/>
  <c r="F19" i="104"/>
  <c r="O69" i="71"/>
  <c r="O67"/>
  <c r="O59"/>
  <c r="O57"/>
  <c r="O49"/>
  <c r="O47"/>
  <c r="O39"/>
  <c r="O37"/>
  <c r="O29"/>
  <c r="O27"/>
  <c r="O10"/>
  <c r="O8"/>
  <c r="B41" i="81"/>
  <c r="B42" s="1"/>
  <c r="G38"/>
  <c r="B37"/>
  <c r="B38" s="1"/>
  <c r="N34"/>
  <c r="M34"/>
  <c r="L34"/>
  <c r="K34"/>
  <c r="J34"/>
  <c r="B33"/>
  <c r="B34" s="1"/>
  <c r="N30"/>
  <c r="N23" s="1"/>
  <c r="M30"/>
  <c r="M23" s="1"/>
  <c r="L30"/>
  <c r="L23" s="1"/>
  <c r="K30"/>
  <c r="K23" s="1"/>
  <c r="J30"/>
  <c r="J23" s="1"/>
  <c r="G29"/>
  <c r="B27"/>
  <c r="B28" s="1"/>
  <c r="B29" s="1"/>
  <c r="B30" s="1"/>
  <c r="F23"/>
  <c r="B23"/>
  <c r="B24" s="1"/>
  <c r="B19"/>
  <c r="B20" s="1"/>
  <c r="B15"/>
  <c r="B16" s="1"/>
  <c r="O12" i="71" l="1"/>
  <c r="O41"/>
  <c r="O61"/>
  <c r="O71"/>
  <c r="L22"/>
  <c r="M22"/>
  <c r="O51"/>
  <c r="O31"/>
  <c r="N22"/>
  <c r="E23" i="81"/>
  <c r="G23"/>
  <c r="E12" i="104"/>
  <c r="E11"/>
  <c r="H23" i="81"/>
  <c r="G11" i="104" s="1"/>
  <c r="E10"/>
  <c r="O20" i="71"/>
  <c r="O18"/>
  <c r="O22" l="1"/>
  <c r="F12" i="104"/>
  <c r="F11"/>
  <c r="F10"/>
  <c r="G12"/>
  <c r="G10"/>
  <c r="N18" i="110" l="1"/>
  <c r="M12" i="104" s="1"/>
  <c r="M18" i="110"/>
  <c r="L12" i="104" s="1"/>
  <c r="L18" i="110"/>
  <c r="K12" i="104" s="1"/>
  <c r="K18" i="110"/>
  <c r="J12" i="104" s="1"/>
  <c r="J18" i="110"/>
  <c r="I12" i="104" s="1"/>
  <c r="I18" i="110"/>
  <c r="H12" i="104" s="1"/>
  <c r="N17" i="110"/>
  <c r="M17"/>
  <c r="L17"/>
  <c r="K17"/>
  <c r="J17"/>
  <c r="I17"/>
  <c r="E16"/>
  <c r="E18"/>
  <c r="I13" i="58"/>
  <c r="I10" i="104" l="1"/>
  <c r="I11"/>
  <c r="M10"/>
  <c r="M11"/>
  <c r="K11"/>
  <c r="K10"/>
  <c r="J10"/>
  <c r="J11"/>
  <c r="L10"/>
  <c r="L11"/>
  <c r="H10"/>
  <c r="H11"/>
  <c r="E17" i="110"/>
  <c r="D10" i="104" s="1"/>
  <c r="D12"/>
  <c r="G11" i="105"/>
  <c r="J19" i="103"/>
  <c r="K19" s="1"/>
  <c r="L19" s="1"/>
  <c r="M19" s="1"/>
  <c r="D11" i="104" l="1"/>
  <c r="J12" i="102" l="1"/>
  <c r="J22" s="1"/>
  <c r="F12"/>
  <c r="F22" s="1"/>
  <c r="H14" i="66" l="1"/>
  <c r="E14"/>
  <c r="H14" i="103"/>
  <c r="J37" i="102" l="1"/>
  <c r="L38"/>
  <c r="G38"/>
  <c r="H38"/>
  <c r="M38" i="68"/>
  <c r="M40" s="1"/>
  <c r="I38"/>
  <c r="I40" s="1"/>
  <c r="J38"/>
  <c r="J40" s="1"/>
  <c r="K38"/>
  <c r="K40" s="1"/>
  <c r="L38"/>
  <c r="L40" s="1"/>
  <c r="E38"/>
  <c r="E40" s="1"/>
  <c r="F38"/>
  <c r="F40" s="1"/>
  <c r="G38"/>
  <c r="G40" s="1"/>
  <c r="D38"/>
  <c r="D40" s="1"/>
  <c r="H38" l="1"/>
  <c r="H40" s="1"/>
  <c r="N19" i="110" l="1"/>
  <c r="M17" i="104" s="1"/>
  <c r="M19" i="110"/>
  <c r="L17" i="104" s="1"/>
  <c r="L19" i="110"/>
  <c r="K17" i="104" s="1"/>
  <c r="K19" i="110"/>
  <c r="J17" i="104" s="1"/>
  <c r="J19" i="110"/>
  <c r="I17" i="104" s="1"/>
  <c r="I19" i="110"/>
  <c r="H19"/>
  <c r="I19" i="58" l="1"/>
  <c r="G17" i="104"/>
  <c r="J19" i="58"/>
  <c r="H17" i="104"/>
  <c r="G19" i="110"/>
  <c r="H19" i="58" l="1"/>
  <c r="F17" i="104"/>
  <c r="L21" i="102"/>
  <c r="J21"/>
  <c r="D11" i="103" s="1"/>
  <c r="E11" s="1"/>
  <c r="F11" s="1"/>
  <c r="G21" i="102"/>
  <c r="H21"/>
  <c r="F21"/>
  <c r="N12"/>
  <c r="I12"/>
  <c r="K12" s="1"/>
  <c r="N11"/>
  <c r="I11"/>
  <c r="K11" s="1"/>
  <c r="N10"/>
  <c r="I10"/>
  <c r="K10" s="1"/>
  <c r="N9"/>
  <c r="I9"/>
  <c r="N16"/>
  <c r="I16"/>
  <c r="N15"/>
  <c r="I15"/>
  <c r="N14"/>
  <c r="I14"/>
  <c r="N13"/>
  <c r="I13"/>
  <c r="K9" l="1"/>
  <c r="M9" s="1"/>
  <c r="F30"/>
  <c r="K13"/>
  <c r="M13" s="1"/>
  <c r="J30" s="1"/>
  <c r="F31"/>
  <c r="K14"/>
  <c r="M14" s="1"/>
  <c r="J31" s="1"/>
  <c r="F32"/>
  <c r="K15"/>
  <c r="M15" s="1"/>
  <c r="F33"/>
  <c r="K16"/>
  <c r="D10" i="105"/>
  <c r="E10" s="1"/>
  <c r="F10" s="1"/>
  <c r="D10" i="103"/>
  <c r="E10" s="1"/>
  <c r="F10" s="1"/>
  <c r="F26" i="102"/>
  <c r="M11"/>
  <c r="F28"/>
  <c r="M10"/>
  <c r="J27" s="1"/>
  <c r="F27"/>
  <c r="M12"/>
  <c r="J29" s="1"/>
  <c r="F29"/>
  <c r="M16"/>
  <c r="O13"/>
  <c r="J26" l="1"/>
  <c r="N26" s="1"/>
  <c r="O12"/>
  <c r="O14"/>
  <c r="O10"/>
  <c r="O11"/>
  <c r="J28"/>
  <c r="N28" s="1"/>
  <c r="O16"/>
  <c r="J33"/>
  <c r="N33" s="1"/>
  <c r="O15"/>
  <c r="J32"/>
  <c r="N32" s="1"/>
  <c r="O9"/>
  <c r="N30"/>
  <c r="I30"/>
  <c r="I27"/>
  <c r="F44" s="1"/>
  <c r="N27"/>
  <c r="I32"/>
  <c r="I26"/>
  <c r="K26" s="1"/>
  <c r="I28"/>
  <c r="K28" s="1"/>
  <c r="I33"/>
  <c r="K33" s="1"/>
  <c r="N29"/>
  <c r="I29"/>
  <c r="K29" s="1"/>
  <c r="M29" s="1"/>
  <c r="J46" s="1"/>
  <c r="I31"/>
  <c r="N31"/>
  <c r="E19" i="110"/>
  <c r="F19"/>
  <c r="G19" i="58" s="1"/>
  <c r="Q19" i="91"/>
  <c r="Q15"/>
  <c r="Q14"/>
  <c r="K31" i="102" l="1"/>
  <c r="M31" s="1"/>
  <c r="J48" s="1"/>
  <c r="F49"/>
  <c r="I49" s="1"/>
  <c r="K32"/>
  <c r="F47"/>
  <c r="K30"/>
  <c r="M30" s="1"/>
  <c r="D17" i="104"/>
  <c r="E17"/>
  <c r="M28" i="102"/>
  <c r="M33"/>
  <c r="J50" s="1"/>
  <c r="M26"/>
  <c r="O26" s="1"/>
  <c r="M32"/>
  <c r="K27"/>
  <c r="O29"/>
  <c r="F46"/>
  <c r="F50"/>
  <c r="I47"/>
  <c r="F64" s="1"/>
  <c r="F48"/>
  <c r="F45"/>
  <c r="F43"/>
  <c r="I44"/>
  <c r="F61" s="1"/>
  <c r="E34" i="67"/>
  <c r="F34"/>
  <c r="G34"/>
  <c r="D34"/>
  <c r="O31" i="102" l="1"/>
  <c r="O33"/>
  <c r="O30"/>
  <c r="J47"/>
  <c r="N47" s="1"/>
  <c r="O32"/>
  <c r="J49"/>
  <c r="N49" s="1"/>
  <c r="J43"/>
  <c r="N43" s="1"/>
  <c r="O28"/>
  <c r="J45"/>
  <c r="N45" s="1"/>
  <c r="M27"/>
  <c r="K44"/>
  <c r="F66"/>
  <c r="I43"/>
  <c r="F60" s="1"/>
  <c r="I48"/>
  <c r="K48" s="1"/>
  <c r="M48" s="1"/>
  <c r="J65" s="1"/>
  <c r="N48"/>
  <c r="N46"/>
  <c r="I46"/>
  <c r="I64"/>
  <c r="F81" s="1"/>
  <c r="I61"/>
  <c r="K61" s="1"/>
  <c r="I45"/>
  <c r="F62" s="1"/>
  <c r="I50"/>
  <c r="K50" s="1"/>
  <c r="M50" s="1"/>
  <c r="J67" s="1"/>
  <c r="N50"/>
  <c r="K49"/>
  <c r="K47"/>
  <c r="M47" s="1"/>
  <c r="G20" i="58"/>
  <c r="F20" s="1"/>
  <c r="H20"/>
  <c r="J20"/>
  <c r="I20" s="1"/>
  <c r="K20"/>
  <c r="L20"/>
  <c r="M20"/>
  <c r="N20"/>
  <c r="O20"/>
  <c r="M49" i="102" l="1"/>
  <c r="O49" s="1"/>
  <c r="O47"/>
  <c r="J64"/>
  <c r="N64" s="1"/>
  <c r="O27"/>
  <c r="J44"/>
  <c r="F63"/>
  <c r="I63" s="1"/>
  <c r="K64"/>
  <c r="M64" s="1"/>
  <c r="K43"/>
  <c r="M43" s="1"/>
  <c r="I66"/>
  <c r="K66" s="1"/>
  <c r="I62"/>
  <c r="F79" s="1"/>
  <c r="F67"/>
  <c r="O50"/>
  <c r="F65"/>
  <c r="O48"/>
  <c r="I60"/>
  <c r="F77" s="1"/>
  <c r="F78"/>
  <c r="I81"/>
  <c r="F98" s="1"/>
  <c r="K45"/>
  <c r="M45" s="1"/>
  <c r="J66" l="1"/>
  <c r="N66" s="1"/>
  <c r="O45"/>
  <c r="J62"/>
  <c r="N62" s="1"/>
  <c r="O43"/>
  <c r="J60"/>
  <c r="O64"/>
  <c r="J81"/>
  <c r="N81" s="1"/>
  <c r="N44"/>
  <c r="M44"/>
  <c r="M46"/>
  <c r="J63" s="1"/>
  <c r="N63" s="1"/>
  <c r="I98"/>
  <c r="F115" s="1"/>
  <c r="I79"/>
  <c r="F96" s="1"/>
  <c r="N67"/>
  <c r="I67"/>
  <c r="F84" s="1"/>
  <c r="K81"/>
  <c r="F83"/>
  <c r="I78"/>
  <c r="F95" s="1"/>
  <c r="I77"/>
  <c r="F94" s="1"/>
  <c r="N65"/>
  <c r="I65"/>
  <c r="F80"/>
  <c r="K62"/>
  <c r="M62" s="1"/>
  <c r="K60"/>
  <c r="M60" s="1"/>
  <c r="M81" l="1"/>
  <c r="J98" s="1"/>
  <c r="N98" s="1"/>
  <c r="M66"/>
  <c r="K79"/>
  <c r="O60"/>
  <c r="J77"/>
  <c r="O62"/>
  <c r="J79"/>
  <c r="N79" s="1"/>
  <c r="F82"/>
  <c r="O44"/>
  <c r="J61"/>
  <c r="N60"/>
  <c r="M63"/>
  <c r="J80" s="1"/>
  <c r="N80" s="1"/>
  <c r="O46"/>
  <c r="K67"/>
  <c r="M67" s="1"/>
  <c r="K65"/>
  <c r="K77"/>
  <c r="I115"/>
  <c r="K115" s="1"/>
  <c r="I80"/>
  <c r="I95"/>
  <c r="I83"/>
  <c r="F100" s="1"/>
  <c r="K78"/>
  <c r="K98"/>
  <c r="I82"/>
  <c r="K82" s="1"/>
  <c r="I94"/>
  <c r="I84"/>
  <c r="K84" s="1"/>
  <c r="I96"/>
  <c r="F113" s="1"/>
  <c r="Q22" i="91"/>
  <c r="Q23"/>
  <c r="Q21"/>
  <c r="F25"/>
  <c r="G25"/>
  <c r="H25"/>
  <c r="I25"/>
  <c r="J25"/>
  <c r="K25"/>
  <c r="L25"/>
  <c r="M25"/>
  <c r="N25"/>
  <c r="O25"/>
  <c r="P25"/>
  <c r="E25"/>
  <c r="O81" i="102" l="1"/>
  <c r="M79"/>
  <c r="O79" s="1"/>
  <c r="M98"/>
  <c r="J115" s="1"/>
  <c r="N115" s="1"/>
  <c r="J83"/>
  <c r="N83" s="1"/>
  <c r="O66"/>
  <c r="M77"/>
  <c r="F111"/>
  <c r="O77"/>
  <c r="J94"/>
  <c r="M65"/>
  <c r="O67"/>
  <c r="J84"/>
  <c r="N61"/>
  <c r="M61"/>
  <c r="J96"/>
  <c r="N96" s="1"/>
  <c r="N77"/>
  <c r="F97"/>
  <c r="I97" s="1"/>
  <c r="O63"/>
  <c r="I100"/>
  <c r="F117" s="1"/>
  <c r="F112"/>
  <c r="K96"/>
  <c r="M96" s="1"/>
  <c r="I113"/>
  <c r="K113" s="1"/>
  <c r="F101"/>
  <c r="I111"/>
  <c r="F99"/>
  <c r="K94"/>
  <c r="K83"/>
  <c r="K95"/>
  <c r="Q25" i="91"/>
  <c r="Q30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O98" i="102" l="1"/>
  <c r="M83"/>
  <c r="O83" s="1"/>
  <c r="M115"/>
  <c r="O115" s="1"/>
  <c r="J100"/>
  <c r="N100" s="1"/>
  <c r="M94"/>
  <c r="J111" s="1"/>
  <c r="K111"/>
  <c r="O96"/>
  <c r="J113"/>
  <c r="J78"/>
  <c r="O61"/>
  <c r="N84"/>
  <c r="M84"/>
  <c r="O65"/>
  <c r="J82"/>
  <c r="N94"/>
  <c r="O94"/>
  <c r="M80"/>
  <c r="J97" s="1"/>
  <c r="Q32" i="115"/>
  <c r="Q34" s="1"/>
  <c r="I32"/>
  <c r="M32"/>
  <c r="M34" s="1"/>
  <c r="U32"/>
  <c r="U34" s="1"/>
  <c r="I34"/>
  <c r="I117" i="102"/>
  <c r="I99"/>
  <c r="F114"/>
  <c r="K100"/>
  <c r="I101"/>
  <c r="I112"/>
  <c r="O32" i="115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M100" i="102" l="1"/>
  <c r="J117" s="1"/>
  <c r="N117" s="1"/>
  <c r="K99"/>
  <c r="N97"/>
  <c r="M97"/>
  <c r="N82"/>
  <c r="M82"/>
  <c r="J101"/>
  <c r="N101" s="1"/>
  <c r="O84"/>
  <c r="N78"/>
  <c r="M78"/>
  <c r="N113"/>
  <c r="M113"/>
  <c r="O113" s="1"/>
  <c r="M111"/>
  <c r="O111" s="1"/>
  <c r="N111"/>
  <c r="O80"/>
  <c r="I114"/>
  <c r="K117"/>
  <c r="K112"/>
  <c r="F118"/>
  <c r="F116"/>
  <c r="K101"/>
  <c r="G12" i="105"/>
  <c r="D12"/>
  <c r="O100" i="102" l="1"/>
  <c r="M117"/>
  <c r="O117" s="1"/>
  <c r="M101"/>
  <c r="J118" s="1"/>
  <c r="O78"/>
  <c r="J95"/>
  <c r="J99"/>
  <c r="N99" s="1"/>
  <c r="O82"/>
  <c r="J114"/>
  <c r="N114" s="1"/>
  <c r="O97"/>
  <c r="M99"/>
  <c r="I116"/>
  <c r="I118"/>
  <c r="K118" s="1"/>
  <c r="M118" s="1"/>
  <c r="N118"/>
  <c r="O101" l="1"/>
  <c r="M114"/>
  <c r="K116"/>
  <c r="J116"/>
  <c r="N116" s="1"/>
  <c r="O99"/>
  <c r="N95"/>
  <c r="M95"/>
  <c r="O114"/>
  <c r="O118"/>
  <c r="D18" i="69"/>
  <c r="D21" s="1"/>
  <c r="G15" i="103"/>
  <c r="D14" i="105"/>
  <c r="G10" s="1"/>
  <c r="D12" i="103"/>
  <c r="N17" i="102"/>
  <c r="I17"/>
  <c r="E31" i="107"/>
  <c r="E21"/>
  <c r="E14"/>
  <c r="E16" s="1"/>
  <c r="N18" i="72"/>
  <c r="J18"/>
  <c r="G18"/>
  <c r="C18"/>
  <c r="E30" i="91"/>
  <c r="E16"/>
  <c r="E17" s="1"/>
  <c r="O95" i="102" l="1"/>
  <c r="J112"/>
  <c r="M116"/>
  <c r="O116" s="1"/>
  <c r="F34"/>
  <c r="K17"/>
  <c r="E32" i="107"/>
  <c r="E34" s="1"/>
  <c r="N112" i="102" l="1"/>
  <c r="M112"/>
  <c r="O112" s="1"/>
  <c r="M17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I11"/>
  <c r="G36" i="67"/>
  <c r="F11" i="66" s="1"/>
  <c r="G11" s="1"/>
  <c r="N12"/>
  <c r="L12"/>
  <c r="K12"/>
  <c r="J12"/>
  <c r="I12"/>
  <c r="F12"/>
  <c r="G12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4" i="103"/>
  <c r="E11" i="93"/>
  <c r="M11"/>
  <c r="L11"/>
  <c r="J11"/>
  <c r="H11"/>
  <c r="J46" i="103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F12"/>
  <c r="E12"/>
  <c r="D18" i="105"/>
  <c r="M18"/>
  <c r="L18"/>
  <c r="K18"/>
  <c r="J18"/>
  <c r="I18"/>
  <c r="H18"/>
  <c r="G18"/>
  <c r="F18"/>
  <c r="E18"/>
  <c r="G14"/>
  <c r="L123" i="102"/>
  <c r="H123"/>
  <c r="L106"/>
  <c r="H106"/>
  <c r="L89"/>
  <c r="H89"/>
  <c r="L72"/>
  <c r="H72"/>
  <c r="L55"/>
  <c r="H55"/>
  <c r="I20"/>
  <c r="N19"/>
  <c r="I19"/>
  <c r="N18"/>
  <c r="N22" s="1"/>
  <c r="I18"/>
  <c r="I22" l="1"/>
  <c r="J34"/>
  <c r="F35"/>
  <c r="K18"/>
  <c r="F36"/>
  <c r="K19"/>
  <c r="K20"/>
  <c r="F37"/>
  <c r="K37" s="1"/>
  <c r="N21"/>
  <c r="O17"/>
  <c r="I21"/>
  <c r="L14" i="66"/>
  <c r="M11" i="58" s="1"/>
  <c r="K13" i="104" s="1"/>
  <c r="I14" i="66"/>
  <c r="G9" i="109"/>
  <c r="J12" i="93"/>
  <c r="D9" i="109"/>
  <c r="D18" s="1"/>
  <c r="E12" i="93"/>
  <c r="F12" s="1"/>
  <c r="E11" i="105"/>
  <c r="E12" s="1"/>
  <c r="F14" i="66"/>
  <c r="F9" i="109"/>
  <c r="J9"/>
  <c r="M12" i="93"/>
  <c r="G123" i="102" s="1"/>
  <c r="D20" i="105"/>
  <c r="D21" s="1"/>
  <c r="E9" i="109"/>
  <c r="E18" s="1"/>
  <c r="H12" i="93"/>
  <c r="H13" s="1"/>
  <c r="H11" i="105"/>
  <c r="H12" s="1"/>
  <c r="I9" i="109"/>
  <c r="L12" i="93"/>
  <c r="G106" i="102" s="1"/>
  <c r="M12" i="66"/>
  <c r="M14" s="1"/>
  <c r="G14"/>
  <c r="H9" i="109"/>
  <c r="F11" i="93"/>
  <c r="J14" i="66"/>
  <c r="N14"/>
  <c r="K14"/>
  <c r="I11" i="58"/>
  <c r="I36" i="102"/>
  <c r="F53" s="1"/>
  <c r="I53" s="1"/>
  <c r="F70" s="1"/>
  <c r="I70" s="1"/>
  <c r="F87" s="1"/>
  <c r="M19"/>
  <c r="G20" i="69"/>
  <c r="F11" i="58"/>
  <c r="F13"/>
  <c r="E20" i="105"/>
  <c r="F20"/>
  <c r="G20"/>
  <c r="N34" i="102"/>
  <c r="I34"/>
  <c r="O20"/>
  <c r="F38" l="1"/>
  <c r="H10" i="103" s="1"/>
  <c r="I35" i="102"/>
  <c r="I39" s="1"/>
  <c r="K34"/>
  <c r="K22"/>
  <c r="F39"/>
  <c r="K36"/>
  <c r="D13" i="104"/>
  <c r="D14"/>
  <c r="G13"/>
  <c r="G14"/>
  <c r="I17" i="109"/>
  <c r="I18"/>
  <c r="J17"/>
  <c r="J18"/>
  <c r="F17"/>
  <c r="F18"/>
  <c r="G17"/>
  <c r="G18"/>
  <c r="I38" i="102"/>
  <c r="F55" s="1"/>
  <c r="I14" i="104" s="1"/>
  <c r="H18" i="109"/>
  <c r="H17"/>
  <c r="O19" i="102"/>
  <c r="J36"/>
  <c r="N36" s="1"/>
  <c r="M18"/>
  <c r="K21"/>
  <c r="D15" i="103" s="1"/>
  <c r="F13" i="93"/>
  <c r="I13"/>
  <c r="J13" s="1"/>
  <c r="K13" s="1"/>
  <c r="I15" i="109"/>
  <c r="E17"/>
  <c r="H15"/>
  <c r="J15"/>
  <c r="F15"/>
  <c r="D17"/>
  <c r="G15"/>
  <c r="J11" i="58"/>
  <c r="H11"/>
  <c r="N11"/>
  <c r="L13" i="104" s="1"/>
  <c r="F19" i="103"/>
  <c r="F14"/>
  <c r="G11" i="58"/>
  <c r="E13" i="93"/>
  <c r="E14" i="105"/>
  <c r="F11"/>
  <c r="I87" i="102"/>
  <c r="F104" s="1"/>
  <c r="K53"/>
  <c r="G21" i="69"/>
  <c r="L11" i="58"/>
  <c r="J13" i="104" s="1"/>
  <c r="K11" i="58"/>
  <c r="F51" i="102"/>
  <c r="F52"/>
  <c r="O11" i="58"/>
  <c r="M13" i="104" s="1"/>
  <c r="G21" i="105"/>
  <c r="I15" i="58" s="1"/>
  <c r="F15"/>
  <c r="K70" i="102"/>
  <c r="I10" i="103" l="1"/>
  <c r="J10" s="1"/>
  <c r="K10" s="1"/>
  <c r="L10" s="1"/>
  <c r="M10" s="1"/>
  <c r="G10"/>
  <c r="I13" i="104"/>
  <c r="Q11" i="58"/>
  <c r="K35" i="102"/>
  <c r="K38" s="1"/>
  <c r="J35"/>
  <c r="M22"/>
  <c r="I55"/>
  <c r="F72" s="1"/>
  <c r="J14" i="104" s="1"/>
  <c r="K39" i="102"/>
  <c r="E21" i="105"/>
  <c r="E22" s="1"/>
  <c r="G15" i="58" s="1"/>
  <c r="H10" i="105"/>
  <c r="E13" i="104"/>
  <c r="E14"/>
  <c r="F13"/>
  <c r="F14"/>
  <c r="H13"/>
  <c r="H14"/>
  <c r="J38" i="102"/>
  <c r="H11" i="103" s="1"/>
  <c r="E15"/>
  <c r="D17"/>
  <c r="D16"/>
  <c r="D18" s="1"/>
  <c r="D20" s="1"/>
  <c r="M34" i="102"/>
  <c r="M36"/>
  <c r="O18"/>
  <c r="M21"/>
  <c r="F12" i="105"/>
  <c r="F14" s="1"/>
  <c r="F21" s="1"/>
  <c r="F22" s="1"/>
  <c r="H15" i="58" s="1"/>
  <c r="K87" i="102"/>
  <c r="I21" i="109"/>
  <c r="G21"/>
  <c r="H21"/>
  <c r="D21"/>
  <c r="J21"/>
  <c r="H20" i="69"/>
  <c r="H21" s="1"/>
  <c r="L13" i="93"/>
  <c r="E21" i="102"/>
  <c r="H12" i="58"/>
  <c r="I104" i="102"/>
  <c r="F121" s="1"/>
  <c r="I52"/>
  <c r="F69" s="1"/>
  <c r="I51"/>
  <c r="F54"/>
  <c r="F56" s="1"/>
  <c r="H12" i="103" l="1"/>
  <c r="G11"/>
  <c r="G12" s="1"/>
  <c r="G16" s="1"/>
  <c r="G18" s="1"/>
  <c r="G20" s="1"/>
  <c r="G17"/>
  <c r="M38" i="102"/>
  <c r="J55" s="1"/>
  <c r="N55" s="1"/>
  <c r="O21"/>
  <c r="O22"/>
  <c r="O36"/>
  <c r="J53"/>
  <c r="O34"/>
  <c r="J51"/>
  <c r="N35"/>
  <c r="J39"/>
  <c r="M35"/>
  <c r="I72"/>
  <c r="H20" i="105"/>
  <c r="H14"/>
  <c r="I10"/>
  <c r="F15" i="103"/>
  <c r="F16" s="1"/>
  <c r="F18" s="1"/>
  <c r="F20" s="1"/>
  <c r="F22" s="1"/>
  <c r="H13" i="58" s="1"/>
  <c r="G12"/>
  <c r="E17" i="103"/>
  <c r="E16"/>
  <c r="E18" s="1"/>
  <c r="E20" s="1"/>
  <c r="E22" s="1"/>
  <c r="G13" i="58" s="1"/>
  <c r="E38" i="102"/>
  <c r="M13" i="93"/>
  <c r="J12" i="58"/>
  <c r="H15" i="103" s="1"/>
  <c r="I11" s="1"/>
  <c r="I12" s="1"/>
  <c r="K52" i="102"/>
  <c r="F68"/>
  <c r="K51"/>
  <c r="I69"/>
  <c r="F86" s="1"/>
  <c r="N54"/>
  <c r="I54"/>
  <c r="I56" s="1"/>
  <c r="K104"/>
  <c r="I121"/>
  <c r="M55" l="1"/>
  <c r="F89"/>
  <c r="O35"/>
  <c r="O38" s="1"/>
  <c r="J52"/>
  <c r="M39"/>
  <c r="N39"/>
  <c r="N38"/>
  <c r="J56"/>
  <c r="N51"/>
  <c r="N53"/>
  <c r="M53"/>
  <c r="H21" i="105"/>
  <c r="H22" s="1"/>
  <c r="J15" i="58" s="1"/>
  <c r="I14" i="105"/>
  <c r="J10"/>
  <c r="I20"/>
  <c r="F17" i="103"/>
  <c r="I20" i="69"/>
  <c r="I21" s="1"/>
  <c r="H16" i="103"/>
  <c r="H18" s="1"/>
  <c r="H20" s="1"/>
  <c r="H22" s="1"/>
  <c r="J13" i="58" s="1"/>
  <c r="H17" i="103"/>
  <c r="K69" i="102"/>
  <c r="M51"/>
  <c r="J68" s="1"/>
  <c r="N68" s="1"/>
  <c r="I86"/>
  <c r="I68"/>
  <c r="K68" s="1"/>
  <c r="F71"/>
  <c r="F73" s="1"/>
  <c r="K121"/>
  <c r="K54"/>
  <c r="M22" i="106"/>
  <c r="O16" i="58" s="1"/>
  <c r="L22" i="106"/>
  <c r="N16" i="58" s="1"/>
  <c r="K22" i="106"/>
  <c r="M16" i="58" s="1"/>
  <c r="J22" i="106"/>
  <c r="L16" i="58" s="1"/>
  <c r="I22" i="106"/>
  <c r="K16" i="58" s="1"/>
  <c r="Q16" s="1"/>
  <c r="H22" i="106"/>
  <c r="J16" i="58" s="1"/>
  <c r="F22" i="106"/>
  <c r="H16" i="58" s="1"/>
  <c r="E22" i="106"/>
  <c r="G16" i="58" s="1"/>
  <c r="V31" i="107"/>
  <c r="U31"/>
  <c r="T31"/>
  <c r="S31"/>
  <c r="R31"/>
  <c r="Q31"/>
  <c r="P31"/>
  <c r="O31"/>
  <c r="N31"/>
  <c r="M31"/>
  <c r="L31"/>
  <c r="K31"/>
  <c r="J31"/>
  <c r="I31"/>
  <c r="H31"/>
  <c r="G31"/>
  <c r="F31"/>
  <c r="V21"/>
  <c r="U21"/>
  <c r="T21"/>
  <c r="S21"/>
  <c r="R21"/>
  <c r="Q21"/>
  <c r="P21"/>
  <c r="O21"/>
  <c r="N21"/>
  <c r="M21"/>
  <c r="L21"/>
  <c r="K2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O19" i="58"/>
  <c r="O21" s="1"/>
  <c r="N19"/>
  <c r="N21" s="1"/>
  <c r="M19"/>
  <c r="M21" s="1"/>
  <c r="L19"/>
  <c r="L21" s="1"/>
  <c r="K19"/>
  <c r="K21" s="1"/>
  <c r="J21"/>
  <c r="I21"/>
  <c r="H21"/>
  <c r="G21"/>
  <c r="F19"/>
  <c r="F21" s="1"/>
  <c r="M18" i="72"/>
  <c r="L18"/>
  <c r="K18"/>
  <c r="F18"/>
  <c r="E18"/>
  <c r="D18"/>
  <c r="Q16" i="9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P30"/>
  <c r="O30"/>
  <c r="N30"/>
  <c r="M30"/>
  <c r="L30"/>
  <c r="K30"/>
  <c r="J30"/>
  <c r="I30"/>
  <c r="H30"/>
  <c r="G30"/>
  <c r="F30"/>
  <c r="I89" i="102" l="1"/>
  <c r="F106" s="1"/>
  <c r="K14" i="104"/>
  <c r="J72" i="102"/>
  <c r="N72" s="1"/>
  <c r="O55"/>
  <c r="K32" i="107"/>
  <c r="O32"/>
  <c r="O34" s="1"/>
  <c r="S32"/>
  <c r="S34" s="1"/>
  <c r="O39" i="102"/>
  <c r="M54"/>
  <c r="K56"/>
  <c r="O53"/>
  <c r="J70"/>
  <c r="N52"/>
  <c r="N56" s="1"/>
  <c r="M52"/>
  <c r="M56" s="1"/>
  <c r="I21" i="105"/>
  <c r="I22" s="1"/>
  <c r="K15" i="58" s="1"/>
  <c r="F17" i="91"/>
  <c r="Q17" s="1"/>
  <c r="K10" i="105"/>
  <c r="J20"/>
  <c r="J14"/>
  <c r="G34" i="107"/>
  <c r="K34"/>
  <c r="T32"/>
  <c r="T34" s="1"/>
  <c r="J20" i="69"/>
  <c r="J21" s="1"/>
  <c r="H32" i="107"/>
  <c r="H34" s="1"/>
  <c r="L32"/>
  <c r="L34" s="1"/>
  <c r="P32"/>
  <c r="P34" s="1"/>
  <c r="O51" i="102"/>
  <c r="M68"/>
  <c r="J85" s="1"/>
  <c r="K86"/>
  <c r="F103"/>
  <c r="I71"/>
  <c r="F32" i="107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F85" i="102"/>
  <c r="L14" i="104" l="1"/>
  <c r="I106" i="102"/>
  <c r="F123" s="1"/>
  <c r="F88"/>
  <c r="F90" s="1"/>
  <c r="I73"/>
  <c r="O52"/>
  <c r="J69"/>
  <c r="N70"/>
  <c r="M70"/>
  <c r="O54"/>
  <c r="J71"/>
  <c r="N71" s="1"/>
  <c r="O68"/>
  <c r="O56"/>
  <c r="J21" i="105"/>
  <c r="J22" s="1"/>
  <c r="L15" i="58" s="1"/>
  <c r="L10" i="105"/>
  <c r="K20"/>
  <c r="E55" i="102"/>
  <c r="K12" i="58"/>
  <c r="K71" i="102"/>
  <c r="I85"/>
  <c r="N85"/>
  <c r="I103"/>
  <c r="F120" s="1"/>
  <c r="I88" l="1"/>
  <c r="F105" s="1"/>
  <c r="N105" s="1"/>
  <c r="I15" i="103"/>
  <c r="J11" s="1"/>
  <c r="J12" s="1"/>
  <c r="I123" i="102"/>
  <c r="M14" i="104"/>
  <c r="M71" i="102"/>
  <c r="J88" s="1"/>
  <c r="N88" s="1"/>
  <c r="K73"/>
  <c r="O70"/>
  <c r="J87"/>
  <c r="N69"/>
  <c r="N73" s="1"/>
  <c r="J73"/>
  <c r="M69"/>
  <c r="M73"/>
  <c r="M10" i="105"/>
  <c r="M20" s="1"/>
  <c r="L20"/>
  <c r="K103" i="102"/>
  <c r="I17" i="103"/>
  <c r="K20" i="69"/>
  <c r="K21" s="1"/>
  <c r="F102" i="102"/>
  <c r="I120"/>
  <c r="K120" s="1"/>
  <c r="K88"/>
  <c r="M88" s="1"/>
  <c r="O88" s="1"/>
  <c r="K85"/>
  <c r="B20" i="58"/>
  <c r="B21" s="1"/>
  <c r="F107" i="102" l="1"/>
  <c r="I90"/>
  <c r="I105"/>
  <c r="K105" s="1"/>
  <c r="M105" s="1"/>
  <c r="I16" i="103"/>
  <c r="I18" s="1"/>
  <c r="I20" s="1"/>
  <c r="I22" s="1"/>
  <c r="K13" i="58" s="1"/>
  <c r="K90" i="102"/>
  <c r="O71"/>
  <c r="O69"/>
  <c r="J86"/>
  <c r="N87"/>
  <c r="M87"/>
  <c r="L12" i="58"/>
  <c r="M72" i="102"/>
  <c r="E72"/>
  <c r="M85"/>
  <c r="F122"/>
  <c r="I102"/>
  <c r="J15" i="103" l="1"/>
  <c r="K11" s="1"/>
  <c r="K12" s="1"/>
  <c r="O73" i="102"/>
  <c r="O105"/>
  <c r="J122"/>
  <c r="N122" s="1"/>
  <c r="K102"/>
  <c r="K107" s="1"/>
  <c r="I107"/>
  <c r="J102"/>
  <c r="J89"/>
  <c r="N89" s="1"/>
  <c r="O72"/>
  <c r="O87"/>
  <c r="J104"/>
  <c r="N86"/>
  <c r="N90" s="1"/>
  <c r="M86"/>
  <c r="J90"/>
  <c r="K14" i="105"/>
  <c r="K21" s="1"/>
  <c r="K22" s="1"/>
  <c r="M15" i="58" s="1"/>
  <c r="L20" i="69"/>
  <c r="L21" s="1"/>
  <c r="E89" i="102"/>
  <c r="M12" i="58"/>
  <c r="F119" i="102"/>
  <c r="F124" s="1"/>
  <c r="I122"/>
  <c r="K122" s="1"/>
  <c r="O85"/>
  <c r="B51" i="107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J16" i="103" l="1"/>
  <c r="J18" s="1"/>
  <c r="J20" s="1"/>
  <c r="J22" s="1"/>
  <c r="L13" i="58" s="1"/>
  <c r="M89" i="102"/>
  <c r="M122"/>
  <c r="O122" s="1"/>
  <c r="J17" i="103"/>
  <c r="K15"/>
  <c r="L11" s="1"/>
  <c r="M102" i="102"/>
  <c r="J119" s="1"/>
  <c r="N119" s="1"/>
  <c r="J106"/>
  <c r="N106" s="1"/>
  <c r="O89"/>
  <c r="O86"/>
  <c r="O90" s="1"/>
  <c r="J103"/>
  <c r="M90"/>
  <c r="N104"/>
  <c r="M104"/>
  <c r="J107"/>
  <c r="N102"/>
  <c r="L14" i="105"/>
  <c r="L21" s="1"/>
  <c r="L22" s="1"/>
  <c r="N15" i="58" s="1"/>
  <c r="L12" i="103"/>
  <c r="K16"/>
  <c r="K18" s="1"/>
  <c r="K20" s="1"/>
  <c r="K22" s="1"/>
  <c r="M13" i="58" s="1"/>
  <c r="N12"/>
  <c r="E106" i="102"/>
  <c r="I119"/>
  <c r="I124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K17" l="1"/>
  <c r="L15"/>
  <c r="M11" s="1"/>
  <c r="M12" s="1"/>
  <c r="O102" i="102"/>
  <c r="M106"/>
  <c r="O106" s="1"/>
  <c r="O104"/>
  <c r="J121"/>
  <c r="N103"/>
  <c r="N107" s="1"/>
  <c r="M103"/>
  <c r="M14" i="105"/>
  <c r="M21" s="1"/>
  <c r="M22" s="1"/>
  <c r="O15" i="58" s="1"/>
  <c r="Q15" s="1"/>
  <c r="M20" i="69"/>
  <c r="M21" s="1"/>
  <c r="K119" i="102"/>
  <c r="K124" s="1"/>
  <c r="B21" i="105"/>
  <c r="B22" s="1"/>
  <c r="B12" i="58"/>
  <c r="B13" s="1"/>
  <c r="B14" s="1"/>
  <c r="B15" s="1"/>
  <c r="B16" s="1"/>
  <c r="B17" s="1"/>
  <c r="L16" i="103" l="1"/>
  <c r="L18" s="1"/>
  <c r="L20" s="1"/>
  <c r="L22" s="1"/>
  <c r="N13" i="58" s="1"/>
  <c r="L17" i="103"/>
  <c r="J123" i="102"/>
  <c r="M123" s="1"/>
  <c r="O103"/>
  <c r="O107" s="1"/>
  <c r="J120"/>
  <c r="M107"/>
  <c r="N121"/>
  <c r="M121"/>
  <c r="O121" s="1"/>
  <c r="M119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N120" i="102" l="1"/>
  <c r="M120"/>
  <c r="J124"/>
  <c r="E123"/>
  <c r="O12" i="58"/>
  <c r="O119" i="102"/>
  <c r="B9" i="57"/>
  <c r="B10" s="1"/>
  <c r="B11" s="1"/>
  <c r="B12" s="1"/>
  <c r="M15" i="103" l="1"/>
  <c r="M17" s="1"/>
  <c r="Q12" i="58"/>
  <c r="O120" i="102"/>
  <c r="O124" s="1"/>
  <c r="M124"/>
  <c r="N123"/>
  <c r="N124"/>
  <c r="O123"/>
  <c r="B13" i="57"/>
  <c r="B14" s="1"/>
  <c r="B15" s="1"/>
  <c r="B12" i="66"/>
  <c r="B13" s="1"/>
  <c r="B14" s="1"/>
  <c r="B28" i="67"/>
  <c r="B29" s="1"/>
  <c r="B30" s="1"/>
  <c r="B31" s="1"/>
  <c r="M16" i="103" l="1"/>
  <c r="M18" s="1"/>
  <c r="M20" s="1"/>
  <c r="M22" s="1"/>
  <c r="O13" i="58" s="1"/>
  <c r="Q13" s="1"/>
  <c r="B16" i="57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s="1"/>
  <c r="F14"/>
  <c r="F17" s="1"/>
  <c r="F22" l="1"/>
  <c r="D15" i="104" s="1"/>
  <c r="D18" s="1"/>
  <c r="F23" i="58"/>
  <c r="I22"/>
  <c r="G15" i="104" s="1"/>
  <c r="G18" s="1"/>
  <c r="I23" i="58"/>
  <c r="G14"/>
  <c r="H14"/>
  <c r="J14"/>
  <c r="K14"/>
  <c r="L14"/>
  <c r="M14"/>
  <c r="N14"/>
  <c r="O14"/>
  <c r="Q14"/>
  <c r="G17"/>
  <c r="H17"/>
  <c r="J17"/>
  <c r="K17"/>
  <c r="L17"/>
  <c r="M17"/>
  <c r="N17"/>
  <c r="O17"/>
  <c r="Q17"/>
  <c r="G22"/>
  <c r="H22"/>
  <c r="J22"/>
  <c r="K22"/>
  <c r="L22"/>
  <c r="M22"/>
  <c r="N22"/>
  <c r="O22"/>
  <c r="G23"/>
  <c r="H23"/>
  <c r="J23"/>
  <c r="K23"/>
  <c r="L23"/>
  <c r="M23"/>
  <c r="N23"/>
  <c r="O23"/>
  <c r="Q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<sst xmlns="http://schemas.openxmlformats.org/spreadsheetml/2006/main" count="1546" uniqueCount="556">
  <si>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</si>
  <si>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</si>
  <si>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</si>
  <si>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</si>
  <si>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</si>
  <si>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</si>
  <si>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</si>
  <si>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</si>
  <si>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</si>
  <si>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</si>
  <si>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</si>
  <si>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</si>
  <si>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</si>
  <si>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</si>
  <si>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</si>
  <si>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</si>
  <si>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</si>
  <si>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</si>
  <si>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</si>
  <si>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</si>
  <si>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</si>
  <si>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</si>
  <si>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</si>
  <si>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</si>
  <si>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</si>
  <si>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</si>
  <si>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</si>
  <si>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</si>
  <si>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</si>
  <si>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</si>
  <si>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</si>
  <si>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</si>
  <si>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</si>
  <si>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</si>
  <si>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</si>
  <si>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</si>
  <si>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</si>
  <si>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</si>
  <si>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</si>
  <si>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</si>
  <si>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</si>
  <si>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</si>
  <si>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</si>
  <si>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</si>
  <si>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</si>
  <si>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</si>
  <si>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</si>
  <si>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</si>
  <si>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</si>
  <si>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</si>
  <si>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</si>
  <si>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</si>
  <si>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</si>
  <si>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</si>
  <si>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</si>
  <si>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</si>
  <si>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</si>
  <si>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</si>
  <si>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</si>
  <si>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</si>
  <si>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</si>
  <si>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</si>
  <si>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</si>
  <si>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</si>
  <si>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</si>
  <si>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</si>
  <si>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</si>
  <si>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</si>
  <si>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</si>
  <si>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</si>
  <si>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</si>
  <si>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</si>
  <si>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</si>
  <si>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</si>
  <si>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</si>
  <si>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</si>
  <si>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</si>
  <si>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</si>
  <si>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</si>
  <si>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</si>
  <si>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</si>
  <si>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</si>
  <si>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</si>
  <si>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</si>
  <si>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</si>
  <si>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</si>
  <si>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</si>
  <si>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</si>
  <si>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</si>
  <si>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</si>
  <si>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</si>
  <si>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</si>
  <si>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</si>
  <si>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</si>
  <si>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</si>
  <si>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</si>
  <si>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</si>
  <si>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</si>
  <si>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</si>
  <si>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</si>
  <si>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</si>
  <si>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</si>
  <si>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</si>
  <si>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</si>
  <si>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</si>
  <si>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</si>
  <si>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</si>
  <si>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</si>
  <si>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</si>
  <si>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</si>
  <si>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</si>
  <si>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</si>
  <si>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</si>
  <si>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</si>
  <si>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</si>
  <si>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</si>
  <si>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</si>
  <si>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</si>
  <si>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</si>
  <si>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</si>
  <si>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</si>
  <si>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</si>
  <si>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</si>
  <si>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</si>
  <si>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</si>
  <si>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</si>
  <si>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</si>
  <si>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</si>
  <si>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</si>
  <si>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</si>
  <si>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</si>
  <si>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</si>
  <si>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</si>
  <si>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</si>
  <si>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</si>
  <si>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</si>
  <si>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</si>
  <si>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</si>
  <si>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</si>
  <si>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</si>
  <si>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</si>
  <si>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</si>
  <si>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</si>
  <si>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</si>
  <si>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</si>
  <si>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</si>
  <si>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</si>
  <si>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</si>
  <si>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</si>
  <si>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</si>
  <si>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</si>
  <si>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</si>
  <si>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</si>
  <si>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</si>
  <si>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</si>
  <si>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</si>
  <si>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</si>
  <si>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</si>
  <si>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</si>
  <si>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</si>
  <si>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</si>
  <si>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</si>
  <si>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</si>
  <si>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</si>
  <si>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</si>
  <si>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</si>
  <si>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</si>
  <si>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</si>
  <si>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</si>
  <si>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</si>
  <si>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</si>
  <si>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</si>
  <si>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</si>
  <si>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</si>
  <si>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</si>
  <si>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</si>
  <si>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</si>
  <si>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</si>
  <si>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</si>
  <si>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</si>
  <si>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</si>
  <si>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</si>
  <si>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</si>
  <si>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</si>
  <si>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</si>
  <si>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</si>
  <si>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</si>
  <si>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</si>
  <si>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</si>
  <si>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</si>
  <si>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</si>
  <si>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</si>
  <si>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</si>
  <si>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</si>
  <si>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</si>
  <si>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</si>
  <si>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</si>
  <si>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</si>
  <si>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</si>
  <si>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</si>
  <si>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</si>
  <si>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</si>
  <si>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</si>
  <si>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</si>
  <si>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</si>
  <si>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</si>
  <si>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</si>
  <si>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</si>
  <si>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</si>
  <si>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</si>
  <si>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</si>
  <si>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</si>
  <si>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</si>
  <si>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</si>
  <si>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</si>
  <si>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</si>
  <si>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</si>
  <si>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</si>
  <si>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</si>
  <si>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</si>
  <si>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</si>
  <si>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</si>
  <si>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</si>
  <si>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</si>
  <si>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</si>
  <si>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</si>
  <si>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</si>
  <si>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</si>
  <si>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</si>
  <si>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</si>
  <si>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</si>
  <si>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</si>
  <si>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</si>
  <si>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</si>
  <si>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</si>
  <si>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</si>
  <si>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</si>
  <si>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</si>
  <si>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</si>
  <si>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</si>
  <si>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</si>
  <si>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</si>
  <si>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</si>
  <si>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</si>
  <si>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</si>
  <si>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</si>
  <si>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</si>
  <si>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</si>
  <si>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</si>
  <si>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</si>
  <si>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</si>
  <si>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</si>
  <si>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</si>
  <si>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</si>
  <si>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</si>
  <si>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</si>
  <si>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</si>
  <si>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</si>
  <si>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</si>
  <si>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</si>
  <si>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</si>
  <si>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</si>
  <si>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</si>
  <si>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</si>
  <si>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</si>
  <si>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</si>
  <si>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</si>
  <si>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</si>
  <si>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</si>
  <si>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</si>
  <si>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</si>
  <si>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</si>
  <si>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</si>
  <si>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</si>
  <si>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</si>
  <si>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</si>
  <si>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</si>
  <si>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</si>
  <si>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Year (n+2)</t>
  </si>
  <si>
    <t>Year (n+3)</t>
  </si>
  <si>
    <t>Year (n+4)</t>
  </si>
  <si>
    <t>Year (n+5)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</si>
  <si>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</si>
  <si>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</si>
  <si>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</si>
  <si>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</si>
  <si>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</si>
  <si>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</si>
  <si>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</si>
  <si>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</si>
  <si>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</si>
  <si>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</si>
  <si>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</si>
  <si>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</si>
  <si>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</si>
  <si>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</si>
  <si>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</si>
  <si>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</si>
  <si>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</si>
  <si>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</si>
  <si>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</si>
  <si>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</si>
  <si>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</si>
  <si>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</si>
  <si>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</si>
  <si>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</si>
  <si>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</si>
  <si>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</si>
  <si>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</si>
  <si>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</si>
  <si>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</si>
  <si>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</si>
  <si>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</si>
  <si>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</si>
  <si>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</si>
  <si>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</si>
  <si>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</si>
  <si>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</si>
  <si>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</si>
  <si>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</si>
  <si>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</si>
  <si>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</si>
  <si>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</si>
  <si>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</si>
  <si>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</si>
  <si>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</si>
  <si>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</si>
  <si>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</si>
  <si>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</si>
  <si>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</si>
  <si>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</si>
  <si>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</si>
  <si>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</si>
  <si>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</si>
  <si>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</si>
  <si>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</si>
  <si>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</si>
  <si>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</si>
  <si>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</si>
  <si>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</si>
  <si>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</si>
  <si>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</si>
  <si>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</si>
  <si>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</si>
  <si>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</si>
  <si>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</si>
  <si>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</si>
  <si>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</si>
  <si>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</si>
  <si>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</si>
  <si>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</si>
  <si>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</si>
  <si>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</si>
  <si>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</si>
  <si>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</si>
  <si>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</si>
  <si>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</si>
  <si>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</si>
  <si>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</si>
  <si>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</si>
  <si>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</si>
  <si>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</si>
  <si>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</si>
  <si>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</si>
  <si>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</si>
  <si>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</si>
  <si>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</si>
  <si>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</si>
  <si>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</si>
  <si>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</si>
  <si>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</si>
  <si>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</si>
  <si>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</si>
  <si>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</si>
  <si>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</si>
  <si>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</si>
  <si>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</si>
  <si>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</si>
  <si>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</si>
  <si>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</si>
  <si>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</si>
  <si>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</si>
  <si>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</si>
  <si>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</si>
  <si>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</si>
  <si>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</si>
  <si>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</si>
  <si>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</si>
  <si>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</si>
  <si>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</si>
  <si>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</si>
  <si>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</si>
  <si>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</si>
  <si>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</si>
  <si>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</si>
  <si>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</si>
  <si>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</si>
  <si>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</si>
  <si>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</si>
  <si>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</si>
  <si>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</si>
  <si>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</si>
  <si>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</si>
  <si>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</si>
  <si>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</si>
  <si>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</si>
  <si>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</si>
  <si>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</si>
  <si>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</si>
  <si>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</si>
  <si>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</si>
  <si>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</si>
  <si>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</si>
  <si>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</si>
  <si>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</si>
  <si>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</si>
  <si>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</si>
  <si>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</si>
  <si>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</si>
  <si>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</si>
  <si>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</si>
  <si>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</si>
  <si>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</si>
  <si>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</si>
  <si>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</si>
  <si>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</si>
  <si>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</si>
  <si>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</si>
  <si>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</si>
  <si>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</si>
  <si>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</si>
  <si>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</si>
  <si>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</si>
  <si>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</si>
  <si>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</si>
  <si>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</si>
  <si>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</si>
  <si>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</si>
  <si>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</si>
  <si>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</si>
  <si>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</si>
  <si>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</si>
  <si>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</si>
  <si>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</si>
  <si>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</si>
  <si>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</si>
  <si>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</si>
  <si>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</si>
  <si>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</si>
  <si>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</si>
  <si>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</si>
  <si>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</si>
  <si>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</si>
  <si>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</si>
  <si>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</si>
  <si>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</si>
  <si>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</si>
  <si>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</si>
  <si>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</si>
  <si>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</si>
  <si>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</si>
  <si>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</si>
  <si>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</si>
  <si>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</si>
  <si>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</si>
  <si>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</si>
  <si>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</si>
  <si>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</si>
  <si>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</si>
  <si>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</si>
  <si>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</si>
  <si>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</si>
  <si>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</si>
  <si>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</si>
  <si>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</si>
  <si>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</si>
  <si>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</si>
  <si>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</si>
  <si>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</si>
  <si>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</si>
  <si>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</si>
  <si>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</si>
  <si>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</si>
  <si>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</si>
  <si>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</si>
  <si>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</si>
  <si>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</si>
  <si>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</si>
  <si>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</si>
  <si>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</si>
  <si>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</si>
  <si>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CWIP PLANT AND MACHINERY</t>
  </si>
  <si>
    <t>2023-24</t>
  </si>
  <si>
    <t>2024-25</t>
  </si>
  <si>
    <t>2025-26</t>
  </si>
  <si>
    <t>2026-27</t>
  </si>
  <si>
    <t>2027-28</t>
  </si>
  <si>
    <t>2028-29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</si>
  <si>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</si>
  <si>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</si>
  <si>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</si>
  <si>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</si>
  <si>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</si>
  <si>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</si>
  <si>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</si>
  <si>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</si>
  <si>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FY 2019-20</t>
  </si>
  <si>
    <t>FY 2020-21</t>
  </si>
  <si>
    <t>FY 2021-22</t>
  </si>
  <si>
    <t>BUILDINGS</t>
  </si>
  <si>
    <t>24.03.2016</t>
  </si>
  <si>
    <t>Non- Pit Head</t>
  </si>
  <si>
    <t>KL</t>
  </si>
  <si>
    <t>Rs./KL</t>
  </si>
  <si>
    <t>&lt;KTPP-II&gt;</t>
  </si>
  <si>
    <t>KTPP-II</t>
  </si>
  <si>
    <t>Year (n-1) (FY 2022-23)</t>
  </si>
  <si>
    <t>Current Year 'n' (FY 2023-24)</t>
  </si>
  <si>
    <t xml:space="preserve"> (FY 2022-23)</t>
  </si>
  <si>
    <t>Current Year 'n' ( FY 2023-24)</t>
  </si>
  <si>
    <t>Previous Year (n-1)  FY 2022-23</t>
  </si>
  <si>
    <t>PLANT &amp; MACHINERY</t>
  </si>
  <si>
    <t>CWIP OTHER CIVIL WORKS</t>
  </si>
  <si>
    <t>HYDRAULIC WORKS</t>
  </si>
  <si>
    <t>Decapitalisation</t>
  </si>
  <si>
    <t xml:space="preserve"> Actual</t>
  </si>
  <si>
    <t xml:space="preserve">  Estimated</t>
  </si>
  <si>
    <t>Lines &amp; Cable Network</t>
  </si>
  <si>
    <t>Cosl Cost/kwh</t>
  </si>
  <si>
    <t>Rs/kwh</t>
  </si>
  <si>
    <t>Oil Cost/kwh</t>
  </si>
  <si>
    <t>Receivables1</t>
  </si>
  <si>
    <t>Payables for Fuels2</t>
  </si>
  <si>
    <t>IT Initiatives</t>
  </si>
  <si>
    <t>&lt;TGGENCO&gt;</t>
  </si>
  <si>
    <t>TGGENCO</t>
  </si>
  <si>
    <t>Flexibilisation of 40%TML</t>
  </si>
  <si>
    <t>Form 2.3: Repair &amp; Maintenance Expenses</t>
  </si>
  <si>
    <t>Form 3:  Summary of Capital Expenditure and Capitalisation</t>
  </si>
  <si>
    <t xml:space="preserve">KTPP-II </t>
  </si>
  <si>
    <t>KTPS II</t>
  </si>
  <si>
    <t>Design,Supply,Construction,,Erection,testing and commissioning of 1 MLD capacity STP including civil works and E&amp;M works etc.,with MBBR system including network complete on EPC basis in KTPP Power house area.</t>
  </si>
  <si>
    <t>Raising of existing Ash pond bund including three wells from EL (+) 182.70 M to EL (+) 187.70 M.</t>
  </si>
  <si>
    <t>Loan 1-REC</t>
  </si>
  <si>
    <t>Loan 1-Andhra Bank (Now Union Bank of India)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</si>
  <si>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</si>
  <si>
    <t>Form 1: Summary Sheet</t>
  </si>
  <si>
    <t>Form 2.1 Employee Expenses</t>
  </si>
  <si>
    <t>Form 2.2 : Administration &amp; General Expenses</t>
  </si>
  <si>
    <t>Form 5: Interest and finance charges on loan</t>
  </si>
  <si>
    <t>Form 6: Interest on working capital</t>
  </si>
  <si>
    <t>Form 7: Return on Equity</t>
  </si>
  <si>
    <t>Form 8: Non-Tariff Income</t>
  </si>
  <si>
    <t>Form 10: Operational parameters</t>
  </si>
  <si>
    <t>Form 11.1 : Fuel Details for computation of Energy Charge Rate</t>
  </si>
  <si>
    <t>Form 12: Energy Charge Rate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</si>
</sst>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0000"/>
    <numFmt numFmtId="171" formatCode="0.000000"/>
    <numFmt numFmtId="172" formatCode="0.0000000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vertAlign val="superscript"/>
      <sz val="1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0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2" fillId="0" borderId="0" applyFont="0" applyFill="0" applyBorder="0" applyAlignment="0" applyProtection="0"/>
  </cellStyleXfs>
  <cellXfs count="380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6" borderId="4" xfId="14" applyFont="1" applyFill="1" applyBorder="1" applyAlignment="1">
      <alignment horizontal="center" vertical="center"/>
    </xf>
    <xf numFmtId="0" fontId="13" fillId="6" borderId="4" xfId="14" applyFont="1" applyFill="1" applyBorder="1">
      <alignment vertical="center"/>
    </xf>
    <xf numFmtId="0" fontId="8" fillId="6" borderId="4" xfId="14" applyFont="1" applyFill="1" applyBorder="1" applyAlignment="1">
      <alignment horizontal="left" vertical="center"/>
    </xf>
    <xf numFmtId="0" fontId="8" fillId="0" borderId="0" xfId="10" applyFont="1"/>
    <xf numFmtId="0" fontId="8" fillId="5" borderId="0" xfId="14" applyFont="1" applyFill="1">
      <alignment vertical="center"/>
    </xf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0" xfId="14" applyFont="1" applyAlignment="1">
      <alignment horizontal="center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21" fillId="0" borderId="0" xfId="10" applyFont="1" applyAlignment="1">
      <alignment horizontal="center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16" fillId="4" borderId="15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21" fillId="4" borderId="16" xfId="68" applyFont="1" applyFill="1" applyBorder="1" applyAlignment="1">
      <alignment horizontal="center" vertical="center"/>
    </xf>
    <xf numFmtId="10" fontId="16" fillId="4" borderId="16" xfId="68" applyNumberFormat="1" applyFont="1" applyFill="1" applyBorder="1" applyAlignment="1">
      <alignment horizontal="center" vertical="center"/>
    </xf>
    <xf numFmtId="2" fontId="16" fillId="4" borderId="16" xfId="68" applyNumberFormat="1" applyFont="1" applyFill="1" applyBorder="1" applyAlignment="1">
      <alignment horizontal="center" vertical="center"/>
    </xf>
    <xf numFmtId="2" fontId="16" fillId="0" borderId="16" xfId="68" applyNumberFormat="1" applyFont="1" applyBorder="1" applyAlignment="1">
      <alignment horizontal="center" vertical="center"/>
    </xf>
    <xf numFmtId="0" fontId="16" fillId="4" borderId="5" xfId="68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 wrapText="1"/>
    </xf>
    <xf numFmtId="0" fontId="21" fillId="4" borderId="4" xfId="68" applyFont="1" applyFill="1" applyBorder="1" applyAlignment="1">
      <alignment horizontal="center" vertical="center"/>
    </xf>
    <xf numFmtId="10" fontId="16" fillId="4" borderId="4" xfId="39" applyNumberFormat="1" applyFont="1" applyFill="1" applyBorder="1" applyAlignment="1">
      <alignment horizontal="center" vertical="center"/>
    </xf>
    <xf numFmtId="2" fontId="16" fillId="4" borderId="4" xfId="68" applyNumberFormat="1" applyFont="1" applyFill="1" applyBorder="1" applyAlignment="1">
      <alignment horizontal="center" vertical="center"/>
    </xf>
    <xf numFmtId="2" fontId="16" fillId="0" borderId="4" xfId="68" applyNumberFormat="1" applyFont="1" applyBorder="1" applyAlignment="1">
      <alignment horizontal="center" vertical="center"/>
    </xf>
    <xf numFmtId="2" fontId="16" fillId="4" borderId="4" xfId="19" applyNumberFormat="1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/>
    </xf>
    <xf numFmtId="10" fontId="23" fillId="0" borderId="4" xfId="39" applyNumberFormat="1" applyFont="1" applyFill="1" applyBorder="1" applyAlignment="1">
      <alignment horizontal="center" vertical="center"/>
    </xf>
    <xf numFmtId="0" fontId="16" fillId="4" borderId="12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21" fillId="0" borderId="6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5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16" fillId="4" borderId="0" xfId="10" applyFont="1" applyFill="1" applyAlignment="1">
      <alignment vertical="center" wrapText="1"/>
    </xf>
    <xf numFmtId="0" fontId="21" fillId="0" borderId="0" xfId="14" applyFont="1" applyAlignment="1">
      <alignment horizontal="left" vertical="center" wrapText="1"/>
    </xf>
    <xf numFmtId="0" fontId="24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6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4" xfId="0" applyNumberFormat="1" applyFont="1" applyFill="1" applyBorder="1" applyAlignment="1">
      <alignment vertical="center"/>
    </xf>
    <xf numFmtId="2" fontId="21" fillId="0" borderId="4" xfId="10" applyNumberFormat="1" applyFont="1" applyBorder="1" applyAlignment="1">
      <alignment horizontal="center" vertical="center" wrapText="1"/>
    </xf>
    <xf numFmtId="2" fontId="16" fillId="0" borderId="4" xfId="10" applyNumberFormat="1" applyFont="1" applyBorder="1" applyAlignment="1">
      <alignment horizontal="center" vertical="center" wrapText="1"/>
    </xf>
    <xf numFmtId="2" fontId="21" fillId="6" borderId="4" xfId="10" applyNumberFormat="1" applyFont="1" applyFill="1" applyBorder="1" applyAlignment="1">
      <alignment horizontal="center"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2" fontId="21" fillId="6" borderId="16" xfId="68" applyNumberFormat="1" applyFont="1" applyFill="1" applyBorder="1" applyAlignment="1">
      <alignment horizontal="center" vertical="center"/>
    </xf>
    <xf numFmtId="2" fontId="16" fillId="4" borderId="22" xfId="68" applyNumberFormat="1" applyFont="1" applyFill="1" applyBorder="1" applyAlignment="1">
      <alignment horizontal="center" vertical="center"/>
    </xf>
    <xf numFmtId="2" fontId="21" fillId="6" borderId="7" xfId="19" applyNumberFormat="1" applyFont="1" applyFill="1" applyBorder="1" applyAlignment="1">
      <alignment horizontal="center" vertical="center"/>
    </xf>
    <xf numFmtId="2" fontId="16" fillId="4" borderId="18" xfId="68" applyNumberFormat="1" applyFont="1" applyFill="1" applyBorder="1" applyAlignment="1">
      <alignment horizontal="center" vertical="center"/>
    </xf>
    <xf numFmtId="2" fontId="21" fillId="6" borderId="21" xfId="68" applyNumberFormat="1" applyFont="1" applyFill="1" applyBorder="1" applyAlignment="1">
      <alignment horizontal="center" vertical="center"/>
    </xf>
    <xf numFmtId="2" fontId="21" fillId="6" borderId="7" xfId="68" applyNumberFormat="1" applyFont="1" applyFill="1" applyBorder="1" applyAlignment="1">
      <alignment horizontal="center" vertical="center"/>
    </xf>
    <xf numFmtId="2" fontId="21" fillId="6" borderId="4" xfId="68" applyNumberFormat="1" applyFont="1" applyFill="1" applyBorder="1" applyAlignment="1">
      <alignment horizontal="center" vertical="center"/>
    </xf>
    <xf numFmtId="2" fontId="16" fillId="4" borderId="6" xfId="68" applyNumberFormat="1" applyFont="1" applyFill="1" applyBorder="1" applyAlignment="1">
      <alignment horizontal="center" vertical="center"/>
    </xf>
    <xf numFmtId="2" fontId="21" fillId="6" borderId="4" xfId="19" applyNumberFormat="1" applyFont="1" applyFill="1" applyBorder="1" applyAlignment="1">
      <alignment horizontal="center" vertical="center"/>
    </xf>
    <xf numFmtId="2" fontId="16" fillId="4" borderId="3" xfId="68" applyNumberFormat="1" applyFont="1" applyFill="1" applyBorder="1" applyAlignment="1">
      <alignment horizontal="center" vertical="center"/>
    </xf>
    <xf numFmtId="2" fontId="21" fillId="6" borderId="6" xfId="68" applyNumberFormat="1" applyFont="1" applyFill="1" applyBorder="1" applyAlignment="1">
      <alignment horizontal="center" vertical="center"/>
    </xf>
    <xf numFmtId="10" fontId="21" fillId="6" borderId="13" xfId="68" applyNumberFormat="1" applyFont="1" applyFill="1" applyBorder="1" applyAlignment="1">
      <alignment horizontal="center" vertical="center"/>
    </xf>
    <xf numFmtId="2" fontId="21" fillId="6" borderId="13" xfId="19" applyNumberFormat="1" applyFont="1" applyFill="1" applyBorder="1" applyAlignment="1">
      <alignment horizontal="center" vertical="center"/>
    </xf>
    <xf numFmtId="2" fontId="21" fillId="6" borderId="23" xfId="19" applyNumberFormat="1" applyFont="1" applyFill="1" applyBorder="1" applyAlignment="1">
      <alignment horizontal="center" vertical="center"/>
    </xf>
    <xf numFmtId="2" fontId="21" fillId="6" borderId="20" xfId="19" applyNumberFormat="1" applyFont="1" applyFill="1" applyBorder="1" applyAlignment="1">
      <alignment horizontal="center"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0" applyNumberFormat="1" applyFont="1" applyFill="1" applyBorder="1" applyAlignment="1">
      <alignment horizontal="center" vertical="center" wrapText="1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0" fontId="16" fillId="0" borderId="4" xfId="10" applyFont="1" applyBorder="1" applyAlignment="1">
      <alignment horizontal="right" vertical="center" wrapText="1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6" borderId="4" xfId="10" applyNumberFormat="1" applyFont="1" applyFill="1" applyBorder="1" applyAlignment="1">
      <alignment horizontal="center" vertical="center"/>
    </xf>
    <xf numFmtId="2" fontId="16" fillId="6" borderId="4" xfId="10" applyNumberFormat="1" applyFont="1" applyFill="1" applyBorder="1" applyAlignment="1">
      <alignment horizontal="center" vertical="center" wrapText="1"/>
    </xf>
    <xf numFmtId="0" fontId="16" fillId="0" borderId="4" xfId="0" applyFont="1" applyBorder="1"/>
    <xf numFmtId="0" fontId="25" fillId="0" borderId="4" xfId="0" applyFont="1" applyBorder="1"/>
    <xf numFmtId="2" fontId="16" fillId="0" borderId="4" xfId="10" applyNumberFormat="1" applyFont="1" applyBorder="1" applyAlignment="1">
      <alignment vertical="top" wrapText="1"/>
    </xf>
    <xf numFmtId="2" fontId="27" fillId="0" borderId="4" xfId="10" applyNumberFormat="1" applyFont="1" applyBorder="1" applyAlignment="1">
      <alignment horizontal="center" vertical="center"/>
    </xf>
    <xf numFmtId="168" fontId="27" fillId="0" borderId="4" xfId="10" applyNumberFormat="1" applyFont="1" applyBorder="1" applyAlignment="1">
      <alignment horizontal="right" vertical="center"/>
    </xf>
    <xf numFmtId="2" fontId="27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horizontal="right" vertical="center"/>
    </xf>
    <xf numFmtId="2" fontId="16" fillId="7" borderId="4" xfId="68" applyNumberFormat="1" applyFont="1" applyFill="1" applyBorder="1" applyAlignment="1">
      <alignment horizontal="center" vertical="center"/>
    </xf>
    <xf numFmtId="2" fontId="16" fillId="0" borderId="0" xfId="14" applyNumberFormat="1" applyFont="1">
      <alignment vertical="center"/>
    </xf>
    <xf numFmtId="168" fontId="16" fillId="0" borderId="4" xfId="0" applyNumberFormat="1" applyFont="1" applyBorder="1" applyAlignment="1">
      <alignment vertical="center"/>
    </xf>
    <xf numFmtId="0" fontId="0" fillId="0" borderId="4" xfId="0" applyBorder="1" applyAlignment="1">
      <alignment wrapText="1"/>
    </xf>
    <xf numFmtId="2" fontId="16" fillId="0" borderId="0" xfId="10" applyNumberFormat="1" applyFont="1" applyAlignment="1">
      <alignment vertical="center"/>
    </xf>
    <xf numFmtId="169" fontId="16" fillId="0" borderId="9" xfId="14" applyNumberFormat="1" applyFont="1" applyBorder="1">
      <alignment vertical="center"/>
    </xf>
    <xf numFmtId="43" fontId="16" fillId="0" borderId="4" xfId="110" applyFont="1" applyBorder="1" applyAlignment="1">
      <alignment vertical="center"/>
    </xf>
    <xf numFmtId="43" fontId="16" fillId="0" borderId="4" xfId="111" applyFont="1" applyBorder="1" applyAlignment="1">
      <alignment vertical="center"/>
    </xf>
    <xf numFmtId="43" fontId="16" fillId="0" borderId="4" xfId="111" applyFont="1" applyBorder="1" applyAlignment="1">
      <alignment horizontal="right" vertical="center"/>
    </xf>
    <xf numFmtId="43" fontId="16" fillId="0" borderId="4" xfId="110" applyFont="1" applyBorder="1" applyAlignment="1">
      <alignment horizontal="center" vertical="center" wrapText="1"/>
    </xf>
    <xf numFmtId="43" fontId="16" fillId="0" borderId="4" xfId="110" applyFont="1" applyBorder="1" applyAlignment="1">
      <alignment horizontal="left" vertical="center"/>
    </xf>
    <xf numFmtId="0" fontId="21" fillId="0" borderId="9" xfId="14" applyFont="1" applyBorder="1" applyAlignment="1">
      <alignment horizontal="center" vertical="center" wrapText="1"/>
    </xf>
    <xf numFmtId="2" fontId="16" fillId="0" borderId="4" xfId="14" applyNumberFormat="1" applyFont="1" applyBorder="1" applyAlignment="1">
      <alignment horizontal="right" vertical="center"/>
    </xf>
    <xf numFmtId="0" fontId="28" fillId="0" borderId="0" xfId="10" applyFont="1" applyAlignment="1">
      <alignment horizontal="left" vertical="center"/>
    </xf>
    <xf numFmtId="0" fontId="29" fillId="0" borderId="0" xfId="10" applyFont="1" applyAlignment="1">
      <alignment vertical="center"/>
    </xf>
    <xf numFmtId="0" fontId="28" fillId="0" borderId="0" xfId="14" applyFont="1" applyAlignment="1">
      <alignment horizontal="center" vertical="center"/>
    </xf>
    <xf numFmtId="0" fontId="28" fillId="0" borderId="0" xfId="10" applyFont="1" applyAlignment="1">
      <alignment horizontal="right" vertical="center"/>
    </xf>
    <xf numFmtId="0" fontId="28" fillId="0" borderId="0" xfId="14" applyFont="1" applyAlignment="1">
      <alignment horizontal="right" vertical="center"/>
    </xf>
    <xf numFmtId="0" fontId="29" fillId="0" borderId="0" xfId="14" applyFont="1">
      <alignment vertical="center"/>
    </xf>
    <xf numFmtId="0" fontId="28" fillId="0" borderId="4" xfId="14" applyFont="1" applyBorder="1" applyAlignment="1">
      <alignment horizontal="center" vertical="center" wrapText="1"/>
    </xf>
    <xf numFmtId="0" fontId="29" fillId="0" borderId="7" xfId="10" applyFont="1" applyBorder="1" applyAlignment="1">
      <alignment horizontal="center" vertical="center"/>
    </xf>
    <xf numFmtId="0" fontId="29" fillId="0" borderId="4" xfId="10" applyFont="1" applyBorder="1" applyAlignment="1">
      <alignment vertical="center"/>
    </xf>
    <xf numFmtId="2" fontId="29" fillId="0" borderId="4" xfId="14" applyNumberFormat="1" applyFont="1" applyBorder="1" applyAlignment="1">
      <alignment horizontal="center" vertical="center"/>
    </xf>
    <xf numFmtId="2" fontId="29" fillId="0" borderId="4" xfId="10" applyNumberFormat="1" applyFont="1" applyBorder="1" applyAlignment="1">
      <alignment horizontal="right" vertical="center" wrapText="1"/>
    </xf>
    <xf numFmtId="0" fontId="29" fillId="0" borderId="4" xfId="10" applyFont="1" applyBorder="1" applyAlignment="1">
      <alignment horizontal="center" vertical="center"/>
    </xf>
    <xf numFmtId="0" fontId="29" fillId="0" borderId="4" xfId="10" applyFont="1" applyBorder="1" applyAlignment="1">
      <alignment horizontal="left" vertical="center"/>
    </xf>
    <xf numFmtId="2" fontId="29" fillId="0" borderId="4" xfId="14" applyNumberFormat="1" applyFont="1" applyBorder="1" applyAlignment="1">
      <alignment horizontal="right" vertical="center"/>
    </xf>
    <xf numFmtId="0" fontId="29" fillId="0" borderId="4" xfId="10" applyFont="1" applyBorder="1" applyAlignment="1">
      <alignment vertical="center" wrapText="1"/>
    </xf>
    <xf numFmtId="2" fontId="29" fillId="0" borderId="9" xfId="14" applyNumberFormat="1" applyFont="1" applyBorder="1">
      <alignment vertical="center"/>
    </xf>
    <xf numFmtId="2" fontId="29" fillId="0" borderId="9" xfId="14" applyNumberFormat="1" applyFont="1" applyBorder="1" applyAlignment="1">
      <alignment horizontal="right" vertical="center"/>
    </xf>
    <xf numFmtId="0" fontId="29" fillId="0" borderId="4" xfId="10" applyFont="1" applyBorder="1" applyAlignment="1">
      <alignment horizontal="left" vertical="center" wrapText="1"/>
    </xf>
    <xf numFmtId="0" fontId="28" fillId="0" borderId="0" xfId="10" applyFont="1" applyAlignment="1">
      <alignment vertical="center"/>
    </xf>
    <xf numFmtId="0" fontId="29" fillId="0" borderId="9" xfId="14" applyFont="1" applyBorder="1">
      <alignment vertical="center"/>
    </xf>
    <xf numFmtId="2" fontId="29" fillId="0" borderId="4" xfId="10" applyNumberFormat="1" applyFont="1" applyBorder="1" applyAlignment="1">
      <alignment vertical="center"/>
    </xf>
    <xf numFmtId="2" fontId="29" fillId="0" borderId="4" xfId="10" applyNumberFormat="1" applyFont="1" applyBorder="1" applyAlignment="1">
      <alignment horizontal="right" vertical="center"/>
    </xf>
    <xf numFmtId="2" fontId="28" fillId="6" borderId="9" xfId="14" applyNumberFormat="1" applyFont="1" applyFill="1" applyBorder="1">
      <alignment vertical="center"/>
    </xf>
    <xf numFmtId="10" fontId="29" fillId="0" borderId="9" xfId="14" applyNumberFormat="1" applyFont="1" applyBorder="1">
      <alignment vertical="center"/>
    </xf>
    <xf numFmtId="0" fontId="29" fillId="0" borderId="0" xfId="0" applyFont="1" applyAlignment="1">
      <alignment vertical="center"/>
    </xf>
    <xf numFmtId="0" fontId="30" fillId="0" borderId="4" xfId="0" applyFont="1" applyBorder="1" applyAlignment="1">
      <alignment vertical="center"/>
    </xf>
    <xf numFmtId="0" fontId="30" fillId="0" borderId="4" xfId="0" applyFont="1" applyBorder="1" applyAlignment="1">
      <alignment horizontal="center" vertical="center"/>
    </xf>
    <xf numFmtId="0" fontId="30" fillId="0" borderId="7" xfId="0" applyFont="1" applyBorder="1" applyAlignment="1">
      <alignment vertical="center"/>
    </xf>
    <xf numFmtId="0" fontId="30" fillId="0" borderId="7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43" fontId="16" fillId="5" borderId="4" xfId="10" applyNumberFormat="1" applyFont="1" applyFill="1" applyBorder="1"/>
    <xf numFmtId="43" fontId="21" fillId="5" borderId="4" xfId="10" applyNumberFormat="1" applyFont="1" applyFill="1" applyBorder="1"/>
    <xf numFmtId="43" fontId="16" fillId="5" borderId="4" xfId="14" applyNumberFormat="1" applyFont="1" applyFill="1" applyBorder="1">
      <alignment vertical="center"/>
    </xf>
    <xf numFmtId="43" fontId="16" fillId="0" borderId="4" xfId="129" applyFont="1" applyBorder="1" applyAlignment="1">
      <alignment wrapText="1"/>
    </xf>
    <xf numFmtId="10" fontId="16" fillId="0" borderId="4" xfId="10" applyNumberFormat="1" applyFont="1" applyBorder="1"/>
    <xf numFmtId="43" fontId="16" fillId="0" borderId="4" xfId="129" applyFont="1" applyFill="1" applyBorder="1" applyAlignment="1">
      <alignment wrapText="1"/>
    </xf>
    <xf numFmtId="9" fontId="16" fillId="0" borderId="4" xfId="10" applyNumberFormat="1" applyFont="1" applyBorder="1"/>
    <xf numFmtId="0" fontId="16" fillId="0" borderId="4" xfId="0" applyFont="1" applyBorder="1" applyAlignment="1">
      <alignment wrapText="1"/>
    </xf>
    <xf numFmtId="10" fontId="16" fillId="0" borderId="4" xfId="0" applyNumberFormat="1" applyFont="1" applyBorder="1"/>
    <xf numFmtId="2" fontId="16" fillId="7" borderId="4" xfId="10" applyNumberFormat="1" applyFont="1" applyFill="1" applyBorder="1" applyAlignment="1">
      <alignment vertical="center"/>
    </xf>
    <xf numFmtId="168" fontId="29" fillId="0" borderId="0" xfId="0" applyNumberFormat="1" applyFont="1" applyAlignment="1">
      <alignment vertical="center"/>
    </xf>
    <xf numFmtId="2" fontId="29" fillId="0" borderId="0" xfId="0" applyNumberFormat="1" applyFont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9" fillId="0" borderId="4" xfId="0" applyFont="1" applyBorder="1" applyAlignment="1">
      <alignment horizontal="right" vertical="center"/>
    </xf>
    <xf numFmtId="2" fontId="29" fillId="0" borderId="4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68" fontId="28" fillId="0" borderId="4" xfId="0" applyNumberFormat="1" applyFont="1" applyBorder="1" applyAlignment="1">
      <alignment horizontal="right" vertical="center"/>
    </xf>
    <xf numFmtId="171" fontId="29" fillId="0" borderId="0" xfId="0" applyNumberFormat="1" applyFont="1" applyAlignment="1">
      <alignment vertical="center"/>
    </xf>
    <xf numFmtId="2" fontId="30" fillId="0" borderId="4" xfId="0" applyNumberFormat="1" applyFont="1" applyBorder="1" applyAlignment="1">
      <alignment horizontal="right"/>
    </xf>
    <xf numFmtId="2" fontId="30" fillId="0" borderId="4" xfId="0" applyNumberFormat="1" applyFont="1" applyBorder="1" applyAlignment="1">
      <alignment horizontal="right" vertical="center"/>
    </xf>
    <xf numFmtId="1" fontId="30" fillId="0" borderId="4" xfId="0" applyNumberFormat="1" applyFont="1" applyBorder="1" applyAlignment="1">
      <alignment horizontal="right" vertical="center"/>
    </xf>
    <xf numFmtId="2" fontId="34" fillId="0" borderId="4" xfId="0" applyNumberFormat="1" applyFont="1" applyBorder="1" applyAlignment="1">
      <alignment horizontal="right"/>
    </xf>
    <xf numFmtId="1" fontId="34" fillId="0" borderId="4" xfId="0" applyNumberFormat="1" applyFont="1" applyBorder="1" applyAlignment="1">
      <alignment horizontal="right"/>
    </xf>
    <xf numFmtId="2" fontId="34" fillId="0" borderId="4" xfId="0" applyNumberFormat="1" applyFont="1" applyBorder="1" applyAlignment="1">
      <alignment horizontal="right" vertical="center"/>
    </xf>
    <xf numFmtId="168" fontId="29" fillId="0" borderId="4" xfId="0" applyNumberFormat="1" applyFont="1" applyBorder="1" applyAlignment="1">
      <alignment horizontal="right" vertical="center"/>
    </xf>
    <xf numFmtId="170" fontId="21" fillId="0" borderId="4" xfId="14" applyNumberFormat="1" applyFont="1" applyBorder="1" applyAlignment="1">
      <alignment horizontal="center" vertical="center"/>
    </xf>
    <xf numFmtId="170" fontId="16" fillId="0" borderId="4" xfId="14" applyNumberFormat="1" applyFont="1" applyBorder="1">
      <alignment vertical="center"/>
    </xf>
    <xf numFmtId="0" fontId="1" fillId="0" borderId="4" xfId="93" applyFont="1" applyBorder="1" applyAlignment="1">
      <alignment horizontal="left"/>
    </xf>
    <xf numFmtId="0" fontId="1" fillId="0" borderId="4" xfId="93" applyFont="1" applyBorder="1"/>
    <xf numFmtId="0" fontId="1" fillId="0" borderId="0" xfId="93" applyFont="1"/>
    <xf numFmtId="2" fontId="21" fillId="0" borderId="4" xfId="10" applyNumberFormat="1" applyFont="1" applyBorder="1" applyAlignment="1">
      <alignment vertical="center" wrapText="1"/>
    </xf>
    <xf numFmtId="172" fontId="16" fillId="0" borderId="0" xfId="14" applyNumberFormat="1" applyFont="1">
      <alignment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0" xfId="14" applyFont="1" applyAlignment="1">
      <alignment horizontal="center" vertical="center"/>
    </xf>
    <xf numFmtId="0" fontId="21" fillId="0" borderId="0" xfId="14" quotePrefix="1" applyFont="1" applyAlignment="1">
      <alignment horizontal="center" vertical="center" wrapText="1"/>
    </xf>
    <xf numFmtId="0" fontId="35" fillId="0" borderId="0" xfId="10" applyFont="1" applyAlignment="1">
      <alignment horizontal="left" vertical="center"/>
    </xf>
    <xf numFmtId="0" fontId="21" fillId="0" borderId="0" xfId="10" applyFont="1" applyAlignment="1">
      <alignment horizontal="justify" vertical="center" wrapText="1"/>
    </xf>
    <xf numFmtId="0" fontId="29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6" fillId="0" borderId="4" xfId="0" applyNumberFormat="1" applyFont="1" applyBorder="1" applyAlignment="1">
      <alignment vertical="center" wrapText="1"/>
    </xf>
    <xf numFmtId="0" fontId="36" fillId="0" borderId="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2" fontId="36" fillId="0" borderId="4" xfId="0" applyNumberFormat="1" applyFont="1" applyBorder="1" applyAlignment="1">
      <alignment horizontal="center" vertical="center"/>
    </xf>
    <xf numFmtId="1" fontId="36" fillId="0" borderId="4" xfId="0" applyNumberFormat="1" applyFont="1" applyBorder="1" applyAlignment="1">
      <alignment horizontal="center" vertical="center"/>
    </xf>
    <xf numFmtId="2" fontId="36" fillId="6" borderId="4" xfId="0" applyNumberFormat="1" applyFont="1" applyFill="1" applyBorder="1" applyAlignment="1">
      <alignment horizontal="center" vertical="center"/>
    </xf>
    <xf numFmtId="0" fontId="36" fillId="0" borderId="4" xfId="0" applyFont="1" applyBorder="1" applyAlignment="1">
      <alignment vertical="center" wrapText="1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6" fillId="0" borderId="0" xfId="14" applyFont="1" applyAlignment="1">
      <alignment horizontal="center" vertical="center"/>
    </xf>
    <xf numFmtId="0" fontId="36" fillId="0" borderId="0" xfId="10" applyFont="1" applyAlignment="1">
      <alignment horizontal="center" vertical="center"/>
    </xf>
    <xf numFmtId="0" fontId="37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2" fontId="37" fillId="0" borderId="4" xfId="0" applyNumberFormat="1" applyFont="1" applyBorder="1" applyAlignment="1">
      <alignment horizontal="center" vertical="center"/>
    </xf>
    <xf numFmtId="0" fontId="36" fillId="6" borderId="4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6" fillId="0" borderId="0" xfId="10" applyFont="1" applyAlignment="1">
      <alignment vertical="center"/>
    </xf>
    <xf numFmtId="0" fontId="36" fillId="0" borderId="0" xfId="14" applyFont="1">
      <alignment vertical="center"/>
    </xf>
    <xf numFmtId="0" fontId="36" fillId="0" borderId="0" xfId="14" applyFont="1" applyAlignment="1">
      <alignment horizontal="centerContinuous" vertical="center"/>
    </xf>
    <xf numFmtId="0" fontId="36" fillId="0" borderId="4" xfId="14" applyFont="1" applyBorder="1" applyAlignment="1">
      <alignment horizontal="center" vertical="center" wrapText="1"/>
    </xf>
    <xf numFmtId="0" fontId="36" fillId="0" borderId="4" xfId="14" applyFont="1" applyBorder="1" applyAlignment="1">
      <alignment horizontal="left" vertical="center" wrapText="1"/>
    </xf>
    <xf numFmtId="0" fontId="36" fillId="0" borderId="4" xfId="14" quotePrefix="1" applyFont="1" applyBorder="1" applyAlignment="1">
      <alignment horizontal="center" vertical="center" wrapText="1"/>
    </xf>
    <xf numFmtId="0" fontId="36" fillId="0" borderId="4" xfId="10" applyFont="1" applyBorder="1" applyAlignment="1">
      <alignment vertical="center"/>
    </xf>
    <xf numFmtId="0" fontId="38" fillId="0" borderId="4" xfId="14" applyFont="1" applyBorder="1" applyAlignment="1">
      <alignment horizontal="center" vertical="center" wrapText="1"/>
    </xf>
    <xf numFmtId="2" fontId="36" fillId="0" borderId="4" xfId="14" applyNumberFormat="1" applyFont="1" applyBorder="1" applyAlignment="1">
      <alignment horizontal="center" vertical="center" wrapText="1"/>
    </xf>
    <xf numFmtId="0" fontId="36" fillId="0" borderId="4" xfId="14" applyFont="1" applyBorder="1" applyAlignment="1">
      <alignment vertical="center" wrapText="1"/>
    </xf>
    <xf numFmtId="0" fontId="36" fillId="7" borderId="4" xfId="14" applyFont="1" applyFill="1" applyBorder="1" applyAlignment="1">
      <alignment horizontal="center" vertical="center" wrapText="1"/>
    </xf>
    <xf numFmtId="168" fontId="36" fillId="0" borderId="4" xfId="14" applyNumberFormat="1" applyFont="1" applyBorder="1" applyAlignment="1">
      <alignment horizontal="center" vertical="center" wrapText="1"/>
    </xf>
    <xf numFmtId="0" fontId="36" fillId="0" borderId="0" xfId="10" applyFont="1" applyAlignment="1">
      <alignment vertical="center" wrapText="1"/>
    </xf>
    <xf numFmtId="0" fontId="36" fillId="0" borderId="0" xfId="10" applyFont="1" applyAlignment="1">
      <alignment horizontal="centerContinuous" vertical="center" wrapText="1"/>
    </xf>
    <xf numFmtId="0" fontId="21" fillId="0" borderId="0" xfId="10" applyFont="1" applyAlignment="1">
      <alignment vertical="center" wrapText="1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16" fillId="0" borderId="4" xfId="10" applyFont="1" applyBorder="1" applyAlignment="1">
      <alignment vertical="center"/>
    </xf>
    <xf numFmtId="0" fontId="21" fillId="0" borderId="0" xfId="14" applyFont="1" applyAlignment="1">
      <alignment horizontal="center" vertical="center"/>
    </xf>
    <xf numFmtId="0" fontId="21" fillId="0" borderId="0" xfId="10" applyFont="1" applyAlignment="1">
      <alignment horizontal="center"/>
    </xf>
    <xf numFmtId="0" fontId="13" fillId="0" borderId="0" xfId="10" applyFont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18" xfId="68" applyFont="1" applyFill="1" applyBorder="1" applyAlignment="1">
      <alignment horizontal="center" vertical="center"/>
    </xf>
    <xf numFmtId="0" fontId="21" fillId="4" borderId="19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21" fillId="4" borderId="8" xfId="68" quotePrefix="1" applyFont="1" applyFill="1" applyBorder="1" applyAlignment="1">
      <alignment horizontal="center" vertical="center" wrapText="1"/>
    </xf>
    <xf numFmtId="0" fontId="21" fillId="0" borderId="3" xfId="10" applyFont="1" applyBorder="1" applyAlignment="1">
      <alignment horizontal="center" vertical="center"/>
    </xf>
    <xf numFmtId="0" fontId="21" fillId="0" borderId="9" xfId="10" applyFont="1" applyBorder="1" applyAlignment="1">
      <alignment horizontal="center" vertical="center"/>
    </xf>
    <xf numFmtId="0" fontId="13" fillId="0" borderId="0" xfId="14" applyFont="1" applyAlignment="1">
      <alignment horizontal="center" vertical="top"/>
    </xf>
    <xf numFmtId="0" fontId="28" fillId="0" borderId="8" xfId="14" applyFont="1" applyBorder="1" applyAlignment="1">
      <alignment horizontal="center" vertical="center" wrapText="1"/>
    </xf>
    <xf numFmtId="0" fontId="28" fillId="0" borderId="10" xfId="14" applyFont="1" applyBorder="1" applyAlignment="1">
      <alignment horizontal="center" vertical="center" wrapText="1"/>
    </xf>
    <xf numFmtId="0" fontId="29" fillId="0" borderId="7" xfId="10" applyFont="1" applyBorder="1" applyAlignment="1">
      <alignment horizontal="center" vertical="center" wrapText="1"/>
    </xf>
    <xf numFmtId="0" fontId="28" fillId="0" borderId="4" xfId="14" applyFont="1" applyBorder="1" applyAlignment="1">
      <alignment horizontal="center" vertical="center"/>
    </xf>
    <xf numFmtId="0" fontId="29" fillId="0" borderId="4" xfId="10" applyFont="1" applyBorder="1" applyAlignment="1">
      <alignment horizontal="center" vertical="center"/>
    </xf>
    <xf numFmtId="0" fontId="28" fillId="0" borderId="6" xfId="14" applyFont="1" applyBorder="1" applyAlignment="1">
      <alignment horizontal="center" vertical="center" wrapText="1"/>
    </xf>
    <xf numFmtId="0" fontId="28" fillId="0" borderId="3" xfId="14" applyFont="1" applyBorder="1" applyAlignment="1">
      <alignment horizontal="center" vertical="center" wrapText="1"/>
    </xf>
    <xf numFmtId="0" fontId="28" fillId="0" borderId="9" xfId="14" applyFont="1" applyBorder="1" applyAlignment="1">
      <alignment horizontal="center" vertical="center" wrapText="1"/>
    </xf>
    <xf numFmtId="0" fontId="28" fillId="0" borderId="4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36" fillId="0" borderId="0" xfId="14" applyFont="1" applyAlignment="1">
      <alignment horizontal="center" vertical="center"/>
    </xf>
    <xf numFmtId="0" fontId="36" fillId="0" borderId="4" xfId="14" applyFont="1" applyBorder="1" applyAlignment="1">
      <alignment horizontal="center" vertical="center" wrapText="1"/>
    </xf>
    <xf numFmtId="0" fontId="36" fillId="0" borderId="4" xfId="14" quotePrefix="1" applyFont="1" applyBorder="1" applyAlignment="1">
      <alignment horizontal="center" vertical="center" wrapText="1"/>
    </xf>
    <xf numFmtId="0" fontId="36" fillId="0" borderId="4" xfId="10" applyFont="1" applyBorder="1" applyAlignment="1">
      <alignment horizontal="center" vertical="center"/>
    </xf>
    <xf numFmtId="0" fontId="36" fillId="0" borderId="4" xfId="10" applyFont="1" applyBorder="1" applyAlignment="1">
      <alignment horizontal="center" vertical="center" wrapText="1"/>
    </xf>
    <xf numFmtId="0" fontId="36" fillId="0" borderId="6" xfId="14" applyFont="1" applyBorder="1" applyAlignment="1">
      <alignment horizontal="center" vertical="center" wrapText="1"/>
    </xf>
    <xf numFmtId="0" fontId="36" fillId="0" borderId="3" xfId="14" applyFont="1" applyBorder="1" applyAlignment="1">
      <alignment horizontal="center" vertical="center" wrapText="1"/>
    </xf>
    <xf numFmtId="0" fontId="36" fillId="0" borderId="9" xfId="14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36" fillId="0" borderId="4" xfId="0" applyNumberFormat="1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vertical="center" wrapText="1"/>
    </xf>
    <xf numFmtId="0" fontId="33" fillId="0" borderId="3" xfId="0" applyFont="1" applyBorder="1" applyAlignment="1">
      <alignment vertical="center" wrapText="1"/>
    </xf>
    <xf numFmtId="0" fontId="33" fillId="0" borderId="9" xfId="0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/>
    </xf>
    <xf numFmtId="0" fontId="21" fillId="0" borderId="6" xfId="10" applyFont="1" applyBorder="1" applyAlignment="1">
      <alignment horizontal="center" vertical="center"/>
    </xf>
  </cellXfs>
  <cellStyles count="130">
    <cellStyle name="Body" xfId="1"/>
    <cellStyle name="Comma" xfId="129" builtinId="3"/>
    <cellStyle name="Comma  - Style1" xfId="2"/>
    <cellStyle name="Comma 10" xfId="112"/>
    <cellStyle name="Comma 10 2" xfId="113"/>
    <cellStyle name="Comma 11" xfId="110"/>
    <cellStyle name="Comma 11 2" xfId="19"/>
    <cellStyle name="Comma 11 2 2" xfId="96"/>
    <cellStyle name="Comma 11 2 3" xfId="72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3" xfId="85"/>
    <cellStyle name="Comma 3 3" xfId="78"/>
    <cellStyle name="Comma 4" xfId="28"/>
    <cellStyle name="Comma 4 2" xfId="64"/>
    <cellStyle name="Comma 4 2 2" xfId="104"/>
    <cellStyle name="Comma 4 2 3" xfId="86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7" xfId="21"/>
    <cellStyle name="Comma 8" xfId="65"/>
    <cellStyle name="Comma 8 2" xfId="105"/>
    <cellStyle name="Comma 8 3" xfId="87"/>
    <cellStyle name="Comma 9" xfId="111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3" xfId="89"/>
    <cellStyle name="Normal 11" xfId="69"/>
    <cellStyle name="Normal 11 2" xfId="109"/>
    <cellStyle name="Normal 11 3" xfId="91"/>
    <cellStyle name="Normal 12" xfId="70"/>
    <cellStyle name="Normal 12 2" xfId="92"/>
    <cellStyle name="Normal 13" xfId="93"/>
    <cellStyle name="Normal 13 2" xfId="94"/>
    <cellStyle name="Normal 14" xfId="115"/>
    <cellStyle name="Normal 14 2" xfId="68"/>
    <cellStyle name="Normal 14 2 2" xfId="108"/>
    <cellStyle name="Normal 14 2 3" xfId="90"/>
    <cellStyle name="Normal 15" xfId="18"/>
    <cellStyle name="Normal 15 2" xfId="95"/>
    <cellStyle name="Normal 15 3" xfId="71"/>
    <cellStyle name="Normal 16" xfId="116"/>
    <cellStyle name="Normal 17" xfId="117"/>
    <cellStyle name="Normal 18" xfId="61"/>
    <cellStyle name="Normal 18 2" xfId="102"/>
    <cellStyle name="Normal 18 3" xfId="84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4" xfId="81"/>
    <cellStyle name="Normal 6" xfId="37"/>
    <cellStyle name="Normal 7" xfId="38"/>
    <cellStyle name="Normal 7 2" xfId="100"/>
    <cellStyle name="Normal 7 3" xfId="82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3" xfId="73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3" xfId="88"/>
    <cellStyle name="Percent 8" xfId="121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J8" sqref="J8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310" t="s">
        <v>535</v>
      </c>
      <c r="C2" s="310"/>
      <c r="D2" s="311"/>
      <c r="E2" s="31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310" t="s">
        <v>515</v>
      </c>
      <c r="C3" s="310"/>
      <c r="D3" s="311"/>
      <c r="E3" s="31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312" t="s">
        <v>395</v>
      </c>
      <c r="C4" s="312"/>
      <c r="D4" s="313"/>
      <c r="E4" s="313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90" t="s">
        <v>397</v>
      </c>
    </row>
    <row r="6" spans="2:15" ht="15.75">
      <c r="N6" s="7"/>
    </row>
    <row r="7" spans="2:15" ht="15.75">
      <c r="B7" s="17" t="s">
        <v>210</v>
      </c>
      <c r="C7" s="17" t="s">
        <v>396</v>
      </c>
      <c r="D7" s="18" t="s">
        <v>7</v>
      </c>
      <c r="E7" s="18" t="s">
        <v>398</v>
      </c>
    </row>
    <row r="8" spans="2:15">
      <c r="B8" s="8">
        <v>1</v>
      </c>
      <c r="C8" s="8" t="s">
        <v>6</v>
      </c>
      <c r="D8" s="9" t="s">
        <v>400</v>
      </c>
      <c r="E8" s="10"/>
    </row>
    <row r="9" spans="2:15">
      <c r="B9" s="8">
        <f>B8+1</f>
        <v>2</v>
      </c>
      <c r="C9" s="8" t="s">
        <v>301</v>
      </c>
      <c r="D9" s="9" t="s">
        <v>402</v>
      </c>
      <c r="E9" s="10"/>
    </row>
    <row r="10" spans="2:15">
      <c r="B10" s="8">
        <f>B9+1</f>
        <v>3</v>
      </c>
      <c r="C10" s="8" t="s">
        <v>24</v>
      </c>
      <c r="D10" s="9" t="s">
        <v>403</v>
      </c>
      <c r="E10" s="10"/>
    </row>
    <row r="11" spans="2:15">
      <c r="B11" s="8">
        <f>B10+1</f>
        <v>4</v>
      </c>
      <c r="C11" s="8" t="s">
        <v>25</v>
      </c>
      <c r="D11" s="9" t="s">
        <v>404</v>
      </c>
      <c r="E11" s="10"/>
    </row>
    <row r="12" spans="2:15">
      <c r="B12" s="8">
        <f>B11+1</f>
        <v>5</v>
      </c>
      <c r="C12" s="8" t="s">
        <v>302</v>
      </c>
      <c r="D12" s="9" t="s">
        <v>405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238</v>
      </c>
      <c r="E13" s="10"/>
    </row>
    <row r="14" spans="2:15">
      <c r="B14" s="8">
        <f t="shared" si="0"/>
        <v>7</v>
      </c>
      <c r="C14" s="8" t="s">
        <v>27</v>
      </c>
      <c r="D14" s="9" t="s">
        <v>406</v>
      </c>
      <c r="E14" s="10"/>
    </row>
    <row r="15" spans="2:15">
      <c r="B15" s="8">
        <f t="shared" si="0"/>
        <v>8</v>
      </c>
      <c r="C15" s="8" t="s">
        <v>28</v>
      </c>
      <c r="D15" s="11" t="s">
        <v>207</v>
      </c>
      <c r="E15" s="10"/>
    </row>
    <row r="16" spans="2:15">
      <c r="B16" s="8">
        <f t="shared" si="0"/>
        <v>9</v>
      </c>
      <c r="C16" s="8" t="s">
        <v>23</v>
      </c>
      <c r="D16" s="11" t="s">
        <v>407</v>
      </c>
      <c r="E16" s="10"/>
    </row>
    <row r="17" spans="2:5">
      <c r="B17" s="8">
        <f t="shared" si="0"/>
        <v>10</v>
      </c>
      <c r="C17" s="8" t="s">
        <v>29</v>
      </c>
      <c r="D17" s="9" t="s">
        <v>260</v>
      </c>
      <c r="E17" s="10"/>
    </row>
    <row r="18" spans="2:5">
      <c r="B18" s="8">
        <f t="shared" si="0"/>
        <v>11</v>
      </c>
      <c r="C18" s="8" t="s">
        <v>30</v>
      </c>
      <c r="D18" s="11" t="s">
        <v>319</v>
      </c>
      <c r="E18" s="10"/>
    </row>
    <row r="19" spans="2:5">
      <c r="B19" s="8">
        <f t="shared" si="0"/>
        <v>12</v>
      </c>
      <c r="C19" s="8" t="s">
        <v>31</v>
      </c>
      <c r="D19" s="11" t="s">
        <v>261</v>
      </c>
      <c r="E19" s="10"/>
    </row>
    <row r="20" spans="2:5">
      <c r="B20" s="8">
        <f t="shared" si="0"/>
        <v>13</v>
      </c>
      <c r="C20" s="8" t="s">
        <v>32</v>
      </c>
      <c r="D20" s="11" t="s">
        <v>164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408</v>
      </c>
      <c r="E22" s="10"/>
    </row>
    <row r="23" spans="2:5">
      <c r="B23" s="8">
        <f t="shared" si="0"/>
        <v>16</v>
      </c>
      <c r="C23" s="8" t="s">
        <v>35</v>
      </c>
      <c r="D23" s="9" t="s">
        <v>409</v>
      </c>
      <c r="E23" s="10"/>
    </row>
    <row r="24" spans="2:5">
      <c r="B24" s="8">
        <f t="shared" si="0"/>
        <v>17</v>
      </c>
      <c r="C24" s="8" t="s">
        <v>172</v>
      </c>
      <c r="D24" s="9" t="s">
        <v>264</v>
      </c>
      <c r="E24" s="10"/>
    </row>
    <row r="25" spans="2:5">
      <c r="B25" s="8">
        <f t="shared" si="0"/>
        <v>18</v>
      </c>
      <c r="C25" s="8" t="s">
        <v>181</v>
      </c>
      <c r="D25" s="9" t="s">
        <v>410</v>
      </c>
      <c r="E25" s="10"/>
    </row>
    <row r="26" spans="2:5">
      <c r="B26" s="8">
        <f t="shared" si="0"/>
        <v>19</v>
      </c>
      <c r="C26" s="8" t="s">
        <v>399</v>
      </c>
      <c r="D26" s="9" t="s">
        <v>247</v>
      </c>
      <c r="E26" s="10"/>
    </row>
    <row r="27" spans="2:5">
      <c r="B27" s="8">
        <f t="shared" si="0"/>
        <v>20</v>
      </c>
      <c r="C27" s="8" t="s">
        <v>240</v>
      </c>
      <c r="D27" s="9" t="s">
        <v>411</v>
      </c>
      <c r="E27" s="10"/>
    </row>
    <row r="28" spans="2:5">
      <c r="B28" s="8">
        <f t="shared" si="0"/>
        <v>21</v>
      </c>
      <c r="C28" s="8" t="s">
        <v>241</v>
      </c>
      <c r="D28" s="11" t="s">
        <v>412</v>
      </c>
      <c r="E28" s="10"/>
    </row>
    <row r="29" spans="2:5" ht="15.75">
      <c r="B29" s="12"/>
      <c r="C29" s="12"/>
      <c r="D29" s="13" t="s">
        <v>246</v>
      </c>
      <c r="E29" s="14"/>
    </row>
    <row r="30" spans="2:5">
      <c r="B30" s="8">
        <f>B28+1</f>
        <v>22</v>
      </c>
      <c r="C30" s="8" t="s">
        <v>418</v>
      </c>
      <c r="D30" s="9" t="s">
        <v>426</v>
      </c>
      <c r="E30" s="10"/>
    </row>
    <row r="31" spans="2:5">
      <c r="B31" s="8">
        <f>B30+1</f>
        <v>23</v>
      </c>
      <c r="C31" s="8" t="s">
        <v>419</v>
      </c>
      <c r="D31" s="9" t="s">
        <v>427</v>
      </c>
      <c r="E31" s="10"/>
    </row>
    <row r="32" spans="2:5">
      <c r="B32" s="8">
        <f>B31+1</f>
        <v>24</v>
      </c>
      <c r="C32" s="8" t="s">
        <v>416</v>
      </c>
      <c r="D32" s="9" t="s">
        <v>202</v>
      </c>
      <c r="E32" s="10"/>
    </row>
    <row r="33" spans="2:5">
      <c r="B33" s="8">
        <f t="shared" si="0"/>
        <v>25</v>
      </c>
      <c r="C33" s="8" t="s">
        <v>417</v>
      </c>
      <c r="D33" s="9" t="s">
        <v>203</v>
      </c>
      <c r="E33" s="10"/>
    </row>
    <row r="34" spans="2:5">
      <c r="B34" s="8">
        <f t="shared" si="0"/>
        <v>26</v>
      </c>
      <c r="C34" s="8" t="s">
        <v>420</v>
      </c>
      <c r="D34" s="9" t="s">
        <v>204</v>
      </c>
      <c r="E34" s="10"/>
    </row>
    <row r="35" spans="2:5">
      <c r="B35" s="8">
        <f t="shared" si="0"/>
        <v>27</v>
      </c>
      <c r="C35" s="8" t="s">
        <v>421</v>
      </c>
      <c r="D35" s="9" t="s">
        <v>205</v>
      </c>
      <c r="E35" s="10"/>
    </row>
    <row r="36" spans="2:5">
      <c r="B36" s="8">
        <f t="shared" si="0"/>
        <v>28</v>
      </c>
      <c r="C36" s="8" t="s">
        <v>422</v>
      </c>
      <c r="D36" s="9" t="s">
        <v>224</v>
      </c>
      <c r="E36" s="10"/>
    </row>
    <row r="37" spans="2:5">
      <c r="B37" s="8">
        <f t="shared" si="0"/>
        <v>29</v>
      </c>
      <c r="C37" s="8" t="s">
        <v>423</v>
      </c>
      <c r="D37" s="9" t="s">
        <v>206</v>
      </c>
      <c r="E37" s="10"/>
    </row>
    <row r="38" spans="2:5">
      <c r="B38" s="8">
        <f t="shared" si="0"/>
        <v>30</v>
      </c>
      <c r="C38" s="8" t="s">
        <v>424</v>
      </c>
      <c r="D38" s="9" t="s">
        <v>413</v>
      </c>
      <c r="E38" s="10"/>
    </row>
    <row r="39" spans="2:5">
      <c r="B39" s="8">
        <f t="shared" si="0"/>
        <v>31</v>
      </c>
      <c r="C39" s="8" t="s">
        <v>425</v>
      </c>
      <c r="D39" s="9" t="s">
        <v>414</v>
      </c>
      <c r="E39" s="10"/>
    </row>
    <row r="41" spans="2:5" ht="15.75">
      <c r="B41" s="16" t="s">
        <v>415</v>
      </c>
      <c r="C41" s="16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R124"/>
  <sheetViews>
    <sheetView showGridLines="0" view="pageBreakPreview" zoomScale="90" zoomScaleNormal="90" zoomScaleSheetLayoutView="90" workbookViewId="0">
      <selection activeCell="N42" sqref="N42"/>
    </sheetView>
  </sheetViews>
  <sheetFormatPr defaultColWidth="9.28515625" defaultRowHeight="14.25"/>
  <cols>
    <col min="1" max="1" width="0.85546875" style="5" customWidth="1"/>
    <col min="2" max="2" width="9.28515625" style="5"/>
    <col min="3" max="3" width="28.5703125" style="5" customWidth="1"/>
    <col min="4" max="4" width="17.140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15">
      <c r="B1" s="30"/>
    </row>
    <row r="2" spans="2:16" ht="15">
      <c r="B2" s="335" t="s">
        <v>534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2:16" ht="15">
      <c r="B3" s="335" t="s">
        <v>514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2:16" ht="15">
      <c r="B4" s="333" t="s">
        <v>304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</row>
    <row r="5" spans="2:16" ht="15.75" thickBot="1">
      <c r="K5" s="42"/>
      <c r="O5" s="39" t="s">
        <v>4</v>
      </c>
    </row>
    <row r="6" spans="2:16" ht="15">
      <c r="B6" s="338" t="s">
        <v>482</v>
      </c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40"/>
    </row>
    <row r="7" spans="2:16" ht="14.25" customHeight="1">
      <c r="B7" s="341" t="s">
        <v>2</v>
      </c>
      <c r="C7" s="343" t="s">
        <v>300</v>
      </c>
      <c r="D7" s="345" t="s">
        <v>288</v>
      </c>
      <c r="E7" s="345" t="s">
        <v>289</v>
      </c>
      <c r="F7" s="345" t="s">
        <v>290</v>
      </c>
      <c r="G7" s="345"/>
      <c r="H7" s="345"/>
      <c r="I7" s="345"/>
      <c r="J7" s="345" t="s">
        <v>291</v>
      </c>
      <c r="K7" s="345"/>
      <c r="L7" s="345"/>
      <c r="M7" s="345"/>
      <c r="N7" s="345" t="s">
        <v>292</v>
      </c>
      <c r="O7" s="347"/>
    </row>
    <row r="8" spans="2:16" ht="60.75" thickBot="1">
      <c r="B8" s="342"/>
      <c r="C8" s="348"/>
      <c r="D8" s="346"/>
      <c r="E8" s="346"/>
      <c r="F8" s="73" t="s">
        <v>293</v>
      </c>
      <c r="G8" s="73" t="s">
        <v>138</v>
      </c>
      <c r="H8" s="73" t="s">
        <v>294</v>
      </c>
      <c r="I8" s="73" t="s">
        <v>295</v>
      </c>
      <c r="J8" s="73" t="s">
        <v>296</v>
      </c>
      <c r="K8" s="73" t="s">
        <v>138</v>
      </c>
      <c r="L8" s="73" t="s">
        <v>297</v>
      </c>
      <c r="M8" s="73" t="s">
        <v>298</v>
      </c>
      <c r="N8" s="73" t="s">
        <v>293</v>
      </c>
      <c r="O8" s="74" t="s">
        <v>295</v>
      </c>
    </row>
    <row r="9" spans="2:16" ht="15">
      <c r="B9" s="72">
        <v>1</v>
      </c>
      <c r="C9" s="86" t="s">
        <v>498</v>
      </c>
      <c r="D9" s="75">
        <v>1000</v>
      </c>
      <c r="E9" s="76">
        <v>0</v>
      </c>
      <c r="F9" s="77">
        <v>0</v>
      </c>
      <c r="G9" s="78">
        <v>0</v>
      </c>
      <c r="H9" s="77">
        <v>0</v>
      </c>
      <c r="I9" s="143">
        <f>F9+G9-H9</f>
        <v>0</v>
      </c>
      <c r="J9" s="144">
        <v>0</v>
      </c>
      <c r="K9" s="145">
        <f>AVERAGE(F9,I9)*E9</f>
        <v>0</v>
      </c>
      <c r="L9" s="146">
        <v>0</v>
      </c>
      <c r="M9" s="147">
        <f>J9+K9-L9</f>
        <v>0</v>
      </c>
      <c r="N9" s="148">
        <f>F9-J9</f>
        <v>0</v>
      </c>
      <c r="O9" s="148">
        <f>I9-M9</f>
        <v>0</v>
      </c>
    </row>
    <row r="10" spans="2:16" ht="15">
      <c r="B10" s="79">
        <v>2</v>
      </c>
      <c r="C10" s="80" t="s">
        <v>128</v>
      </c>
      <c r="D10" s="81">
        <v>1100</v>
      </c>
      <c r="E10" s="82">
        <v>3.3399999999999999E-2</v>
      </c>
      <c r="F10" s="83">
        <v>214.616977951</v>
      </c>
      <c r="G10" s="84">
        <v>0.190724854</v>
      </c>
      <c r="H10" s="83">
        <v>0</v>
      </c>
      <c r="I10" s="149">
        <f>F10+G10-H10</f>
        <v>214.80770280499999</v>
      </c>
      <c r="J10" s="150">
        <v>25.600811021999998</v>
      </c>
      <c r="K10" s="145">
        <f t="shared" ref="K10:K20" si="0">AVERAGE(F10,I10)*E10</f>
        <v>7.1713921686252</v>
      </c>
      <c r="L10" s="152">
        <v>0</v>
      </c>
      <c r="M10" s="153">
        <f t="shared" ref="M10:M12" si="1">J10+K10-L10</f>
        <v>32.772203190625198</v>
      </c>
      <c r="N10" s="149">
        <f t="shared" ref="N10:N12" si="2">F10-J10</f>
        <v>189.01616692900001</v>
      </c>
      <c r="O10" s="149">
        <f t="shared" ref="O10:O12" si="3">I10-M10</f>
        <v>182.0354996143748</v>
      </c>
      <c r="P10" s="193"/>
    </row>
    <row r="11" spans="2:16" ht="15">
      <c r="B11" s="79">
        <v>3</v>
      </c>
      <c r="C11" s="86" t="s">
        <v>527</v>
      </c>
      <c r="D11" s="81">
        <v>1200</v>
      </c>
      <c r="E11" s="82">
        <v>5.28E-2</v>
      </c>
      <c r="F11" s="83">
        <v>68.390140982000005</v>
      </c>
      <c r="G11" s="84">
        <v>0</v>
      </c>
      <c r="H11" s="83">
        <v>0</v>
      </c>
      <c r="I11" s="149">
        <f t="shared" ref="I11:I12" si="4">F11+G11-H11</f>
        <v>68.390140982000005</v>
      </c>
      <c r="J11" s="150">
        <v>24.772934838000001</v>
      </c>
      <c r="K11" s="145">
        <f t="shared" si="0"/>
        <v>3.6109994438496003</v>
      </c>
      <c r="L11" s="152">
        <v>0</v>
      </c>
      <c r="M11" s="153">
        <f t="shared" si="1"/>
        <v>28.383934281849601</v>
      </c>
      <c r="N11" s="149">
        <f t="shared" si="2"/>
        <v>43.617206144000008</v>
      </c>
      <c r="O11" s="149">
        <f t="shared" si="3"/>
        <v>40.0062067001504</v>
      </c>
      <c r="P11" s="193"/>
    </row>
    <row r="12" spans="2:16" ht="15.75" thickBot="1">
      <c r="B12" s="79">
        <v>4</v>
      </c>
      <c r="C12" s="192" t="s">
        <v>127</v>
      </c>
      <c r="D12" s="81">
        <v>1300</v>
      </c>
      <c r="E12" s="87">
        <v>5.28E-2</v>
      </c>
      <c r="F12" s="84">
        <f>2966.511632188-212.88</f>
        <v>2753.6316321879999</v>
      </c>
      <c r="G12" s="84">
        <v>0.59943076900000003</v>
      </c>
      <c r="H12" s="85">
        <v>0</v>
      </c>
      <c r="I12" s="149">
        <f t="shared" si="4"/>
        <v>2754.2310629569997</v>
      </c>
      <c r="J12" s="150">
        <f>1049.080556115-287.92</f>
        <v>761.16055611499996</v>
      </c>
      <c r="K12" s="145">
        <f t="shared" si="0"/>
        <v>145.40757515182798</v>
      </c>
      <c r="L12" s="152">
        <v>0</v>
      </c>
      <c r="M12" s="153">
        <f t="shared" si="1"/>
        <v>906.568131266828</v>
      </c>
      <c r="N12" s="149">
        <f t="shared" si="2"/>
        <v>1992.4710760729999</v>
      </c>
      <c r="O12" s="149">
        <f t="shared" si="3"/>
        <v>1847.6629316901717</v>
      </c>
      <c r="P12" s="193"/>
    </row>
    <row r="13" spans="2:16" ht="15">
      <c r="B13" s="72">
        <v>5</v>
      </c>
      <c r="C13" s="192" t="s">
        <v>500</v>
      </c>
      <c r="D13" s="75">
        <v>1400</v>
      </c>
      <c r="E13" s="76">
        <v>5.28E-2</v>
      </c>
      <c r="F13" s="78">
        <v>167.79792853499998</v>
      </c>
      <c r="G13" s="78">
        <v>0</v>
      </c>
      <c r="H13" s="77">
        <v>0</v>
      </c>
      <c r="I13" s="143">
        <f>F13+G13-H13</f>
        <v>167.79792853499998</v>
      </c>
      <c r="J13" s="144">
        <v>53.884644719000008</v>
      </c>
      <c r="K13" s="145">
        <f t="shared" si="0"/>
        <v>8.8597306266479983</v>
      </c>
      <c r="L13" s="146">
        <v>0</v>
      </c>
      <c r="M13" s="147">
        <f>J13+K13-L13</f>
        <v>62.74437534564801</v>
      </c>
      <c r="N13" s="148">
        <f>F13-J13</f>
        <v>113.91328381599997</v>
      </c>
      <c r="O13" s="148">
        <f>I13-M13</f>
        <v>105.05355318935197</v>
      </c>
      <c r="P13" s="193"/>
    </row>
    <row r="14" spans="2:16" ht="15">
      <c r="B14" s="79">
        <v>6</v>
      </c>
      <c r="C14" s="192" t="s">
        <v>501</v>
      </c>
      <c r="D14" s="81">
        <v>1500</v>
      </c>
      <c r="E14" s="82">
        <v>5.28E-2</v>
      </c>
      <c r="F14" s="84">
        <v>550.331683838</v>
      </c>
      <c r="G14" s="84">
        <v>-7.29</v>
      </c>
      <c r="H14" s="83">
        <v>0</v>
      </c>
      <c r="I14" s="149">
        <f>F14+G14-H14</f>
        <v>543.04168383800004</v>
      </c>
      <c r="J14" s="150">
        <v>214.71383523</v>
      </c>
      <c r="K14" s="145">
        <f t="shared" si="0"/>
        <v>28.865056906646402</v>
      </c>
      <c r="L14" s="152">
        <v>0</v>
      </c>
      <c r="M14" s="153">
        <f t="shared" ref="M14:M16" si="5">J14+K14-L14</f>
        <v>243.5788921366464</v>
      </c>
      <c r="N14" s="149">
        <f t="shared" ref="N14:N16" si="6">F14-J14</f>
        <v>335.61784860800003</v>
      </c>
      <c r="O14" s="149">
        <f t="shared" ref="O14:O16" si="7">I14-M14</f>
        <v>299.46279170135364</v>
      </c>
      <c r="P14" s="193"/>
    </row>
    <row r="15" spans="2:16" ht="15">
      <c r="B15" s="79">
        <v>7</v>
      </c>
      <c r="C15" s="192" t="s">
        <v>502</v>
      </c>
      <c r="D15" s="81">
        <v>1600</v>
      </c>
      <c r="E15" s="82">
        <v>3.3399999999999999E-2</v>
      </c>
      <c r="F15" s="84">
        <v>12.550072935999999</v>
      </c>
      <c r="G15" s="84">
        <v>0</v>
      </c>
      <c r="H15" s="83">
        <v>0</v>
      </c>
      <c r="I15" s="149">
        <f t="shared" ref="I15:I16" si="8">F15+G15-H15</f>
        <v>12.550072935999999</v>
      </c>
      <c r="J15" s="150">
        <v>1.8780758660000001</v>
      </c>
      <c r="K15" s="145">
        <f t="shared" si="0"/>
        <v>0.41917243606239996</v>
      </c>
      <c r="L15" s="152">
        <v>0</v>
      </c>
      <c r="M15" s="153">
        <f t="shared" si="5"/>
        <v>2.2972483020624002</v>
      </c>
      <c r="N15" s="149">
        <f t="shared" si="6"/>
        <v>10.67199707</v>
      </c>
      <c r="O15" s="149">
        <f t="shared" si="7"/>
        <v>10.2528246339376</v>
      </c>
      <c r="P15" s="193"/>
    </row>
    <row r="16" spans="2:16" ht="15.75" thickBot="1">
      <c r="B16" s="79">
        <v>8</v>
      </c>
      <c r="C16" s="192" t="s">
        <v>132</v>
      </c>
      <c r="D16" s="81">
        <v>1700</v>
      </c>
      <c r="E16" s="87">
        <v>9.5000000000000001E-2</v>
      </c>
      <c r="F16" s="84">
        <v>0</v>
      </c>
      <c r="G16" s="84">
        <v>0</v>
      </c>
      <c r="H16" s="85">
        <v>0</v>
      </c>
      <c r="I16" s="149">
        <f t="shared" si="8"/>
        <v>0</v>
      </c>
      <c r="J16" s="150">
        <v>0</v>
      </c>
      <c r="K16" s="145">
        <f t="shared" si="0"/>
        <v>0</v>
      </c>
      <c r="L16" s="152">
        <v>0</v>
      </c>
      <c r="M16" s="153">
        <f t="shared" si="5"/>
        <v>0</v>
      </c>
      <c r="N16" s="149">
        <f t="shared" si="6"/>
        <v>0</v>
      </c>
      <c r="O16" s="149">
        <f t="shared" si="7"/>
        <v>0</v>
      </c>
      <c r="P16" s="193"/>
    </row>
    <row r="17" spans="2:18" ht="15">
      <c r="B17" s="72">
        <v>9</v>
      </c>
      <c r="C17" s="192" t="s">
        <v>503</v>
      </c>
      <c r="D17" s="75">
        <v>1800</v>
      </c>
      <c r="E17" s="76">
        <v>6.3299999999999995E-2</v>
      </c>
      <c r="F17" s="78">
        <v>0.200947346</v>
      </c>
      <c r="G17" s="78">
        <v>0</v>
      </c>
      <c r="H17" s="77">
        <v>0</v>
      </c>
      <c r="I17" s="143">
        <f>F17+G17-H17</f>
        <v>0.200947346</v>
      </c>
      <c r="J17" s="144">
        <v>0.120500248</v>
      </c>
      <c r="K17" s="145">
        <f t="shared" si="0"/>
        <v>1.27199670018E-2</v>
      </c>
      <c r="L17" s="146">
        <v>0</v>
      </c>
      <c r="M17" s="147">
        <f>J17+K17-L17</f>
        <v>0.13322021500180001</v>
      </c>
      <c r="N17" s="148">
        <f>F17-J17</f>
        <v>8.0447097999999995E-2</v>
      </c>
      <c r="O17" s="148">
        <f>I17-M17</f>
        <v>6.7727130998199991E-2</v>
      </c>
      <c r="P17" s="193"/>
    </row>
    <row r="18" spans="2:18" ht="15">
      <c r="B18" s="79">
        <v>10</v>
      </c>
      <c r="C18" s="192" t="s">
        <v>504</v>
      </c>
      <c r="D18" s="81">
        <v>1900</v>
      </c>
      <c r="E18" s="82">
        <v>0.15</v>
      </c>
      <c r="F18" s="84">
        <v>0.196849198</v>
      </c>
      <c r="G18" s="84">
        <v>0</v>
      </c>
      <c r="H18" s="83">
        <v>0</v>
      </c>
      <c r="I18" s="149">
        <f>F18+G18-H18</f>
        <v>0.196849198</v>
      </c>
      <c r="J18" s="150">
        <v>0.17405868200000002</v>
      </c>
      <c r="K18" s="145">
        <f t="shared" si="0"/>
        <v>2.9527379699999998E-2</v>
      </c>
      <c r="L18" s="152">
        <v>0</v>
      </c>
      <c r="M18" s="153">
        <f t="shared" ref="M18:M19" si="9">J18+K18-L18</f>
        <v>0.20358606170000002</v>
      </c>
      <c r="N18" s="149">
        <f t="shared" ref="N18:N19" si="10">F18-J18</f>
        <v>2.2790515999999983E-2</v>
      </c>
      <c r="O18" s="149">
        <f t="shared" ref="O18:O20" si="11">I18-M18</f>
        <v>-6.736863700000012E-3</v>
      </c>
      <c r="P18" s="193"/>
    </row>
    <row r="19" spans="2:18" ht="15">
      <c r="B19" s="79">
        <v>11</v>
      </c>
      <c r="C19" s="192" t="s">
        <v>134</v>
      </c>
      <c r="D19" s="81">
        <v>2100</v>
      </c>
      <c r="E19" s="82">
        <v>6.3299999999999995E-2</v>
      </c>
      <c r="F19" s="84">
        <v>5.0584579999999997E-2</v>
      </c>
      <c r="G19" s="84">
        <v>1.9388999999999999E-3</v>
      </c>
      <c r="H19" s="83">
        <v>0</v>
      </c>
      <c r="I19" s="149">
        <f t="shared" ref="I19:I20" si="12">F19+G19-H19</f>
        <v>5.2523479999999997E-2</v>
      </c>
      <c r="J19" s="150">
        <v>1.3550764999999999E-2</v>
      </c>
      <c r="K19" s="145">
        <f t="shared" si="0"/>
        <v>3.2633700989999999E-3</v>
      </c>
      <c r="L19" s="152">
        <v>0</v>
      </c>
      <c r="M19" s="153">
        <f t="shared" si="9"/>
        <v>1.6814135099E-2</v>
      </c>
      <c r="N19" s="149">
        <f t="shared" si="10"/>
        <v>3.7033814999999998E-2</v>
      </c>
      <c r="O19" s="149">
        <f t="shared" si="11"/>
        <v>3.5709344901000001E-2</v>
      </c>
      <c r="P19" s="193"/>
    </row>
    <row r="20" spans="2:18" ht="15">
      <c r="B20" s="79"/>
      <c r="C20" s="192" t="s">
        <v>505</v>
      </c>
      <c r="D20" s="81">
        <v>2200</v>
      </c>
      <c r="E20" s="87">
        <v>0.15</v>
      </c>
      <c r="F20" s="84"/>
      <c r="G20" s="84">
        <v>0</v>
      </c>
      <c r="H20" s="85">
        <v>0</v>
      </c>
      <c r="I20" s="149">
        <f t="shared" si="12"/>
        <v>0</v>
      </c>
      <c r="J20" s="150"/>
      <c r="K20" s="145">
        <f t="shared" si="0"/>
        <v>0</v>
      </c>
      <c r="L20" s="152"/>
      <c r="M20" s="153"/>
      <c r="N20" s="149"/>
      <c r="O20" s="149">
        <f t="shared" si="11"/>
        <v>0</v>
      </c>
      <c r="Q20" s="193"/>
      <c r="R20" s="193"/>
    </row>
    <row r="21" spans="2:18" ht="15.75" thickBot="1">
      <c r="B21" s="88"/>
      <c r="C21" s="89" t="s">
        <v>139</v>
      </c>
      <c r="D21" s="89"/>
      <c r="E21" s="154">
        <f>IFERROR((K21-L21)/AVERAGE(F21,I21),0)</f>
        <v>5.1634616816989665E-2</v>
      </c>
      <c r="F21" s="155">
        <f>SUM(F9:F20)</f>
        <v>3767.7668175539998</v>
      </c>
      <c r="G21" s="155">
        <f t="shared" ref="G21:O21" si="13">SUM(G9:G20)</f>
        <v>-6.4979054770000007</v>
      </c>
      <c r="H21" s="155">
        <f t="shared" si="13"/>
        <v>0</v>
      </c>
      <c r="I21" s="155">
        <f t="shared" si="13"/>
        <v>3761.2689120770001</v>
      </c>
      <c r="J21" s="155">
        <f t="shared" si="13"/>
        <v>1082.318967485</v>
      </c>
      <c r="K21" s="155">
        <f t="shared" si="13"/>
        <v>194.37943745046041</v>
      </c>
      <c r="L21" s="155">
        <f t="shared" si="13"/>
        <v>0</v>
      </c>
      <c r="M21" s="155">
        <f t="shared" si="13"/>
        <v>1276.6984049354603</v>
      </c>
      <c r="N21" s="155">
        <f t="shared" si="13"/>
        <v>2685.4478500690002</v>
      </c>
      <c r="O21" s="155">
        <f t="shared" si="13"/>
        <v>2484.5705071415391</v>
      </c>
      <c r="P21" s="193"/>
      <c r="Q21" s="193"/>
    </row>
    <row r="22" spans="2:18" ht="15" thickBot="1">
      <c r="F22" s="193">
        <f>SUM(F9:F20)</f>
        <v>3767.7668175539998</v>
      </c>
      <c r="G22" s="5">
        <f t="shared" ref="G22:O22" si="14">SUM(G9:G20)</f>
        <v>-6.4979054770000007</v>
      </c>
      <c r="H22" s="5">
        <f t="shared" si="14"/>
        <v>0</v>
      </c>
      <c r="I22" s="5">
        <f t="shared" si="14"/>
        <v>3761.2689120770001</v>
      </c>
      <c r="J22" s="5">
        <f t="shared" si="14"/>
        <v>1082.318967485</v>
      </c>
      <c r="K22" s="5">
        <f t="shared" si="14"/>
        <v>194.37943745046041</v>
      </c>
      <c r="L22" s="5">
        <f t="shared" si="14"/>
        <v>0</v>
      </c>
      <c r="M22" s="5">
        <f t="shared" si="14"/>
        <v>1276.6984049354603</v>
      </c>
      <c r="N22" s="5">
        <f t="shared" si="14"/>
        <v>2685.4478500690002</v>
      </c>
      <c r="O22" s="5">
        <f t="shared" si="14"/>
        <v>2484.5705071415391</v>
      </c>
    </row>
    <row r="23" spans="2:18" ht="15">
      <c r="B23" s="338" t="s">
        <v>483</v>
      </c>
      <c r="C23" s="339"/>
      <c r="D23" s="339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40"/>
    </row>
    <row r="24" spans="2:18" ht="14.25" customHeight="1">
      <c r="B24" s="341" t="s">
        <v>2</v>
      </c>
      <c r="C24" s="343" t="s">
        <v>300</v>
      </c>
      <c r="D24" s="345" t="s">
        <v>288</v>
      </c>
      <c r="E24" s="345" t="s">
        <v>289</v>
      </c>
      <c r="F24" s="345" t="s">
        <v>290</v>
      </c>
      <c r="G24" s="345"/>
      <c r="H24" s="345"/>
      <c r="I24" s="345"/>
      <c r="J24" s="345" t="s">
        <v>291</v>
      </c>
      <c r="K24" s="345"/>
      <c r="L24" s="345"/>
      <c r="M24" s="345"/>
      <c r="N24" s="345" t="s">
        <v>292</v>
      </c>
      <c r="O24" s="347"/>
    </row>
    <row r="25" spans="2:18" ht="60.75" thickBot="1">
      <c r="B25" s="342"/>
      <c r="C25" s="344"/>
      <c r="D25" s="346"/>
      <c r="E25" s="346"/>
      <c r="F25" s="73" t="s">
        <v>293</v>
      </c>
      <c r="G25" s="73" t="s">
        <v>138</v>
      </c>
      <c r="H25" s="73" t="s">
        <v>294</v>
      </c>
      <c r="I25" s="73" t="s">
        <v>295</v>
      </c>
      <c r="J25" s="73" t="s">
        <v>296</v>
      </c>
      <c r="K25" s="73" t="s">
        <v>138</v>
      </c>
      <c r="L25" s="73" t="s">
        <v>297</v>
      </c>
      <c r="M25" s="73" t="s">
        <v>298</v>
      </c>
      <c r="N25" s="73" t="s">
        <v>293</v>
      </c>
      <c r="O25" s="74" t="s">
        <v>295</v>
      </c>
    </row>
    <row r="26" spans="2:18" ht="15.75" thickBot="1">
      <c r="B26" s="50">
        <v>1</v>
      </c>
      <c r="C26" s="235" t="s">
        <v>498</v>
      </c>
      <c r="D26" s="50">
        <v>1000</v>
      </c>
      <c r="E26" s="50">
        <v>0</v>
      </c>
      <c r="F26" s="143">
        <f>I9</f>
        <v>0</v>
      </c>
      <c r="G26" s="78">
        <v>0</v>
      </c>
      <c r="H26" s="77"/>
      <c r="I26" s="143">
        <f>F26+G26-H26</f>
        <v>0</v>
      </c>
      <c r="J26" s="144">
        <f>M9</f>
        <v>0</v>
      </c>
      <c r="K26" s="145">
        <f>AVERAGE(F26,I26)*E26</f>
        <v>0</v>
      </c>
      <c r="L26" s="146"/>
      <c r="M26" s="147">
        <f>J26+K26-L26</f>
        <v>0</v>
      </c>
      <c r="N26" s="148">
        <f>F26-J26</f>
        <v>0</v>
      </c>
      <c r="O26" s="148">
        <f>I26-M26</f>
        <v>0</v>
      </c>
    </row>
    <row r="27" spans="2:18" ht="15.75" thickBot="1">
      <c r="B27" s="50">
        <f>+B26+1</f>
        <v>2</v>
      </c>
      <c r="C27" s="235" t="s">
        <v>128</v>
      </c>
      <c r="D27" s="50">
        <v>1100</v>
      </c>
      <c r="E27" s="236">
        <v>3.3399999999999999E-2</v>
      </c>
      <c r="F27" s="143">
        <f t="shared" ref="F27:F37" si="15">I10</f>
        <v>214.80770280499999</v>
      </c>
      <c r="G27" s="84">
        <v>0</v>
      </c>
      <c r="H27" s="83"/>
      <c r="I27" s="149">
        <f>F27+G27-H27</f>
        <v>214.80770280499999</v>
      </c>
      <c r="J27" s="144">
        <f t="shared" ref="J27:J37" si="16">M10</f>
        <v>32.772203190625198</v>
      </c>
      <c r="K27" s="151">
        <f t="shared" ref="K27:K37" si="17">AVERAGE(F27,I27)*E27</f>
        <v>7.1745772736869995</v>
      </c>
      <c r="L27" s="152"/>
      <c r="M27" s="153">
        <f t="shared" ref="M27:M28" si="18">J27+K27-L27</f>
        <v>39.946780464312198</v>
      </c>
      <c r="N27" s="149">
        <f t="shared" ref="N27:N29" si="19">F27-J27</f>
        <v>182.0354996143748</v>
      </c>
      <c r="O27" s="149">
        <f t="shared" ref="O27:O29" si="20">I27-M27</f>
        <v>174.86092234068781</v>
      </c>
    </row>
    <row r="28" spans="2:18" ht="15.75" thickBot="1">
      <c r="B28" s="50">
        <f t="shared" ref="B28:B36" si="21">+B27+1</f>
        <v>3</v>
      </c>
      <c r="C28" s="235" t="s">
        <v>527</v>
      </c>
      <c r="D28" s="50">
        <v>1200</v>
      </c>
      <c r="E28" s="236">
        <v>5.28E-2</v>
      </c>
      <c r="F28" s="143">
        <f t="shared" si="15"/>
        <v>68.390140982000005</v>
      </c>
      <c r="G28" s="84">
        <v>0</v>
      </c>
      <c r="H28" s="83"/>
      <c r="I28" s="149">
        <f t="shared" ref="I28:I29" si="22">F28+G28-H28</f>
        <v>68.390140982000005</v>
      </c>
      <c r="J28" s="144">
        <f t="shared" si="16"/>
        <v>28.383934281849601</v>
      </c>
      <c r="K28" s="151">
        <f t="shared" si="17"/>
        <v>3.6109994438496003</v>
      </c>
      <c r="L28" s="152"/>
      <c r="M28" s="153">
        <f t="shared" si="18"/>
        <v>31.994933725699202</v>
      </c>
      <c r="N28" s="149">
        <f t="shared" si="19"/>
        <v>40.0062067001504</v>
      </c>
      <c r="O28" s="149">
        <f t="shared" si="20"/>
        <v>36.395207256300807</v>
      </c>
    </row>
    <row r="29" spans="2:18" ht="15.75" thickBot="1">
      <c r="B29" s="50">
        <f t="shared" si="21"/>
        <v>4</v>
      </c>
      <c r="C29" s="235" t="s">
        <v>127</v>
      </c>
      <c r="D29" s="50">
        <v>1300</v>
      </c>
      <c r="E29" s="236">
        <v>5.28E-2</v>
      </c>
      <c r="F29" s="143">
        <f t="shared" si="15"/>
        <v>2754.2310629569997</v>
      </c>
      <c r="G29" s="84">
        <v>1.56</v>
      </c>
      <c r="H29" s="85"/>
      <c r="I29" s="149">
        <f t="shared" si="22"/>
        <v>2755.7910629569997</v>
      </c>
      <c r="J29" s="144">
        <f t="shared" si="16"/>
        <v>906.568131266828</v>
      </c>
      <c r="K29" s="151">
        <f t="shared" si="17"/>
        <v>145.4645841241296</v>
      </c>
      <c r="L29" s="152"/>
      <c r="M29" s="151">
        <f>J29+K29-L29</f>
        <v>1052.0327153909575</v>
      </c>
      <c r="N29" s="149">
        <f t="shared" si="19"/>
        <v>1847.6629316901717</v>
      </c>
      <c r="O29" s="149">
        <f t="shared" si="20"/>
        <v>1703.7583475660422</v>
      </c>
    </row>
    <row r="30" spans="2:18" ht="15.75" thickBot="1">
      <c r="B30" s="50">
        <f t="shared" si="21"/>
        <v>5</v>
      </c>
      <c r="C30" s="235" t="s">
        <v>500</v>
      </c>
      <c r="D30" s="50">
        <v>1400</v>
      </c>
      <c r="E30" s="236">
        <v>5.28E-2</v>
      </c>
      <c r="F30" s="143">
        <f t="shared" si="15"/>
        <v>167.79792853499998</v>
      </c>
      <c r="G30" s="78">
        <v>4.900576139</v>
      </c>
      <c r="H30" s="77"/>
      <c r="I30" s="143">
        <f>F30+G30-H30</f>
        <v>172.69850467399999</v>
      </c>
      <c r="J30" s="144">
        <f t="shared" si="16"/>
        <v>62.74437534564801</v>
      </c>
      <c r="K30" s="151">
        <f t="shared" si="17"/>
        <v>8.9891058367175987</v>
      </c>
      <c r="L30" s="146"/>
      <c r="M30" s="147">
        <f>J30+K30-L30</f>
        <v>71.733481182365608</v>
      </c>
      <c r="N30" s="148">
        <f>F30-J30</f>
        <v>105.05355318935197</v>
      </c>
      <c r="O30" s="148">
        <f>I30-M30</f>
        <v>100.96502349163438</v>
      </c>
    </row>
    <row r="31" spans="2:18" ht="15.75" thickBot="1">
      <c r="B31" s="50">
        <f t="shared" si="21"/>
        <v>6</v>
      </c>
      <c r="C31" s="235" t="s">
        <v>501</v>
      </c>
      <c r="D31" s="50">
        <v>1500</v>
      </c>
      <c r="E31" s="236">
        <v>5.28E-2</v>
      </c>
      <c r="F31" s="143">
        <f t="shared" si="15"/>
        <v>543.04168383800004</v>
      </c>
      <c r="G31" s="84">
        <v>0</v>
      </c>
      <c r="H31" s="83"/>
      <c r="I31" s="149">
        <f>F31+G31-H31</f>
        <v>543.04168383800004</v>
      </c>
      <c r="J31" s="144">
        <f t="shared" si="16"/>
        <v>243.5788921366464</v>
      </c>
      <c r="K31" s="151">
        <f t="shared" si="17"/>
        <v>28.672600906646402</v>
      </c>
      <c r="L31" s="152"/>
      <c r="M31" s="153">
        <f t="shared" ref="M31:M33" si="23">J31+K31-L31</f>
        <v>272.25149304329278</v>
      </c>
      <c r="N31" s="149">
        <f t="shared" ref="N31:N33" si="24">F31-J31</f>
        <v>299.46279170135364</v>
      </c>
      <c r="O31" s="149">
        <f t="shared" ref="O31:O33" si="25">I31-M31</f>
        <v>270.79019079470726</v>
      </c>
    </row>
    <row r="32" spans="2:18" ht="15.75" thickBot="1">
      <c r="B32" s="50">
        <f t="shared" si="21"/>
        <v>7</v>
      </c>
      <c r="C32" s="235" t="s">
        <v>502</v>
      </c>
      <c r="D32" s="50">
        <v>1600</v>
      </c>
      <c r="E32" s="236">
        <v>3.3399999999999999E-2</v>
      </c>
      <c r="F32" s="143">
        <f t="shared" si="15"/>
        <v>12.550072935999999</v>
      </c>
      <c r="G32" s="84">
        <v>1.6963839710000002</v>
      </c>
      <c r="H32" s="83"/>
      <c r="I32" s="149">
        <f t="shared" ref="I32:I33" si="26">F32+G32-H32</f>
        <v>14.246456906999999</v>
      </c>
      <c r="J32" s="144">
        <f t="shared" si="16"/>
        <v>2.2972483020624002</v>
      </c>
      <c r="K32" s="151">
        <f t="shared" si="17"/>
        <v>0.44750204837809998</v>
      </c>
      <c r="L32" s="152"/>
      <c r="M32" s="153">
        <f t="shared" si="23"/>
        <v>2.7447503504405</v>
      </c>
      <c r="N32" s="149">
        <f t="shared" si="24"/>
        <v>10.2528246339376</v>
      </c>
      <c r="O32" s="149">
        <f t="shared" si="25"/>
        <v>11.501706556559499</v>
      </c>
    </row>
    <row r="33" spans="2:16" ht="15.75" thickBot="1">
      <c r="B33" s="50">
        <f t="shared" si="21"/>
        <v>8</v>
      </c>
      <c r="C33" s="237" t="s">
        <v>132</v>
      </c>
      <c r="D33" s="50">
        <v>1700</v>
      </c>
      <c r="E33" s="236">
        <v>9.5000000000000001E-2</v>
      </c>
      <c r="F33" s="143">
        <f t="shared" si="15"/>
        <v>0</v>
      </c>
      <c r="G33" s="84">
        <v>0</v>
      </c>
      <c r="H33" s="85"/>
      <c r="I33" s="149">
        <f t="shared" si="26"/>
        <v>0</v>
      </c>
      <c r="J33" s="144">
        <f t="shared" si="16"/>
        <v>0</v>
      </c>
      <c r="K33" s="151">
        <f t="shared" si="17"/>
        <v>0</v>
      </c>
      <c r="L33" s="152"/>
      <c r="M33" s="153">
        <f t="shared" si="23"/>
        <v>0</v>
      </c>
      <c r="N33" s="149">
        <f t="shared" si="24"/>
        <v>0</v>
      </c>
      <c r="O33" s="149">
        <f t="shared" si="25"/>
        <v>0</v>
      </c>
    </row>
    <row r="34" spans="2:16" ht="15.75" thickBot="1">
      <c r="B34" s="50">
        <f t="shared" si="21"/>
        <v>9</v>
      </c>
      <c r="C34" s="235" t="s">
        <v>503</v>
      </c>
      <c r="D34" s="50">
        <v>1800</v>
      </c>
      <c r="E34" s="236">
        <v>6.3299999999999995E-2</v>
      </c>
      <c r="F34" s="143">
        <f t="shared" si="15"/>
        <v>0.200947346</v>
      </c>
      <c r="G34" s="78">
        <v>3.2089156000000001E-2</v>
      </c>
      <c r="H34" s="77"/>
      <c r="I34" s="143">
        <f>F34+G34-H34</f>
        <v>0.23303650200000001</v>
      </c>
      <c r="J34" s="144">
        <f t="shared" si="16"/>
        <v>0.13322021500180001</v>
      </c>
      <c r="K34" s="151">
        <f t="shared" si="17"/>
        <v>1.3735588789199999E-2</v>
      </c>
      <c r="L34" s="146"/>
      <c r="M34" s="147">
        <f>J34+K34-L34</f>
        <v>0.14695580379100001</v>
      </c>
      <c r="N34" s="148">
        <f>F34-J34</f>
        <v>6.7727130998199991E-2</v>
      </c>
      <c r="O34" s="148">
        <f>I34-M34</f>
        <v>8.6080698208999995E-2</v>
      </c>
    </row>
    <row r="35" spans="2:16" ht="15.75" thickBot="1">
      <c r="B35" s="50">
        <f t="shared" si="21"/>
        <v>10</v>
      </c>
      <c r="C35" s="235" t="s">
        <v>504</v>
      </c>
      <c r="D35" s="50">
        <v>1900</v>
      </c>
      <c r="E35" s="238">
        <v>0.15</v>
      </c>
      <c r="F35" s="143">
        <f t="shared" si="15"/>
        <v>0.196849198</v>
      </c>
      <c r="G35" s="84">
        <v>0</v>
      </c>
      <c r="H35" s="83"/>
      <c r="I35" s="149">
        <f>F35+G35-H35</f>
        <v>0.196849198</v>
      </c>
      <c r="J35" s="144">
        <f>M18</f>
        <v>0.20358606170000002</v>
      </c>
      <c r="K35" s="151">
        <f t="shared" si="17"/>
        <v>2.9527379699999998E-2</v>
      </c>
      <c r="L35" s="152"/>
      <c r="M35" s="153">
        <f t="shared" ref="M35:M36" si="27">J35+K35-L35</f>
        <v>0.23311344140000001</v>
      </c>
      <c r="N35" s="149">
        <f t="shared" ref="N35:N36" si="28">F35-J35</f>
        <v>-6.736863700000012E-3</v>
      </c>
      <c r="O35" s="149">
        <f t="shared" ref="O35:O36" si="29">I35-M35</f>
        <v>-3.6264243400000007E-2</v>
      </c>
    </row>
    <row r="36" spans="2:16" ht="15.75" thickBot="1">
      <c r="B36" s="50">
        <f t="shared" si="21"/>
        <v>11</v>
      </c>
      <c r="C36" s="235" t="s">
        <v>134</v>
      </c>
      <c r="D36" s="50">
        <v>2100</v>
      </c>
      <c r="E36" s="236">
        <v>6.3299999999999995E-2</v>
      </c>
      <c r="F36" s="143">
        <f t="shared" si="15"/>
        <v>5.2523479999999997E-2</v>
      </c>
      <c r="G36" s="84">
        <v>0</v>
      </c>
      <c r="H36" s="83"/>
      <c r="I36" s="149">
        <f t="shared" ref="I36" si="30">F36+G36-H36</f>
        <v>5.2523479999999997E-2</v>
      </c>
      <c r="J36" s="144">
        <f t="shared" si="16"/>
        <v>1.6814135099E-2</v>
      </c>
      <c r="K36" s="151">
        <f t="shared" si="17"/>
        <v>3.3247362839999997E-3</v>
      </c>
      <c r="L36" s="152"/>
      <c r="M36" s="153">
        <f t="shared" si="27"/>
        <v>2.0138871382999999E-2</v>
      </c>
      <c r="N36" s="149">
        <f t="shared" si="28"/>
        <v>3.5709344901000001E-2</v>
      </c>
      <c r="O36" s="149">
        <f t="shared" si="29"/>
        <v>3.2384608617000002E-2</v>
      </c>
    </row>
    <row r="37" spans="2:16" ht="15">
      <c r="B37" s="183">
        <v>12</v>
      </c>
      <c r="C37" s="239" t="s">
        <v>505</v>
      </c>
      <c r="D37" s="182">
        <v>2200</v>
      </c>
      <c r="E37" s="240">
        <v>0.15</v>
      </c>
      <c r="F37" s="143">
        <f t="shared" si="15"/>
        <v>0</v>
      </c>
      <c r="G37" s="84">
        <v>0</v>
      </c>
      <c r="H37" s="85"/>
      <c r="I37" s="149"/>
      <c r="J37" s="144">
        <f t="shared" si="16"/>
        <v>0</v>
      </c>
      <c r="K37" s="151">
        <f t="shared" si="17"/>
        <v>0</v>
      </c>
      <c r="L37" s="152"/>
      <c r="M37" s="153"/>
      <c r="N37" s="149"/>
      <c r="O37" s="149"/>
    </row>
    <row r="38" spans="2:16" ht="15.75" thickBot="1">
      <c r="B38" s="88"/>
      <c r="C38" s="89" t="s">
        <v>139</v>
      </c>
      <c r="D38" s="89"/>
      <c r="E38" s="154">
        <f>IFERROR((K38-L38)/AVERAGE(F38,I38),0)</f>
        <v>5.1630064562385079E-2</v>
      </c>
      <c r="F38" s="155">
        <f>SUM(F26:F37)</f>
        <v>3761.2689120770001</v>
      </c>
      <c r="G38" s="155">
        <f t="shared" ref="G38:H38" si="31">SUM(G26:G37)</f>
        <v>8.1890492659999996</v>
      </c>
      <c r="H38" s="155">
        <f t="shared" si="31"/>
        <v>0</v>
      </c>
      <c r="I38" s="155">
        <f>F38+G38</f>
        <v>3769.4579613430001</v>
      </c>
      <c r="J38" s="155">
        <f>SUM(J26:J37)</f>
        <v>1276.6984049354603</v>
      </c>
      <c r="K38" s="155">
        <f>SUM(K26:K37)</f>
        <v>194.40595733818148</v>
      </c>
      <c r="L38" s="155">
        <f t="shared" ref="L38" si="32">SUM(L26:L37)</f>
        <v>0</v>
      </c>
      <c r="M38" s="155">
        <f>J38+K38</f>
        <v>1471.1043622736418</v>
      </c>
      <c r="N38" s="155">
        <f>SUM(N26:N37)</f>
        <v>2484.5705071415391</v>
      </c>
      <c r="O38" s="155">
        <f t="shared" ref="O38" si="33">SUM(O26:O37)</f>
        <v>2298.3535990693576</v>
      </c>
    </row>
    <row r="39" spans="2:16" ht="15" thickBot="1">
      <c r="F39" s="193">
        <f>SUM(F26:F37)</f>
        <v>3761.2689120770001</v>
      </c>
      <c r="G39" s="5">
        <f t="shared" ref="G39:O39" si="34">SUM(G26:G37)</f>
        <v>8.1890492659999996</v>
      </c>
      <c r="H39" s="5">
        <f t="shared" si="34"/>
        <v>0</v>
      </c>
      <c r="I39" s="5">
        <f t="shared" si="34"/>
        <v>3769.4579613430001</v>
      </c>
      <c r="J39" s="5">
        <f t="shared" si="34"/>
        <v>1276.6984049354603</v>
      </c>
      <c r="K39" s="5">
        <f t="shared" si="34"/>
        <v>194.40595733818148</v>
      </c>
      <c r="L39" s="5">
        <f t="shared" si="34"/>
        <v>0</v>
      </c>
      <c r="M39" s="5">
        <f t="shared" si="34"/>
        <v>1471.1043622736418</v>
      </c>
      <c r="N39" s="5">
        <f t="shared" si="34"/>
        <v>2484.5705071415391</v>
      </c>
      <c r="O39" s="5">
        <f t="shared" si="34"/>
        <v>2298.3535990693576</v>
      </c>
    </row>
    <row r="40" spans="2:16" ht="15">
      <c r="B40" s="338" t="s">
        <v>484</v>
      </c>
      <c r="C40" s="339"/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40"/>
    </row>
    <row r="41" spans="2:16" ht="15">
      <c r="B41" s="341" t="s">
        <v>2</v>
      </c>
      <c r="C41" s="343" t="s">
        <v>300</v>
      </c>
      <c r="D41" s="345" t="s">
        <v>288</v>
      </c>
      <c r="E41" s="345" t="s">
        <v>289</v>
      </c>
      <c r="F41" s="345" t="s">
        <v>290</v>
      </c>
      <c r="G41" s="345"/>
      <c r="H41" s="345"/>
      <c r="I41" s="345"/>
      <c r="J41" s="345" t="s">
        <v>291</v>
      </c>
      <c r="K41" s="345"/>
      <c r="L41" s="345"/>
      <c r="M41" s="345"/>
      <c r="N41" s="345" t="s">
        <v>292</v>
      </c>
      <c r="O41" s="347"/>
    </row>
    <row r="42" spans="2:16" ht="60.75" thickBot="1">
      <c r="B42" s="342"/>
      <c r="C42" s="344"/>
      <c r="D42" s="346"/>
      <c r="E42" s="346"/>
      <c r="F42" s="73" t="s">
        <v>293</v>
      </c>
      <c r="G42" s="73" t="s">
        <v>138</v>
      </c>
      <c r="H42" s="73" t="s">
        <v>294</v>
      </c>
      <c r="I42" s="73" t="s">
        <v>295</v>
      </c>
      <c r="J42" s="73" t="s">
        <v>296</v>
      </c>
      <c r="K42" s="73" t="s">
        <v>138</v>
      </c>
      <c r="L42" s="73" t="s">
        <v>297</v>
      </c>
      <c r="M42" s="73" t="s">
        <v>298</v>
      </c>
      <c r="N42" s="73" t="s">
        <v>293</v>
      </c>
      <c r="O42" s="74" t="s">
        <v>295</v>
      </c>
    </row>
    <row r="43" spans="2:16" ht="15">
      <c r="B43" s="72">
        <v>1</v>
      </c>
      <c r="C43" s="86" t="s">
        <v>498</v>
      </c>
      <c r="D43" s="75">
        <v>1000</v>
      </c>
      <c r="E43" s="76">
        <v>0</v>
      </c>
      <c r="F43" s="143">
        <f t="shared" ref="F43:F54" si="35">I26</f>
        <v>0</v>
      </c>
      <c r="G43" s="78"/>
      <c r="H43" s="77"/>
      <c r="I43" s="143">
        <f>F43+G43-H43</f>
        <v>0</v>
      </c>
      <c r="J43" s="144">
        <f>M26</f>
        <v>0</v>
      </c>
      <c r="K43" s="145">
        <f>AVERAGE(F43,I43)*E43</f>
        <v>0</v>
      </c>
      <c r="L43" s="146"/>
      <c r="M43" s="147">
        <f>J43+K43-L43</f>
        <v>0</v>
      </c>
      <c r="N43" s="148">
        <f>F43-J43</f>
        <v>0</v>
      </c>
      <c r="O43" s="148">
        <f>I43-M43</f>
        <v>0</v>
      </c>
    </row>
    <row r="44" spans="2:16" ht="15">
      <c r="B44" s="79">
        <v>2</v>
      </c>
      <c r="C44" s="80" t="s">
        <v>128</v>
      </c>
      <c r="D44" s="81">
        <v>1100</v>
      </c>
      <c r="E44" s="82">
        <v>3.3399999999999999E-2</v>
      </c>
      <c r="F44" s="149">
        <f t="shared" si="35"/>
        <v>214.80770280499999</v>
      </c>
      <c r="G44" s="84"/>
      <c r="H44" s="83"/>
      <c r="I44" s="149">
        <f>F44+G44-H44</f>
        <v>214.80770280499999</v>
      </c>
      <c r="J44" s="150">
        <f t="shared" ref="J44:J54" si="36">M27</f>
        <v>39.946780464312198</v>
      </c>
      <c r="K44" s="151">
        <f t="shared" ref="K44:K45" si="37">AVERAGE(F44,I44)*E44</f>
        <v>7.1745772736869995</v>
      </c>
      <c r="L44" s="152"/>
      <c r="M44" s="153">
        <f t="shared" ref="M44:M46" si="38">J44+K44-L44</f>
        <v>47.121357737999197</v>
      </c>
      <c r="N44" s="149">
        <f t="shared" ref="N44:N46" si="39">F44-J44</f>
        <v>174.86092234068781</v>
      </c>
      <c r="O44" s="149">
        <f t="shared" ref="O44:O46" si="40">I44-M44</f>
        <v>167.68634506700079</v>
      </c>
    </row>
    <row r="45" spans="2:16" ht="15">
      <c r="B45" s="79">
        <v>3</v>
      </c>
      <c r="C45" s="86" t="s">
        <v>499</v>
      </c>
      <c r="D45" s="81">
        <v>1200</v>
      </c>
      <c r="E45" s="82">
        <v>5.28E-2</v>
      </c>
      <c r="F45" s="149">
        <f t="shared" si="35"/>
        <v>68.390140982000005</v>
      </c>
      <c r="G45" s="84"/>
      <c r="H45" s="83"/>
      <c r="I45" s="149">
        <f t="shared" ref="I45:I46" si="41">F45+G45-H45</f>
        <v>68.390140982000005</v>
      </c>
      <c r="J45" s="150">
        <f t="shared" si="36"/>
        <v>31.994933725699202</v>
      </c>
      <c r="K45" s="151">
        <f t="shared" si="37"/>
        <v>3.6109994438496003</v>
      </c>
      <c r="L45" s="152"/>
      <c r="M45" s="153">
        <f t="shared" si="38"/>
        <v>35.605933169548805</v>
      </c>
      <c r="N45" s="149">
        <f t="shared" si="39"/>
        <v>36.395207256300807</v>
      </c>
      <c r="O45" s="149">
        <f t="shared" si="40"/>
        <v>32.7842078124512</v>
      </c>
    </row>
    <row r="46" spans="2:16" ht="15.75" thickBot="1">
      <c r="B46" s="79">
        <v>4</v>
      </c>
      <c r="C46" s="192" t="s">
        <v>127</v>
      </c>
      <c r="D46" s="81">
        <v>1300</v>
      </c>
      <c r="E46" s="87">
        <v>5.28E-2</v>
      </c>
      <c r="F46" s="149">
        <f t="shared" si="35"/>
        <v>2755.7910629569997</v>
      </c>
      <c r="G46" s="84">
        <v>3.3499999999999996</v>
      </c>
      <c r="H46" s="85"/>
      <c r="I46" s="149">
        <f t="shared" si="41"/>
        <v>2759.1410629569996</v>
      </c>
      <c r="J46" s="150">
        <f t="shared" si="36"/>
        <v>1052.0327153909575</v>
      </c>
      <c r="K46" s="151">
        <v>63.92398872501316</v>
      </c>
      <c r="L46" s="152"/>
      <c r="M46" s="153">
        <f t="shared" si="38"/>
        <v>1115.9567041159708</v>
      </c>
      <c r="N46" s="149">
        <f t="shared" si="39"/>
        <v>1703.7583475660422</v>
      </c>
      <c r="O46" s="149">
        <f t="shared" si="40"/>
        <v>1643.1843588410288</v>
      </c>
    </row>
    <row r="47" spans="2:16" ht="15">
      <c r="B47" s="72">
        <v>5</v>
      </c>
      <c r="C47" s="192" t="s">
        <v>500</v>
      </c>
      <c r="D47" s="75">
        <v>1400</v>
      </c>
      <c r="E47" s="76">
        <v>5.28E-2</v>
      </c>
      <c r="F47" s="143">
        <f t="shared" si="35"/>
        <v>172.69850467399999</v>
      </c>
      <c r="G47" s="78"/>
      <c r="H47" s="77"/>
      <c r="I47" s="143">
        <f>F47+G47-H47</f>
        <v>172.69850467399999</v>
      </c>
      <c r="J47" s="144">
        <f t="shared" si="36"/>
        <v>71.733481182365608</v>
      </c>
      <c r="K47" s="145">
        <f>AVERAGE(F47,I47)*E47</f>
        <v>9.1184810467871991</v>
      </c>
      <c r="L47" s="146"/>
      <c r="M47" s="147">
        <f>J47+K47-L47</f>
        <v>80.851962229152804</v>
      </c>
      <c r="N47" s="148">
        <f>F47-J47</f>
        <v>100.96502349163438</v>
      </c>
      <c r="O47" s="148">
        <f>I47-M47</f>
        <v>91.846542444847188</v>
      </c>
      <c r="P47" s="193"/>
    </row>
    <row r="48" spans="2:16" ht="15">
      <c r="B48" s="79">
        <v>6</v>
      </c>
      <c r="C48" s="192" t="s">
        <v>501</v>
      </c>
      <c r="D48" s="81">
        <v>1500</v>
      </c>
      <c r="E48" s="82">
        <v>5.28E-2</v>
      </c>
      <c r="F48" s="149">
        <f t="shared" si="35"/>
        <v>543.04168383800004</v>
      </c>
      <c r="G48" s="84"/>
      <c r="H48" s="83"/>
      <c r="I48" s="149">
        <f>F48+G48-H48</f>
        <v>543.04168383800004</v>
      </c>
      <c r="J48" s="150">
        <f t="shared" si="36"/>
        <v>272.25149304329278</v>
      </c>
      <c r="K48" s="151">
        <f t="shared" ref="K48:K50" si="42">AVERAGE(F48,I48)*E48</f>
        <v>28.672600906646402</v>
      </c>
      <c r="L48" s="152"/>
      <c r="M48" s="153">
        <f t="shared" ref="M48:M50" si="43">J48+K48-L48</f>
        <v>300.92409394993916</v>
      </c>
      <c r="N48" s="149">
        <f t="shared" ref="N48:N50" si="44">F48-J48</f>
        <v>270.79019079470726</v>
      </c>
      <c r="O48" s="149">
        <f t="shared" ref="O48:O50" si="45">I48-M48</f>
        <v>242.11758988806088</v>
      </c>
      <c r="P48" s="193"/>
    </row>
    <row r="49" spans="2:15" ht="15">
      <c r="B49" s="79">
        <v>7</v>
      </c>
      <c r="C49" s="192" t="s">
        <v>502</v>
      </c>
      <c r="D49" s="81">
        <v>1600</v>
      </c>
      <c r="E49" s="82">
        <v>3.3399999999999999E-2</v>
      </c>
      <c r="F49" s="149">
        <f t="shared" si="35"/>
        <v>14.246456906999999</v>
      </c>
      <c r="G49" s="84"/>
      <c r="H49" s="83"/>
      <c r="I49" s="149">
        <f t="shared" ref="I49:I50" si="46">F49+G49-H49</f>
        <v>14.246456906999999</v>
      </c>
      <c r="J49" s="150">
        <f t="shared" si="36"/>
        <v>2.7447503504405</v>
      </c>
      <c r="K49" s="151">
        <f t="shared" si="42"/>
        <v>0.47583166069379995</v>
      </c>
      <c r="L49" s="152"/>
      <c r="M49" s="153">
        <f t="shared" si="43"/>
        <v>3.2205820111343</v>
      </c>
      <c r="N49" s="149">
        <f t="shared" si="44"/>
        <v>11.501706556559499</v>
      </c>
      <c r="O49" s="149">
        <f t="shared" si="45"/>
        <v>11.025874895865698</v>
      </c>
    </row>
    <row r="50" spans="2:15" ht="15.75" thickBot="1">
      <c r="B50" s="79">
        <v>8</v>
      </c>
      <c r="C50" s="192" t="s">
        <v>132</v>
      </c>
      <c r="D50" s="81">
        <v>1700</v>
      </c>
      <c r="E50" s="87">
        <v>9.5000000000000001E-2</v>
      </c>
      <c r="F50" s="149">
        <f t="shared" si="35"/>
        <v>0</v>
      </c>
      <c r="G50" s="84"/>
      <c r="H50" s="85"/>
      <c r="I50" s="149">
        <f t="shared" si="46"/>
        <v>0</v>
      </c>
      <c r="J50" s="150">
        <f t="shared" si="36"/>
        <v>0</v>
      </c>
      <c r="K50" s="151">
        <f t="shared" si="42"/>
        <v>0</v>
      </c>
      <c r="L50" s="152"/>
      <c r="M50" s="153">
        <f t="shared" si="43"/>
        <v>0</v>
      </c>
      <c r="N50" s="149">
        <f t="shared" si="44"/>
        <v>0</v>
      </c>
      <c r="O50" s="149">
        <f t="shared" si="45"/>
        <v>0</v>
      </c>
    </row>
    <row r="51" spans="2:15" ht="15">
      <c r="B51" s="72">
        <v>9</v>
      </c>
      <c r="C51" s="192" t="s">
        <v>503</v>
      </c>
      <c r="D51" s="75">
        <v>1800</v>
      </c>
      <c r="E51" s="76">
        <v>6.3299999999999995E-2</v>
      </c>
      <c r="F51" s="143">
        <f t="shared" si="35"/>
        <v>0.23303650200000001</v>
      </c>
      <c r="G51" s="78"/>
      <c r="H51" s="77"/>
      <c r="I51" s="143">
        <f>F51+G51-H51</f>
        <v>0.23303650200000001</v>
      </c>
      <c r="J51" s="144">
        <f t="shared" si="36"/>
        <v>0.14695580379100001</v>
      </c>
      <c r="K51" s="145">
        <f>AVERAGE(F51,I51)*E51</f>
        <v>1.4751210576599999E-2</v>
      </c>
      <c r="L51" s="146"/>
      <c r="M51" s="147">
        <f>J51+K51-L51</f>
        <v>0.16170701436760002</v>
      </c>
      <c r="N51" s="148">
        <f>F51-J51</f>
        <v>8.6080698208999995E-2</v>
      </c>
      <c r="O51" s="148">
        <f>I51-M51</f>
        <v>7.132948763239999E-2</v>
      </c>
    </row>
    <row r="52" spans="2:15" ht="15">
      <c r="B52" s="79">
        <v>10</v>
      </c>
      <c r="C52" s="192" t="s">
        <v>504</v>
      </c>
      <c r="D52" s="81">
        <v>1900</v>
      </c>
      <c r="E52" s="82">
        <v>0.15</v>
      </c>
      <c r="F52" s="149">
        <f t="shared" si="35"/>
        <v>0.196849198</v>
      </c>
      <c r="G52" s="84"/>
      <c r="H52" s="83"/>
      <c r="I52" s="149">
        <f>F52+G52-H52</f>
        <v>0.196849198</v>
      </c>
      <c r="J52" s="150">
        <f t="shared" si="36"/>
        <v>0.23311344140000001</v>
      </c>
      <c r="K52" s="151">
        <f t="shared" ref="K52:K54" si="47">AVERAGE(F52,I52)*E52</f>
        <v>2.9527379699999998E-2</v>
      </c>
      <c r="L52" s="152"/>
      <c r="M52" s="153">
        <f t="shared" ref="M52:M54" si="48">J52+K52-L52</f>
        <v>0.26264082110000003</v>
      </c>
      <c r="N52" s="149">
        <f t="shared" ref="N52:N54" si="49">F52-J52</f>
        <v>-3.6264243400000007E-2</v>
      </c>
      <c r="O52" s="149">
        <f t="shared" ref="O52:O54" si="50">I52-M52</f>
        <v>-6.579162310000003E-2</v>
      </c>
    </row>
    <row r="53" spans="2:15" ht="15">
      <c r="B53" s="79">
        <v>11</v>
      </c>
      <c r="C53" s="192" t="s">
        <v>134</v>
      </c>
      <c r="D53" s="81">
        <v>2100</v>
      </c>
      <c r="E53" s="82">
        <v>6.3299999999999995E-2</v>
      </c>
      <c r="F53" s="149">
        <f t="shared" si="35"/>
        <v>5.2523479999999997E-2</v>
      </c>
      <c r="G53" s="84"/>
      <c r="H53" s="83"/>
      <c r="I53" s="149">
        <f t="shared" ref="I53:I54" si="51">F53+G53-H53</f>
        <v>5.2523479999999997E-2</v>
      </c>
      <c r="J53" s="150">
        <f t="shared" si="36"/>
        <v>2.0138871382999999E-2</v>
      </c>
      <c r="K53" s="151">
        <f t="shared" si="47"/>
        <v>3.3247362839999997E-3</v>
      </c>
      <c r="L53" s="152"/>
      <c r="M53" s="153">
        <f t="shared" si="48"/>
        <v>2.3463607666999998E-2</v>
      </c>
      <c r="N53" s="149">
        <f t="shared" si="49"/>
        <v>3.2384608617000002E-2</v>
      </c>
      <c r="O53" s="149">
        <f t="shared" si="50"/>
        <v>2.9059872333E-2</v>
      </c>
    </row>
    <row r="54" spans="2:15" ht="15">
      <c r="B54" s="79"/>
      <c r="C54" s="192" t="s">
        <v>505</v>
      </c>
      <c r="D54" s="81">
        <v>2200</v>
      </c>
      <c r="E54" s="87">
        <v>0</v>
      </c>
      <c r="F54" s="149">
        <f t="shared" si="35"/>
        <v>0</v>
      </c>
      <c r="G54" s="189"/>
      <c r="H54" s="85"/>
      <c r="I54" s="149">
        <f t="shared" si="51"/>
        <v>0</v>
      </c>
      <c r="J54" s="150">
        <f t="shared" si="36"/>
        <v>0</v>
      </c>
      <c r="K54" s="151">
        <f t="shared" si="47"/>
        <v>0</v>
      </c>
      <c r="L54" s="152"/>
      <c r="M54" s="153">
        <f t="shared" si="48"/>
        <v>0</v>
      </c>
      <c r="N54" s="149">
        <f t="shared" si="49"/>
        <v>0</v>
      </c>
      <c r="O54" s="149">
        <f t="shared" si="50"/>
        <v>0</v>
      </c>
    </row>
    <row r="55" spans="2:15" ht="15.75" thickBot="1">
      <c r="B55" s="88"/>
      <c r="C55" s="89" t="s">
        <v>139</v>
      </c>
      <c r="D55" s="89"/>
      <c r="E55" s="154">
        <f>IFERROR((K55-L55)/AVERAGE(F55,I55),0)</f>
        <v>2.9970855852026738E-2</v>
      </c>
      <c r="F55" s="155">
        <f>I38</f>
        <v>3769.4579613430001</v>
      </c>
      <c r="G55" s="155">
        <f>SUM(G43:G54)</f>
        <v>3.3499999999999996</v>
      </c>
      <c r="H55" s="155">
        <f t="shared" ref="H55:L55" si="52">SUM(H51:H54)</f>
        <v>0</v>
      </c>
      <c r="I55" s="155">
        <f>F55+G55</f>
        <v>3772.807961343</v>
      </c>
      <c r="J55" s="156">
        <f>M38</f>
        <v>1471.1043622736418</v>
      </c>
      <c r="K55" s="155">
        <v>113.02408238323777</v>
      </c>
      <c r="L55" s="157">
        <f t="shared" si="52"/>
        <v>0</v>
      </c>
      <c r="M55" s="156">
        <f>J55+K55</f>
        <v>1584.1284446568795</v>
      </c>
      <c r="N55" s="155">
        <f>F55-J55</f>
        <v>2298.3535990693581</v>
      </c>
      <c r="O55" s="155">
        <f>I55-M55</f>
        <v>2188.6795166861202</v>
      </c>
    </row>
    <row r="56" spans="2:15" ht="15" thickBot="1">
      <c r="F56" s="193">
        <f>SUM(F43:F54)</f>
        <v>3769.4579613430001</v>
      </c>
      <c r="G56" s="5">
        <f t="shared" ref="G56:O56" si="53">SUM(G43:G54)</f>
        <v>3.3499999999999996</v>
      </c>
      <c r="H56" s="5">
        <f t="shared" si="53"/>
        <v>0</v>
      </c>
      <c r="I56" s="5">
        <f t="shared" si="53"/>
        <v>3772.8079613429995</v>
      </c>
      <c r="J56" s="5">
        <f t="shared" si="53"/>
        <v>1471.1043622736418</v>
      </c>
      <c r="K56" s="5">
        <f t="shared" si="53"/>
        <v>113.02408238323775</v>
      </c>
      <c r="L56" s="5">
        <f t="shared" si="53"/>
        <v>0</v>
      </c>
      <c r="M56" s="5">
        <f t="shared" si="53"/>
        <v>1584.1284446568795</v>
      </c>
      <c r="N56" s="5">
        <f t="shared" si="53"/>
        <v>2298.3535990693576</v>
      </c>
      <c r="O56" s="5">
        <f t="shared" si="53"/>
        <v>2188.6795166861207</v>
      </c>
    </row>
    <row r="57" spans="2:15" ht="15">
      <c r="B57" s="338" t="s">
        <v>485</v>
      </c>
      <c r="C57" s="339"/>
      <c r="D57" s="339"/>
      <c r="E57" s="339"/>
      <c r="F57" s="339"/>
      <c r="G57" s="339"/>
      <c r="H57" s="339"/>
      <c r="I57" s="339"/>
      <c r="J57" s="339"/>
      <c r="K57" s="339"/>
      <c r="L57" s="339"/>
      <c r="M57" s="339"/>
      <c r="N57" s="339"/>
      <c r="O57" s="340"/>
    </row>
    <row r="58" spans="2:15" ht="15">
      <c r="B58" s="341" t="s">
        <v>2</v>
      </c>
      <c r="C58" s="343" t="s">
        <v>300</v>
      </c>
      <c r="D58" s="345" t="s">
        <v>288</v>
      </c>
      <c r="E58" s="345" t="s">
        <v>289</v>
      </c>
      <c r="F58" s="345" t="s">
        <v>290</v>
      </c>
      <c r="G58" s="345"/>
      <c r="H58" s="345"/>
      <c r="I58" s="345"/>
      <c r="J58" s="345" t="s">
        <v>291</v>
      </c>
      <c r="K58" s="345"/>
      <c r="L58" s="345"/>
      <c r="M58" s="345"/>
      <c r="N58" s="345" t="s">
        <v>292</v>
      </c>
      <c r="O58" s="347"/>
    </row>
    <row r="59" spans="2:15" ht="60.75" thickBot="1">
      <c r="B59" s="342"/>
      <c r="C59" s="344"/>
      <c r="D59" s="346"/>
      <c r="E59" s="346"/>
      <c r="F59" s="73" t="s">
        <v>293</v>
      </c>
      <c r="G59" s="73" t="s">
        <v>138</v>
      </c>
      <c r="H59" s="73" t="s">
        <v>294</v>
      </c>
      <c r="I59" s="73" t="s">
        <v>295</v>
      </c>
      <c r="J59" s="73" t="s">
        <v>296</v>
      </c>
      <c r="K59" s="73" t="s">
        <v>138</v>
      </c>
      <c r="L59" s="73" t="s">
        <v>297</v>
      </c>
      <c r="M59" s="73" t="s">
        <v>298</v>
      </c>
      <c r="N59" s="73" t="s">
        <v>293</v>
      </c>
      <c r="O59" s="74" t="s">
        <v>295</v>
      </c>
    </row>
    <row r="60" spans="2:15" ht="15.75" thickBot="1">
      <c r="B60" s="72">
        <v>1</v>
      </c>
      <c r="C60" s="86" t="s">
        <v>498</v>
      </c>
      <c r="D60" s="75">
        <v>1000</v>
      </c>
      <c r="E60" s="76">
        <v>0</v>
      </c>
      <c r="F60" s="143">
        <f t="shared" ref="F60:F71" si="54">I43</f>
        <v>0</v>
      </c>
      <c r="G60" s="78"/>
      <c r="H60" s="77"/>
      <c r="I60" s="143">
        <f>F60+G60-H60</f>
        <v>0</v>
      </c>
      <c r="J60" s="144">
        <f>M43</f>
        <v>0</v>
      </c>
      <c r="K60" s="145">
        <f>AVERAGE(F60,I60)*E60</f>
        <v>0</v>
      </c>
      <c r="L60" s="146"/>
      <c r="M60" s="147">
        <f>J60+K60-L60</f>
        <v>0</v>
      </c>
      <c r="N60" s="148">
        <f>F60-J60</f>
        <v>0</v>
      </c>
      <c r="O60" s="148">
        <f>I60-M60</f>
        <v>0</v>
      </c>
    </row>
    <row r="61" spans="2:15" ht="15.75" thickBot="1">
      <c r="B61" s="79">
        <v>2</v>
      </c>
      <c r="C61" s="80" t="s">
        <v>128</v>
      </c>
      <c r="D61" s="81">
        <v>1100</v>
      </c>
      <c r="E61" s="82">
        <v>3.3399999999999999E-2</v>
      </c>
      <c r="F61" s="149">
        <f t="shared" si="54"/>
        <v>214.80770280499999</v>
      </c>
      <c r="G61" s="84"/>
      <c r="H61" s="83"/>
      <c r="I61" s="149">
        <f>F61+G61-H61</f>
        <v>214.80770280499999</v>
      </c>
      <c r="J61" s="144">
        <f t="shared" ref="J61:J71" si="55">M44</f>
        <v>47.121357737999197</v>
      </c>
      <c r="K61" s="151">
        <f t="shared" ref="K61:K62" si="56">AVERAGE(F61,I61)*E61</f>
        <v>7.1745772736869995</v>
      </c>
      <c r="L61" s="152"/>
      <c r="M61" s="153">
        <f t="shared" ref="M61:M63" si="57">J61+K61-L61</f>
        <v>54.295935011686197</v>
      </c>
      <c r="N61" s="149">
        <f t="shared" ref="N61:N63" si="58">F61-J61</f>
        <v>167.68634506700079</v>
      </c>
      <c r="O61" s="149">
        <f t="shared" ref="O61:O63" si="59">I61-M61</f>
        <v>160.51176779331379</v>
      </c>
    </row>
    <row r="62" spans="2:15" ht="15.75" thickBot="1">
      <c r="B62" s="79">
        <v>3</v>
      </c>
      <c r="C62" s="86" t="s">
        <v>499</v>
      </c>
      <c r="D62" s="81">
        <v>1200</v>
      </c>
      <c r="E62" s="82">
        <v>5.28E-2</v>
      </c>
      <c r="F62" s="149">
        <f t="shared" si="54"/>
        <v>68.390140982000005</v>
      </c>
      <c r="G62" s="84"/>
      <c r="H62" s="83"/>
      <c r="I62" s="149">
        <f t="shared" ref="I62:I63" si="60">F62+G62-H62</f>
        <v>68.390140982000005</v>
      </c>
      <c r="J62" s="144">
        <f t="shared" si="55"/>
        <v>35.605933169548805</v>
      </c>
      <c r="K62" s="151">
        <f t="shared" si="56"/>
        <v>3.6109994438496003</v>
      </c>
      <c r="L62" s="152"/>
      <c r="M62" s="153">
        <f t="shared" si="57"/>
        <v>39.216932613398406</v>
      </c>
      <c r="N62" s="149">
        <f t="shared" si="58"/>
        <v>32.7842078124512</v>
      </c>
      <c r="O62" s="149">
        <f t="shared" si="59"/>
        <v>29.1732083686016</v>
      </c>
    </row>
    <row r="63" spans="2:15" ht="15.75" thickBot="1">
      <c r="B63" s="79">
        <v>4</v>
      </c>
      <c r="C63" s="192" t="s">
        <v>127</v>
      </c>
      <c r="D63" s="81">
        <v>1300</v>
      </c>
      <c r="E63" s="87">
        <v>5.28E-2</v>
      </c>
      <c r="F63" s="149">
        <f t="shared" si="54"/>
        <v>2759.1410629569996</v>
      </c>
      <c r="G63" s="84">
        <v>1.0900000000000001</v>
      </c>
      <c r="H63" s="85"/>
      <c r="I63" s="149">
        <f t="shared" si="60"/>
        <v>2760.2310629569997</v>
      </c>
      <c r="J63" s="144">
        <f t="shared" si="55"/>
        <v>1115.9567041159708</v>
      </c>
      <c r="K63" s="151">
        <v>64.112426225013152</v>
      </c>
      <c r="L63" s="152"/>
      <c r="M63" s="153">
        <f t="shared" si="57"/>
        <v>1180.069130340984</v>
      </c>
      <c r="N63" s="149">
        <f t="shared" si="58"/>
        <v>1643.1843588410288</v>
      </c>
      <c r="O63" s="149">
        <f t="shared" si="59"/>
        <v>1580.1619326160157</v>
      </c>
    </row>
    <row r="64" spans="2:15" ht="15.75" thickBot="1">
      <c r="B64" s="72">
        <v>5</v>
      </c>
      <c r="C64" s="192" t="s">
        <v>500</v>
      </c>
      <c r="D64" s="75">
        <v>1400</v>
      </c>
      <c r="E64" s="76">
        <v>5.28E-2</v>
      </c>
      <c r="F64" s="143">
        <f t="shared" si="54"/>
        <v>172.69850467399999</v>
      </c>
      <c r="G64" s="78"/>
      <c r="H64" s="77"/>
      <c r="I64" s="143">
        <f>F64+G64-H64</f>
        <v>172.69850467399999</v>
      </c>
      <c r="J64" s="144">
        <f t="shared" si="55"/>
        <v>80.851962229152804</v>
      </c>
      <c r="K64" s="145">
        <f>AVERAGE(F64,I64)*E64</f>
        <v>9.1184810467871991</v>
      </c>
      <c r="L64" s="146"/>
      <c r="M64" s="147">
        <f>J64+K64-L64</f>
        <v>89.970443275939999</v>
      </c>
      <c r="N64" s="148">
        <f>F64-J64</f>
        <v>91.846542444847188</v>
      </c>
      <c r="O64" s="148">
        <f>I64-M64</f>
        <v>82.728061398059992</v>
      </c>
    </row>
    <row r="65" spans="2:16" ht="15.75" thickBot="1">
      <c r="B65" s="79">
        <v>6</v>
      </c>
      <c r="C65" s="192" t="s">
        <v>501</v>
      </c>
      <c r="D65" s="81">
        <v>1500</v>
      </c>
      <c r="E65" s="82">
        <v>5.28E-2</v>
      </c>
      <c r="F65" s="149">
        <f t="shared" si="54"/>
        <v>543.04168383800004</v>
      </c>
      <c r="G65" s="84"/>
      <c r="H65" s="83"/>
      <c r="I65" s="149">
        <f>F65+G65-H65</f>
        <v>543.04168383800004</v>
      </c>
      <c r="J65" s="144">
        <f t="shared" si="55"/>
        <v>300.92409394993916</v>
      </c>
      <c r="K65" s="151">
        <f t="shared" ref="K65:K67" si="61">AVERAGE(F65,I65)*E65</f>
        <v>28.672600906646402</v>
      </c>
      <c r="L65" s="152"/>
      <c r="M65" s="153">
        <f t="shared" ref="M65:M67" si="62">J65+K65-L65</f>
        <v>329.59669485658554</v>
      </c>
      <c r="N65" s="149">
        <f t="shared" ref="N65:N67" si="63">F65-J65</f>
        <v>242.11758988806088</v>
      </c>
      <c r="O65" s="149">
        <f t="shared" ref="O65:O67" si="64">I65-M65</f>
        <v>213.4449889814145</v>
      </c>
    </row>
    <row r="66" spans="2:16" ht="15.75" thickBot="1">
      <c r="B66" s="79">
        <v>7</v>
      </c>
      <c r="C66" s="192" t="s">
        <v>502</v>
      </c>
      <c r="D66" s="81">
        <v>1600</v>
      </c>
      <c r="E66" s="82">
        <v>3.3399999999999999E-2</v>
      </c>
      <c r="F66" s="149">
        <f t="shared" si="54"/>
        <v>14.246456906999999</v>
      </c>
      <c r="G66" s="84"/>
      <c r="H66" s="83"/>
      <c r="I66" s="149">
        <f t="shared" ref="I66:I67" si="65">F66+G66-H66</f>
        <v>14.246456906999999</v>
      </c>
      <c r="J66" s="144">
        <f t="shared" si="55"/>
        <v>3.2205820111343</v>
      </c>
      <c r="K66" s="151">
        <f t="shared" si="61"/>
        <v>0.47583166069379995</v>
      </c>
      <c r="L66" s="152"/>
      <c r="M66" s="153">
        <f t="shared" si="62"/>
        <v>3.6964136718281</v>
      </c>
      <c r="N66" s="149">
        <f t="shared" si="63"/>
        <v>11.025874895865698</v>
      </c>
      <c r="O66" s="149">
        <f t="shared" si="64"/>
        <v>10.550043235171898</v>
      </c>
    </row>
    <row r="67" spans="2:16" ht="15.75" thickBot="1">
      <c r="B67" s="79">
        <v>8</v>
      </c>
      <c r="C67" s="192" t="s">
        <v>132</v>
      </c>
      <c r="D67" s="81">
        <v>1700</v>
      </c>
      <c r="E67" s="87">
        <v>9.5000000000000001E-2</v>
      </c>
      <c r="F67" s="149">
        <f t="shared" si="54"/>
        <v>0</v>
      </c>
      <c r="G67" s="84"/>
      <c r="H67" s="85"/>
      <c r="I67" s="149">
        <f t="shared" si="65"/>
        <v>0</v>
      </c>
      <c r="J67" s="144">
        <f t="shared" si="55"/>
        <v>0</v>
      </c>
      <c r="K67" s="151">
        <f t="shared" si="61"/>
        <v>0</v>
      </c>
      <c r="L67" s="152"/>
      <c r="M67" s="153">
        <f t="shared" si="62"/>
        <v>0</v>
      </c>
      <c r="N67" s="149">
        <f t="shared" si="63"/>
        <v>0</v>
      </c>
      <c r="O67" s="149">
        <f t="shared" si="64"/>
        <v>0</v>
      </c>
    </row>
    <row r="68" spans="2:16" ht="15.75" thickBot="1">
      <c r="B68" s="72">
        <v>9</v>
      </c>
      <c r="C68" s="192" t="s">
        <v>503</v>
      </c>
      <c r="D68" s="75">
        <v>1800</v>
      </c>
      <c r="E68" s="76">
        <v>6.3299999999999995E-2</v>
      </c>
      <c r="F68" s="143">
        <f t="shared" si="54"/>
        <v>0.23303650200000001</v>
      </c>
      <c r="G68" s="78"/>
      <c r="H68" s="77"/>
      <c r="I68" s="143">
        <f>F68+G68-H68</f>
        <v>0.23303650200000001</v>
      </c>
      <c r="J68" s="144">
        <f t="shared" si="55"/>
        <v>0.16170701436760002</v>
      </c>
      <c r="K68" s="145">
        <f>AVERAGE(F68,I68)*E68</f>
        <v>1.4751210576599999E-2</v>
      </c>
      <c r="L68" s="146"/>
      <c r="M68" s="147">
        <f>J68+K68-L68</f>
        <v>0.17645822494420002</v>
      </c>
      <c r="N68" s="148">
        <f>F68-J68</f>
        <v>7.132948763239999E-2</v>
      </c>
      <c r="O68" s="148">
        <f>I68-M68</f>
        <v>5.6578277055799986E-2</v>
      </c>
      <c r="P68" s="193"/>
    </row>
    <row r="69" spans="2:16" ht="15.75" thickBot="1">
      <c r="B69" s="79">
        <v>10</v>
      </c>
      <c r="C69" s="192" t="s">
        <v>504</v>
      </c>
      <c r="D69" s="81">
        <v>1900</v>
      </c>
      <c r="E69" s="82">
        <v>0.15</v>
      </c>
      <c r="F69" s="149">
        <f t="shared" si="54"/>
        <v>0.196849198</v>
      </c>
      <c r="G69" s="84"/>
      <c r="H69" s="83"/>
      <c r="I69" s="149">
        <f>F69+G69-H69</f>
        <v>0.196849198</v>
      </c>
      <c r="J69" s="144">
        <f t="shared" si="55"/>
        <v>0.26264082110000003</v>
      </c>
      <c r="K69" s="151">
        <f t="shared" ref="K69:K71" si="66">AVERAGE(F69,I69)*E69</f>
        <v>2.9527379699999998E-2</v>
      </c>
      <c r="L69" s="152"/>
      <c r="M69" s="153">
        <f t="shared" ref="M69:M71" si="67">J69+K69-L69</f>
        <v>0.29216820080000006</v>
      </c>
      <c r="N69" s="149">
        <f t="shared" ref="N69:N71" si="68">F69-J69</f>
        <v>-6.579162310000003E-2</v>
      </c>
      <c r="O69" s="149">
        <f t="shared" ref="O69:O71" si="69">I69-M69</f>
        <v>-9.5319002800000052E-2</v>
      </c>
      <c r="P69" s="193"/>
    </row>
    <row r="70" spans="2:16" ht="15.75" thickBot="1">
      <c r="B70" s="79">
        <v>11</v>
      </c>
      <c r="C70" s="192" t="s">
        <v>134</v>
      </c>
      <c r="D70" s="81">
        <v>2100</v>
      </c>
      <c r="E70" s="82">
        <v>6.3299999999999995E-2</v>
      </c>
      <c r="F70" s="149">
        <f t="shared" si="54"/>
        <v>5.2523479999999997E-2</v>
      </c>
      <c r="G70" s="84"/>
      <c r="H70" s="83"/>
      <c r="I70" s="149">
        <f t="shared" ref="I70:I71" si="70">F70+G70-H70</f>
        <v>5.2523479999999997E-2</v>
      </c>
      <c r="J70" s="144">
        <f t="shared" si="55"/>
        <v>2.3463607666999998E-2</v>
      </c>
      <c r="K70" s="151">
        <f t="shared" si="66"/>
        <v>3.3247362839999997E-3</v>
      </c>
      <c r="L70" s="152"/>
      <c r="M70" s="153">
        <f t="shared" si="67"/>
        <v>2.6788343950999997E-2</v>
      </c>
      <c r="N70" s="149">
        <f t="shared" si="68"/>
        <v>2.9059872333E-2</v>
      </c>
      <c r="O70" s="149">
        <f t="shared" si="69"/>
        <v>2.5735136049000001E-2</v>
      </c>
    </row>
    <row r="71" spans="2:16" ht="15">
      <c r="B71" s="79"/>
      <c r="C71" s="192" t="s">
        <v>505</v>
      </c>
      <c r="D71" s="81">
        <v>2200</v>
      </c>
      <c r="E71" s="87">
        <v>0</v>
      </c>
      <c r="F71" s="149">
        <f t="shared" si="54"/>
        <v>0</v>
      </c>
      <c r="G71" s="84"/>
      <c r="H71" s="85"/>
      <c r="I71" s="149">
        <f t="shared" si="70"/>
        <v>0</v>
      </c>
      <c r="J71" s="144">
        <f t="shared" si="55"/>
        <v>0</v>
      </c>
      <c r="K71" s="151">
        <f t="shared" si="66"/>
        <v>0</v>
      </c>
      <c r="L71" s="152"/>
      <c r="M71" s="153">
        <f t="shared" si="67"/>
        <v>0</v>
      </c>
      <c r="N71" s="149">
        <f t="shared" si="68"/>
        <v>0</v>
      </c>
      <c r="O71" s="149">
        <f t="shared" si="69"/>
        <v>0</v>
      </c>
    </row>
    <row r="72" spans="2:16" ht="15.75" thickBot="1">
      <c r="B72" s="88"/>
      <c r="C72" s="89" t="s">
        <v>139</v>
      </c>
      <c r="D72" s="89"/>
      <c r="E72" s="154">
        <f>IFERROR((K72-L72)/AVERAGE(F72,I72),0)</f>
        <v>3.0003161920729386E-2</v>
      </c>
      <c r="F72" s="155">
        <f>I55</f>
        <v>3772.807961343</v>
      </c>
      <c r="G72" s="155">
        <f>SUM(G60:G71)</f>
        <v>1.0900000000000001</v>
      </c>
      <c r="H72" s="155">
        <f t="shared" ref="H72:L72" si="71">SUM(H68:H71)</f>
        <v>0</v>
      </c>
      <c r="I72" s="155">
        <f>F72+G72</f>
        <v>3773.8979613430001</v>
      </c>
      <c r="J72" s="156">
        <f>M55</f>
        <v>1584.1284446568795</v>
      </c>
      <c r="K72" s="155">
        <v>113.21251988323776</v>
      </c>
      <c r="L72" s="157">
        <f t="shared" si="71"/>
        <v>0</v>
      </c>
      <c r="M72" s="156">
        <f>J72+K72</f>
        <v>1697.3409645401173</v>
      </c>
      <c r="N72" s="155">
        <f>F72-J72</f>
        <v>2188.6795166861202</v>
      </c>
      <c r="O72" s="155">
        <f>I72-M72</f>
        <v>2076.5569968028831</v>
      </c>
    </row>
    <row r="73" spans="2:16" ht="15" thickBot="1">
      <c r="F73" s="193">
        <f>SUM(F60:F71)</f>
        <v>3772.8079613429995</v>
      </c>
      <c r="G73" s="193">
        <f t="shared" ref="G73:O73" si="72">SUM(G60:G71)</f>
        <v>1.0900000000000001</v>
      </c>
      <c r="H73" s="193">
        <f t="shared" si="72"/>
        <v>0</v>
      </c>
      <c r="I73" s="193">
        <f t="shared" si="72"/>
        <v>3773.8979613429997</v>
      </c>
      <c r="J73" s="193">
        <f t="shared" si="72"/>
        <v>1584.1284446568795</v>
      </c>
      <c r="K73" s="193">
        <f t="shared" si="72"/>
        <v>113.21251988323775</v>
      </c>
      <c r="L73" s="193">
        <f t="shared" si="72"/>
        <v>0</v>
      </c>
      <c r="M73" s="193">
        <f t="shared" si="72"/>
        <v>1697.3409645401175</v>
      </c>
      <c r="N73" s="193">
        <f t="shared" si="72"/>
        <v>2188.6795166861207</v>
      </c>
      <c r="O73" s="193">
        <f t="shared" si="72"/>
        <v>2076.5569968028826</v>
      </c>
    </row>
    <row r="74" spans="2:16" ht="15">
      <c r="B74" s="338" t="s">
        <v>486</v>
      </c>
      <c r="C74" s="339"/>
      <c r="D74" s="339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340"/>
    </row>
    <row r="75" spans="2:16" ht="15">
      <c r="B75" s="341" t="s">
        <v>2</v>
      </c>
      <c r="C75" s="343" t="s">
        <v>300</v>
      </c>
      <c r="D75" s="345" t="s">
        <v>288</v>
      </c>
      <c r="E75" s="345" t="s">
        <v>289</v>
      </c>
      <c r="F75" s="345" t="s">
        <v>290</v>
      </c>
      <c r="G75" s="345"/>
      <c r="H75" s="345"/>
      <c r="I75" s="345"/>
      <c r="J75" s="345" t="s">
        <v>291</v>
      </c>
      <c r="K75" s="345"/>
      <c r="L75" s="345"/>
      <c r="M75" s="345"/>
      <c r="N75" s="345" t="s">
        <v>292</v>
      </c>
      <c r="O75" s="347"/>
    </row>
    <row r="76" spans="2:16" ht="60.75" thickBot="1">
      <c r="B76" s="342"/>
      <c r="C76" s="344"/>
      <c r="D76" s="346"/>
      <c r="E76" s="346"/>
      <c r="F76" s="73" t="s">
        <v>293</v>
      </c>
      <c r="G76" s="73" t="s">
        <v>138</v>
      </c>
      <c r="H76" s="73" t="s">
        <v>294</v>
      </c>
      <c r="I76" s="73" t="s">
        <v>295</v>
      </c>
      <c r="J76" s="73" t="s">
        <v>296</v>
      </c>
      <c r="K76" s="73" t="s">
        <v>138</v>
      </c>
      <c r="L76" s="73" t="s">
        <v>297</v>
      </c>
      <c r="M76" s="73" t="s">
        <v>298</v>
      </c>
      <c r="N76" s="73" t="s">
        <v>293</v>
      </c>
      <c r="O76" s="74" t="s">
        <v>295</v>
      </c>
    </row>
    <row r="77" spans="2:16" ht="15.75" thickBot="1">
      <c r="B77" s="72">
        <v>1</v>
      </c>
      <c r="C77" s="86" t="s">
        <v>498</v>
      </c>
      <c r="D77" s="75">
        <v>1000</v>
      </c>
      <c r="E77" s="76">
        <v>0</v>
      </c>
      <c r="F77" s="143">
        <f t="shared" ref="F77:F88" si="73">I60</f>
        <v>0</v>
      </c>
      <c r="G77" s="78"/>
      <c r="H77" s="77"/>
      <c r="I77" s="143">
        <f>F77+G77-H77</f>
        <v>0</v>
      </c>
      <c r="J77" s="144">
        <f>M60</f>
        <v>0</v>
      </c>
      <c r="K77" s="145">
        <f>AVERAGE(F77,I77)*E77</f>
        <v>0</v>
      </c>
      <c r="L77" s="146"/>
      <c r="M77" s="147">
        <f>J77+K77-L77</f>
        <v>0</v>
      </c>
      <c r="N77" s="148">
        <f>F77-J77</f>
        <v>0</v>
      </c>
      <c r="O77" s="148">
        <f>I77-M77</f>
        <v>0</v>
      </c>
    </row>
    <row r="78" spans="2:16" ht="15.75" thickBot="1">
      <c r="B78" s="79">
        <v>2</v>
      </c>
      <c r="C78" s="80" t="s">
        <v>128</v>
      </c>
      <c r="D78" s="81">
        <v>1100</v>
      </c>
      <c r="E78" s="82">
        <v>3.3399999999999999E-2</v>
      </c>
      <c r="F78" s="149">
        <f t="shared" si="73"/>
        <v>214.80770280499999</v>
      </c>
      <c r="G78" s="84"/>
      <c r="H78" s="83"/>
      <c r="I78" s="149">
        <f>F78+G78-H78</f>
        <v>214.80770280499999</v>
      </c>
      <c r="J78" s="144">
        <f t="shared" ref="J78:J88" si="74">M61</f>
        <v>54.295935011686197</v>
      </c>
      <c r="K78" s="151">
        <f t="shared" ref="K78:K79" si="75">AVERAGE(F78,I78)*E78</f>
        <v>7.1745772736869995</v>
      </c>
      <c r="L78" s="152"/>
      <c r="M78" s="153">
        <f t="shared" ref="M78:M80" si="76">J78+K78-L78</f>
        <v>61.470512285373196</v>
      </c>
      <c r="N78" s="149">
        <f t="shared" ref="N78:N80" si="77">F78-J78</f>
        <v>160.51176779331379</v>
      </c>
      <c r="O78" s="149">
        <f t="shared" ref="O78:O80" si="78">I78-M78</f>
        <v>153.3371905196268</v>
      </c>
    </row>
    <row r="79" spans="2:16" ht="15.75" thickBot="1">
      <c r="B79" s="79">
        <v>3</v>
      </c>
      <c r="C79" s="86" t="s">
        <v>499</v>
      </c>
      <c r="D79" s="81">
        <v>1200</v>
      </c>
      <c r="E79" s="82">
        <v>5.28E-2</v>
      </c>
      <c r="F79" s="149">
        <f t="shared" si="73"/>
        <v>68.390140982000005</v>
      </c>
      <c r="G79" s="84"/>
      <c r="H79" s="83"/>
      <c r="I79" s="149">
        <f t="shared" ref="I79:I80" si="79">F79+G79-H79</f>
        <v>68.390140982000005</v>
      </c>
      <c r="J79" s="144">
        <f t="shared" si="74"/>
        <v>39.216932613398406</v>
      </c>
      <c r="K79" s="151">
        <f t="shared" si="75"/>
        <v>3.6109994438496003</v>
      </c>
      <c r="L79" s="152"/>
      <c r="M79" s="153">
        <f t="shared" si="76"/>
        <v>42.827932057248006</v>
      </c>
      <c r="N79" s="149">
        <f t="shared" si="77"/>
        <v>29.1732083686016</v>
      </c>
      <c r="O79" s="149">
        <f t="shared" si="78"/>
        <v>25.562208924751999</v>
      </c>
    </row>
    <row r="80" spans="2:16" ht="15.75" thickBot="1">
      <c r="B80" s="79">
        <v>4</v>
      </c>
      <c r="C80" s="192" t="s">
        <v>127</v>
      </c>
      <c r="D80" s="81">
        <v>1300</v>
      </c>
      <c r="E80" s="87">
        <v>5.28E-2</v>
      </c>
      <c r="F80" s="149">
        <f t="shared" si="73"/>
        <v>2760.2310629569997</v>
      </c>
      <c r="G80" s="84">
        <v>30.66</v>
      </c>
      <c r="H80" s="85"/>
      <c r="I80" s="149">
        <f t="shared" si="79"/>
        <v>2790.8910629569996</v>
      </c>
      <c r="J80" s="144">
        <f t="shared" si="74"/>
        <v>1180.069130340984</v>
      </c>
      <c r="K80" s="151">
        <v>64.177826225013163</v>
      </c>
      <c r="L80" s="152"/>
      <c r="M80" s="153">
        <f t="shared" si="76"/>
        <v>1244.2469565659972</v>
      </c>
      <c r="N80" s="149">
        <f t="shared" si="77"/>
        <v>1580.1619326160157</v>
      </c>
      <c r="O80" s="149">
        <f t="shared" si="78"/>
        <v>1546.6441063910024</v>
      </c>
    </row>
    <row r="81" spans="2:16" ht="15.75" thickBot="1">
      <c r="B81" s="72">
        <v>5</v>
      </c>
      <c r="C81" s="192" t="s">
        <v>500</v>
      </c>
      <c r="D81" s="75">
        <v>1400</v>
      </c>
      <c r="E81" s="76">
        <v>5.28E-2</v>
      </c>
      <c r="F81" s="143">
        <f t="shared" si="73"/>
        <v>172.69850467399999</v>
      </c>
      <c r="G81" s="78"/>
      <c r="H81" s="77"/>
      <c r="I81" s="143">
        <f>F81+G81-H81</f>
        <v>172.69850467399999</v>
      </c>
      <c r="J81" s="144">
        <f t="shared" si="74"/>
        <v>89.970443275939999</v>
      </c>
      <c r="K81" s="145">
        <f>AVERAGE(F81,I81)*E81</f>
        <v>9.1184810467871991</v>
      </c>
      <c r="L81" s="146"/>
      <c r="M81" s="147">
        <f>J81+K81-L81</f>
        <v>99.088924322727195</v>
      </c>
      <c r="N81" s="148">
        <f>F81-J81</f>
        <v>82.728061398059992</v>
      </c>
      <c r="O81" s="148">
        <f>I81-M81</f>
        <v>73.609580351272797</v>
      </c>
    </row>
    <row r="82" spans="2:16" ht="15.75" thickBot="1">
      <c r="B82" s="79">
        <v>6</v>
      </c>
      <c r="C82" s="192" t="s">
        <v>501</v>
      </c>
      <c r="D82" s="81">
        <v>1500</v>
      </c>
      <c r="E82" s="82">
        <v>5.28E-2</v>
      </c>
      <c r="F82" s="149">
        <f t="shared" si="73"/>
        <v>543.04168383800004</v>
      </c>
      <c r="G82" s="84"/>
      <c r="H82" s="83"/>
      <c r="I82" s="149">
        <f>F82+G82-H82</f>
        <v>543.04168383800004</v>
      </c>
      <c r="J82" s="144">
        <f t="shared" si="74"/>
        <v>329.59669485658554</v>
      </c>
      <c r="K82" s="151">
        <f t="shared" ref="K82:K84" si="80">AVERAGE(F82,I82)*E82</f>
        <v>28.672600906646402</v>
      </c>
      <c r="L82" s="152"/>
      <c r="M82" s="153">
        <f t="shared" ref="M82:M84" si="81">J82+K82-L82</f>
        <v>358.26929576323192</v>
      </c>
      <c r="N82" s="149">
        <f t="shared" ref="N82:N84" si="82">F82-J82</f>
        <v>213.4449889814145</v>
      </c>
      <c r="O82" s="149">
        <f t="shared" ref="O82:O84" si="83">I82-M82</f>
        <v>184.77238807476812</v>
      </c>
    </row>
    <row r="83" spans="2:16" ht="15.75" thickBot="1">
      <c r="B83" s="79">
        <v>7</v>
      </c>
      <c r="C83" s="192" t="s">
        <v>502</v>
      </c>
      <c r="D83" s="81">
        <v>1600</v>
      </c>
      <c r="E83" s="82">
        <v>3.3399999999999999E-2</v>
      </c>
      <c r="F83" s="149">
        <f t="shared" si="73"/>
        <v>14.246456906999999</v>
      </c>
      <c r="G83" s="84"/>
      <c r="H83" s="83"/>
      <c r="I83" s="149">
        <f t="shared" ref="I83:I84" si="84">F83+G83-H83</f>
        <v>14.246456906999999</v>
      </c>
      <c r="J83" s="144">
        <f t="shared" si="74"/>
        <v>3.6964136718281</v>
      </c>
      <c r="K83" s="151">
        <f t="shared" si="80"/>
        <v>0.47583166069379995</v>
      </c>
      <c r="L83" s="152"/>
      <c r="M83" s="153">
        <f t="shared" si="81"/>
        <v>4.1722453325219</v>
      </c>
      <c r="N83" s="149">
        <f t="shared" si="82"/>
        <v>10.550043235171898</v>
      </c>
      <c r="O83" s="149">
        <f t="shared" si="83"/>
        <v>10.074211574478099</v>
      </c>
    </row>
    <row r="84" spans="2:16" ht="15.75" thickBot="1">
      <c r="B84" s="79">
        <v>8</v>
      </c>
      <c r="C84" s="192" t="s">
        <v>132</v>
      </c>
      <c r="D84" s="81">
        <v>1700</v>
      </c>
      <c r="E84" s="87">
        <v>9.5000000000000001E-2</v>
      </c>
      <c r="F84" s="149">
        <f t="shared" si="73"/>
        <v>0</v>
      </c>
      <c r="G84" s="84"/>
      <c r="H84" s="85"/>
      <c r="I84" s="149">
        <f t="shared" si="84"/>
        <v>0</v>
      </c>
      <c r="J84" s="144">
        <f t="shared" si="74"/>
        <v>0</v>
      </c>
      <c r="K84" s="151">
        <f t="shared" si="80"/>
        <v>0</v>
      </c>
      <c r="L84" s="152"/>
      <c r="M84" s="153">
        <f t="shared" si="81"/>
        <v>0</v>
      </c>
      <c r="N84" s="149">
        <f t="shared" si="82"/>
        <v>0</v>
      </c>
      <c r="O84" s="149">
        <f t="shared" si="83"/>
        <v>0</v>
      </c>
    </row>
    <row r="85" spans="2:16" ht="15.75" thickBot="1">
      <c r="B85" s="72">
        <v>9</v>
      </c>
      <c r="C85" s="192" t="s">
        <v>503</v>
      </c>
      <c r="D85" s="75">
        <v>1800</v>
      </c>
      <c r="E85" s="76">
        <v>6.3299999999999995E-2</v>
      </c>
      <c r="F85" s="143">
        <f t="shared" si="73"/>
        <v>0.23303650200000001</v>
      </c>
      <c r="G85" s="78"/>
      <c r="H85" s="77"/>
      <c r="I85" s="143">
        <f>F85+G85-H85</f>
        <v>0.23303650200000001</v>
      </c>
      <c r="J85" s="144">
        <f t="shared" si="74"/>
        <v>0.17645822494420002</v>
      </c>
      <c r="K85" s="145">
        <f>AVERAGE(F85,I85)*E85</f>
        <v>1.4751210576599999E-2</v>
      </c>
      <c r="L85" s="146"/>
      <c r="M85" s="147">
        <f>J85+K85-L85</f>
        <v>0.19120943552080003</v>
      </c>
      <c r="N85" s="148">
        <f>F85-J85</f>
        <v>5.6578277055799986E-2</v>
      </c>
      <c r="O85" s="148">
        <f>I85-M85</f>
        <v>4.1827066479199981E-2</v>
      </c>
    </row>
    <row r="86" spans="2:16" ht="15.75" thickBot="1">
      <c r="B86" s="79">
        <v>10</v>
      </c>
      <c r="C86" s="192" t="s">
        <v>504</v>
      </c>
      <c r="D86" s="81">
        <v>1900</v>
      </c>
      <c r="E86" s="82">
        <v>0.15</v>
      </c>
      <c r="F86" s="149">
        <f t="shared" si="73"/>
        <v>0.196849198</v>
      </c>
      <c r="G86" s="84"/>
      <c r="H86" s="83"/>
      <c r="I86" s="149">
        <f>F86+G86-H86</f>
        <v>0.196849198</v>
      </c>
      <c r="J86" s="144">
        <f t="shared" si="74"/>
        <v>0.29216820080000006</v>
      </c>
      <c r="K86" s="151">
        <f t="shared" ref="K86:K88" si="85">AVERAGE(F86,I86)*E86</f>
        <v>2.9527379699999998E-2</v>
      </c>
      <c r="L86" s="152"/>
      <c r="M86" s="153">
        <f t="shared" ref="M86:M88" si="86">J86+K86-L86</f>
        <v>0.32169558050000008</v>
      </c>
      <c r="N86" s="149">
        <f t="shared" ref="N86:N88" si="87">F86-J86</f>
        <v>-9.5319002800000052E-2</v>
      </c>
      <c r="O86" s="149">
        <f t="shared" ref="O86:O88" si="88">I86-M86</f>
        <v>-0.12484638250000007</v>
      </c>
    </row>
    <row r="87" spans="2:16" ht="15.75" thickBot="1">
      <c r="B87" s="79">
        <v>11</v>
      </c>
      <c r="C87" s="192" t="s">
        <v>134</v>
      </c>
      <c r="D87" s="81">
        <v>2100</v>
      </c>
      <c r="E87" s="82">
        <v>6.3299999999999995E-2</v>
      </c>
      <c r="F87" s="149">
        <f t="shared" si="73"/>
        <v>5.2523479999999997E-2</v>
      </c>
      <c r="G87" s="84"/>
      <c r="H87" s="83"/>
      <c r="I87" s="149">
        <f t="shared" ref="I87:I88" si="89">F87+G87-H87</f>
        <v>5.2523479999999997E-2</v>
      </c>
      <c r="J87" s="144">
        <f t="shared" si="74"/>
        <v>2.6788343950999997E-2</v>
      </c>
      <c r="K87" s="151">
        <f t="shared" si="85"/>
        <v>3.3247362839999997E-3</v>
      </c>
      <c r="L87" s="152"/>
      <c r="M87" s="153">
        <f t="shared" si="86"/>
        <v>3.0113080234999996E-2</v>
      </c>
      <c r="N87" s="149">
        <f t="shared" si="87"/>
        <v>2.5735136049000001E-2</v>
      </c>
      <c r="O87" s="149">
        <f t="shared" si="88"/>
        <v>2.2410399765000002E-2</v>
      </c>
    </row>
    <row r="88" spans="2:16" ht="15">
      <c r="B88" s="79"/>
      <c r="C88" s="192" t="s">
        <v>505</v>
      </c>
      <c r="D88" s="81">
        <v>2200</v>
      </c>
      <c r="E88" s="87">
        <v>0</v>
      </c>
      <c r="F88" s="149">
        <f t="shared" si="73"/>
        <v>0</v>
      </c>
      <c r="G88" s="84"/>
      <c r="H88" s="85"/>
      <c r="I88" s="149">
        <f t="shared" si="89"/>
        <v>0</v>
      </c>
      <c r="J88" s="144">
        <f t="shared" si="74"/>
        <v>0</v>
      </c>
      <c r="K88" s="151">
        <f t="shared" si="85"/>
        <v>0</v>
      </c>
      <c r="L88" s="152"/>
      <c r="M88" s="153">
        <f t="shared" si="86"/>
        <v>0</v>
      </c>
      <c r="N88" s="149">
        <f t="shared" si="87"/>
        <v>0</v>
      </c>
      <c r="O88" s="149">
        <f t="shared" si="88"/>
        <v>0</v>
      </c>
    </row>
    <row r="89" spans="2:16" ht="15.75" thickBot="1">
      <c r="B89" s="88"/>
      <c r="C89" s="89" t="s">
        <v>139</v>
      </c>
      <c r="D89" s="89"/>
      <c r="E89" s="154">
        <f>IFERROR((K89-L89)/AVERAGE(F89,I89),0)</f>
        <v>2.9894722893127064E-2</v>
      </c>
      <c r="F89" s="155">
        <f>I72</f>
        <v>3773.8979613430001</v>
      </c>
      <c r="G89" s="155">
        <f>G80</f>
        <v>30.66</v>
      </c>
      <c r="H89" s="155">
        <f t="shared" ref="H89:L89" si="90">SUM(H85:H88)</f>
        <v>0</v>
      </c>
      <c r="I89" s="155">
        <f>F89+G89</f>
        <v>3804.557961343</v>
      </c>
      <c r="J89" s="156">
        <f>M72</f>
        <v>1697.3409645401173</v>
      </c>
      <c r="K89" s="155">
        <v>113.27791988323777</v>
      </c>
      <c r="L89" s="157">
        <f t="shared" si="90"/>
        <v>0</v>
      </c>
      <c r="M89" s="156">
        <f>J89+K89</f>
        <v>1810.618884423355</v>
      </c>
      <c r="N89" s="155">
        <f>F89-J89</f>
        <v>2076.5569968028831</v>
      </c>
      <c r="O89" s="155">
        <f>I89-M89</f>
        <v>1993.939076919645</v>
      </c>
      <c r="P89" s="193"/>
    </row>
    <row r="90" spans="2:16" ht="15" thickBot="1">
      <c r="F90" s="193">
        <f>SUM(F77:F88)</f>
        <v>3773.8979613429997</v>
      </c>
      <c r="G90" s="193">
        <f t="shared" ref="G90:O90" si="91">SUM(G77:G88)</f>
        <v>30.66</v>
      </c>
      <c r="H90" s="193">
        <f t="shared" si="91"/>
        <v>0</v>
      </c>
      <c r="I90" s="193">
        <f t="shared" si="91"/>
        <v>3804.5579613429995</v>
      </c>
      <c r="J90" s="193">
        <f t="shared" si="91"/>
        <v>1697.3409645401175</v>
      </c>
      <c r="K90" s="193">
        <f t="shared" si="91"/>
        <v>113.27791988323776</v>
      </c>
      <c r="L90" s="193">
        <f t="shared" si="91"/>
        <v>0</v>
      </c>
      <c r="M90" s="193">
        <f t="shared" si="91"/>
        <v>1810.6188844233552</v>
      </c>
      <c r="N90" s="193">
        <f t="shared" si="91"/>
        <v>2076.5569968028826</v>
      </c>
      <c r="O90" s="193">
        <f t="shared" si="91"/>
        <v>1993.9390769196445</v>
      </c>
      <c r="P90" s="193"/>
    </row>
    <row r="91" spans="2:16" ht="15">
      <c r="B91" s="338" t="s">
        <v>487</v>
      </c>
      <c r="C91" s="339"/>
      <c r="D91" s="339"/>
      <c r="E91" s="339"/>
      <c r="F91" s="339"/>
      <c r="G91" s="339"/>
      <c r="H91" s="339"/>
      <c r="I91" s="339"/>
      <c r="J91" s="339"/>
      <c r="K91" s="339"/>
      <c r="L91" s="339"/>
      <c r="M91" s="339"/>
      <c r="N91" s="339"/>
      <c r="O91" s="340"/>
    </row>
    <row r="92" spans="2:16" ht="15">
      <c r="B92" s="341" t="s">
        <v>2</v>
      </c>
      <c r="C92" s="343" t="s">
        <v>300</v>
      </c>
      <c r="D92" s="345" t="s">
        <v>288</v>
      </c>
      <c r="E92" s="345" t="s">
        <v>289</v>
      </c>
      <c r="F92" s="345" t="s">
        <v>290</v>
      </c>
      <c r="G92" s="345"/>
      <c r="H92" s="345"/>
      <c r="I92" s="345"/>
      <c r="J92" s="345" t="s">
        <v>291</v>
      </c>
      <c r="K92" s="345"/>
      <c r="L92" s="345"/>
      <c r="M92" s="345"/>
      <c r="N92" s="345" t="s">
        <v>292</v>
      </c>
      <c r="O92" s="347"/>
    </row>
    <row r="93" spans="2:16" ht="60.75" thickBot="1">
      <c r="B93" s="342"/>
      <c r="C93" s="344"/>
      <c r="D93" s="346"/>
      <c r="E93" s="346"/>
      <c r="F93" s="73" t="s">
        <v>293</v>
      </c>
      <c r="G93" s="73" t="s">
        <v>138</v>
      </c>
      <c r="H93" s="73" t="s">
        <v>294</v>
      </c>
      <c r="I93" s="73" t="s">
        <v>295</v>
      </c>
      <c r="J93" s="73" t="s">
        <v>296</v>
      </c>
      <c r="K93" s="73" t="s">
        <v>138</v>
      </c>
      <c r="L93" s="73" t="s">
        <v>297</v>
      </c>
      <c r="M93" s="73" t="s">
        <v>298</v>
      </c>
      <c r="N93" s="73" t="s">
        <v>293</v>
      </c>
      <c r="O93" s="74" t="s">
        <v>295</v>
      </c>
    </row>
    <row r="94" spans="2:16" ht="15.75" thickBot="1">
      <c r="B94" s="72">
        <v>1</v>
      </c>
      <c r="C94" s="86" t="s">
        <v>498</v>
      </c>
      <c r="D94" s="75">
        <v>1000</v>
      </c>
      <c r="E94" s="76">
        <v>0</v>
      </c>
      <c r="F94" s="143">
        <f t="shared" ref="F94:F105" si="92">I77</f>
        <v>0</v>
      </c>
      <c r="G94" s="78"/>
      <c r="H94" s="77"/>
      <c r="I94" s="143">
        <f>F94+G94-H94</f>
        <v>0</v>
      </c>
      <c r="J94" s="144">
        <f>M77</f>
        <v>0</v>
      </c>
      <c r="K94" s="145">
        <f>AVERAGE(F94,I94)*E94</f>
        <v>0</v>
      </c>
      <c r="L94" s="146"/>
      <c r="M94" s="147">
        <f>J94+K94-L94</f>
        <v>0</v>
      </c>
      <c r="N94" s="148">
        <f>F94-J94</f>
        <v>0</v>
      </c>
      <c r="O94" s="148">
        <f>I94-M94</f>
        <v>0</v>
      </c>
    </row>
    <row r="95" spans="2:16" ht="15.75" thickBot="1">
      <c r="B95" s="79">
        <v>2</v>
      </c>
      <c r="C95" s="80" t="s">
        <v>128</v>
      </c>
      <c r="D95" s="81">
        <v>1100</v>
      </c>
      <c r="E95" s="82">
        <v>3.3399999999999999E-2</v>
      </c>
      <c r="F95" s="149">
        <f t="shared" si="92"/>
        <v>214.80770280499999</v>
      </c>
      <c r="G95" s="84"/>
      <c r="H95" s="83"/>
      <c r="I95" s="149">
        <f>F95+G95-H95</f>
        <v>214.80770280499999</v>
      </c>
      <c r="J95" s="144">
        <f t="shared" ref="J95:J104" si="93">M78</f>
        <v>61.470512285373196</v>
      </c>
      <c r="K95" s="151">
        <f t="shared" ref="K95:K96" si="94">AVERAGE(F95,I95)*E95</f>
        <v>7.1745772736869995</v>
      </c>
      <c r="L95" s="152"/>
      <c r="M95" s="153">
        <f t="shared" ref="M95:M97" si="95">J95+K95-L95</f>
        <v>68.645089559060196</v>
      </c>
      <c r="N95" s="149">
        <f t="shared" ref="N95:N97" si="96">F95-J95</f>
        <v>153.3371905196268</v>
      </c>
      <c r="O95" s="149">
        <f t="shared" ref="O95:O97" si="97">I95-M95</f>
        <v>146.16261324593978</v>
      </c>
    </row>
    <row r="96" spans="2:16" ht="15.75" thickBot="1">
      <c r="B96" s="79">
        <v>3</v>
      </c>
      <c r="C96" s="86" t="s">
        <v>499</v>
      </c>
      <c r="D96" s="81">
        <v>1200</v>
      </c>
      <c r="E96" s="82">
        <v>5.28E-2</v>
      </c>
      <c r="F96" s="149">
        <f t="shared" si="92"/>
        <v>68.390140982000005</v>
      </c>
      <c r="G96" s="84"/>
      <c r="H96" s="83"/>
      <c r="I96" s="149">
        <f t="shared" ref="I96:I97" si="98">F96+G96-H96</f>
        <v>68.390140982000005</v>
      </c>
      <c r="J96" s="144">
        <f t="shared" si="93"/>
        <v>42.827932057248006</v>
      </c>
      <c r="K96" s="151">
        <f t="shared" si="94"/>
        <v>3.6109994438496003</v>
      </c>
      <c r="L96" s="152"/>
      <c r="M96" s="153">
        <f t="shared" si="95"/>
        <v>46.438931501097606</v>
      </c>
      <c r="N96" s="149">
        <f t="shared" si="96"/>
        <v>25.562208924751999</v>
      </c>
      <c r="O96" s="149">
        <f t="shared" si="97"/>
        <v>21.951209480902399</v>
      </c>
    </row>
    <row r="97" spans="2:16" ht="15.75" thickBot="1">
      <c r="B97" s="79">
        <v>4</v>
      </c>
      <c r="C97" s="192" t="s">
        <v>127</v>
      </c>
      <c r="D97" s="81">
        <v>1300</v>
      </c>
      <c r="E97" s="87">
        <v>5.28E-2</v>
      </c>
      <c r="F97" s="149">
        <f t="shared" si="92"/>
        <v>2790.8910629569996</v>
      </c>
      <c r="G97" s="84"/>
      <c r="H97" s="85"/>
      <c r="I97" s="149">
        <f t="shared" si="98"/>
        <v>2790.8910629569996</v>
      </c>
      <c r="J97" s="144">
        <f t="shared" si="93"/>
        <v>1244.2469565659972</v>
      </c>
      <c r="K97" s="151">
        <v>66.148826225013138</v>
      </c>
      <c r="L97" s="152"/>
      <c r="M97" s="153">
        <f t="shared" si="95"/>
        <v>1310.3957827910103</v>
      </c>
      <c r="N97" s="149">
        <f t="shared" si="96"/>
        <v>1546.6441063910024</v>
      </c>
      <c r="O97" s="149">
        <f t="shared" si="97"/>
        <v>1480.4952801659892</v>
      </c>
    </row>
    <row r="98" spans="2:16" ht="15.75" thickBot="1">
      <c r="B98" s="72">
        <v>5</v>
      </c>
      <c r="C98" s="192" t="s">
        <v>500</v>
      </c>
      <c r="D98" s="75">
        <v>1400</v>
      </c>
      <c r="E98" s="76">
        <v>5.28E-2</v>
      </c>
      <c r="F98" s="143">
        <f t="shared" si="92"/>
        <v>172.69850467399999</v>
      </c>
      <c r="G98" s="78"/>
      <c r="H98" s="77"/>
      <c r="I98" s="143">
        <f>F98+G98-H98</f>
        <v>172.69850467399999</v>
      </c>
      <c r="J98" s="144">
        <f t="shared" si="93"/>
        <v>99.088924322727195</v>
      </c>
      <c r="K98" s="145">
        <f>AVERAGE(F98,I98)*E98</f>
        <v>9.1184810467871991</v>
      </c>
      <c r="L98" s="146"/>
      <c r="M98" s="147">
        <f>J98+K98-L98</f>
        <v>108.20740536951439</v>
      </c>
      <c r="N98" s="148">
        <f>F98-J98</f>
        <v>73.609580351272797</v>
      </c>
      <c r="O98" s="148">
        <f>I98-M98</f>
        <v>64.491099304485601</v>
      </c>
    </row>
    <row r="99" spans="2:16" ht="15.75" thickBot="1">
      <c r="B99" s="79">
        <v>6</v>
      </c>
      <c r="C99" s="192" t="s">
        <v>501</v>
      </c>
      <c r="D99" s="81">
        <v>1500</v>
      </c>
      <c r="E99" s="82">
        <v>5.28E-2</v>
      </c>
      <c r="F99" s="149">
        <f t="shared" si="92"/>
        <v>543.04168383800004</v>
      </c>
      <c r="G99" s="84"/>
      <c r="H99" s="83"/>
      <c r="I99" s="149">
        <f>F99+G99-H99</f>
        <v>543.04168383800004</v>
      </c>
      <c r="J99" s="144">
        <f t="shared" si="93"/>
        <v>358.26929576323192</v>
      </c>
      <c r="K99" s="151">
        <f t="shared" ref="K99:K101" si="99">AVERAGE(F99,I99)*E99</f>
        <v>28.672600906646402</v>
      </c>
      <c r="L99" s="152"/>
      <c r="M99" s="153">
        <f t="shared" ref="M99:M101" si="100">J99+K99-L99</f>
        <v>386.9418966698783</v>
      </c>
      <c r="N99" s="149">
        <f t="shared" ref="N99:N101" si="101">F99-J99</f>
        <v>184.77238807476812</v>
      </c>
      <c r="O99" s="149">
        <f t="shared" ref="O99:O101" si="102">I99-M99</f>
        <v>156.09978716812174</v>
      </c>
    </row>
    <row r="100" spans="2:16" ht="15.75" thickBot="1">
      <c r="B100" s="79">
        <v>7</v>
      </c>
      <c r="C100" s="192" t="s">
        <v>502</v>
      </c>
      <c r="D100" s="81">
        <v>1600</v>
      </c>
      <c r="E100" s="82">
        <v>3.3399999999999999E-2</v>
      </c>
      <c r="F100" s="149">
        <f t="shared" si="92"/>
        <v>14.246456906999999</v>
      </c>
      <c r="G100" s="84"/>
      <c r="H100" s="83"/>
      <c r="I100" s="149">
        <f t="shared" ref="I100:I101" si="103">F100+G100-H100</f>
        <v>14.246456906999999</v>
      </c>
      <c r="J100" s="144">
        <f t="shared" si="93"/>
        <v>4.1722453325219</v>
      </c>
      <c r="K100" s="151">
        <f t="shared" si="99"/>
        <v>0.47583166069379995</v>
      </c>
      <c r="L100" s="152"/>
      <c r="M100" s="153">
        <f t="shared" si="100"/>
        <v>4.6480769932156996</v>
      </c>
      <c r="N100" s="149">
        <f t="shared" si="101"/>
        <v>10.074211574478099</v>
      </c>
      <c r="O100" s="149">
        <f t="shared" si="102"/>
        <v>9.5983799137842993</v>
      </c>
    </row>
    <row r="101" spans="2:16" ht="15.75" thickBot="1">
      <c r="B101" s="79">
        <v>8</v>
      </c>
      <c r="C101" s="192" t="s">
        <v>132</v>
      </c>
      <c r="D101" s="81">
        <v>1700</v>
      </c>
      <c r="E101" s="87">
        <v>9.5000000000000001E-2</v>
      </c>
      <c r="F101" s="149">
        <f t="shared" si="92"/>
        <v>0</v>
      </c>
      <c r="G101" s="84"/>
      <c r="H101" s="85"/>
      <c r="I101" s="149">
        <f t="shared" si="103"/>
        <v>0</v>
      </c>
      <c r="J101" s="144">
        <f t="shared" si="93"/>
        <v>0</v>
      </c>
      <c r="K101" s="151">
        <f t="shared" si="99"/>
        <v>0</v>
      </c>
      <c r="L101" s="152"/>
      <c r="M101" s="153">
        <f t="shared" si="100"/>
        <v>0</v>
      </c>
      <c r="N101" s="149">
        <f t="shared" si="101"/>
        <v>0</v>
      </c>
      <c r="O101" s="149">
        <f t="shared" si="102"/>
        <v>0</v>
      </c>
    </row>
    <row r="102" spans="2:16" ht="15.75" thickBot="1">
      <c r="B102" s="72">
        <v>9</v>
      </c>
      <c r="C102" s="192" t="s">
        <v>503</v>
      </c>
      <c r="D102" s="75">
        <v>1800</v>
      </c>
      <c r="E102" s="76">
        <v>6.3299999999999995E-2</v>
      </c>
      <c r="F102" s="143">
        <f t="shared" si="92"/>
        <v>0.23303650200000001</v>
      </c>
      <c r="G102" s="78"/>
      <c r="H102" s="77"/>
      <c r="I102" s="143">
        <f>F102+G102-H102</f>
        <v>0.23303650200000001</v>
      </c>
      <c r="J102" s="144">
        <f t="shared" si="93"/>
        <v>0.19120943552080003</v>
      </c>
      <c r="K102" s="145">
        <f>AVERAGE(F102,I102)*E102</f>
        <v>1.4751210576599999E-2</v>
      </c>
      <c r="L102" s="146"/>
      <c r="M102" s="147">
        <f>J102+K102-L102</f>
        <v>0.20596064609740003</v>
      </c>
      <c r="N102" s="148">
        <f>F102-J102</f>
        <v>4.1827066479199981E-2</v>
      </c>
      <c r="O102" s="148">
        <f>I102-M102</f>
        <v>2.7075855902599977E-2</v>
      </c>
    </row>
    <row r="103" spans="2:16" ht="15.75" thickBot="1">
      <c r="B103" s="79">
        <v>10</v>
      </c>
      <c r="C103" s="192" t="s">
        <v>504</v>
      </c>
      <c r="D103" s="81">
        <v>1900</v>
      </c>
      <c r="E103" s="82">
        <v>0.15</v>
      </c>
      <c r="F103" s="149">
        <f t="shared" si="92"/>
        <v>0.196849198</v>
      </c>
      <c r="G103" s="84"/>
      <c r="H103" s="83"/>
      <c r="I103" s="149">
        <f>F103+G103-H103</f>
        <v>0.196849198</v>
      </c>
      <c r="J103" s="144">
        <f t="shared" si="93"/>
        <v>0.32169558050000008</v>
      </c>
      <c r="K103" s="151">
        <f t="shared" ref="K103:K105" si="104">AVERAGE(F103,I103)*E103</f>
        <v>2.9527379699999998E-2</v>
      </c>
      <c r="L103" s="152"/>
      <c r="M103" s="153">
        <f t="shared" ref="M103:M105" si="105">J103+K103-L103</f>
        <v>0.3512229602000001</v>
      </c>
      <c r="N103" s="149">
        <f t="shared" ref="N103:N105" si="106">F103-J103</f>
        <v>-0.12484638250000007</v>
      </c>
      <c r="O103" s="149">
        <f t="shared" ref="O103:O105" si="107">I103-M103</f>
        <v>-0.1543737622000001</v>
      </c>
    </row>
    <row r="104" spans="2:16" ht="15">
      <c r="B104" s="79">
        <v>11</v>
      </c>
      <c r="C104" s="192" t="s">
        <v>134</v>
      </c>
      <c r="D104" s="81">
        <v>2100</v>
      </c>
      <c r="E104" s="82">
        <v>6.3299999999999995E-2</v>
      </c>
      <c r="F104" s="149">
        <f t="shared" si="92"/>
        <v>5.2523479999999997E-2</v>
      </c>
      <c r="G104" s="84"/>
      <c r="H104" s="83"/>
      <c r="I104" s="149">
        <f t="shared" ref="I104:I105" si="108">F104+G104-H104</f>
        <v>5.2523479999999997E-2</v>
      </c>
      <c r="J104" s="144">
        <f t="shared" si="93"/>
        <v>3.0113080234999996E-2</v>
      </c>
      <c r="K104" s="151">
        <f t="shared" si="104"/>
        <v>3.3247362839999997E-3</v>
      </c>
      <c r="L104" s="152"/>
      <c r="M104" s="153">
        <f t="shared" si="105"/>
        <v>3.3437816518999998E-2</v>
      </c>
      <c r="N104" s="149">
        <f t="shared" si="106"/>
        <v>2.2410399765000002E-2</v>
      </c>
      <c r="O104" s="149">
        <f t="shared" si="107"/>
        <v>1.9085663480999999E-2</v>
      </c>
    </row>
    <row r="105" spans="2:16" ht="15">
      <c r="B105" s="79"/>
      <c r="C105" s="192" t="s">
        <v>505</v>
      </c>
      <c r="D105" s="81">
        <v>2200</v>
      </c>
      <c r="E105" s="87">
        <v>0</v>
      </c>
      <c r="F105" s="149">
        <f t="shared" si="92"/>
        <v>0</v>
      </c>
      <c r="G105" s="84"/>
      <c r="H105" s="85"/>
      <c r="I105" s="149">
        <f t="shared" si="108"/>
        <v>0</v>
      </c>
      <c r="J105" s="150"/>
      <c r="K105" s="151">
        <f t="shared" si="104"/>
        <v>0</v>
      </c>
      <c r="L105" s="152"/>
      <c r="M105" s="153">
        <f t="shared" si="105"/>
        <v>0</v>
      </c>
      <c r="N105" s="149">
        <f t="shared" si="106"/>
        <v>0</v>
      </c>
      <c r="O105" s="149">
        <f t="shared" si="107"/>
        <v>0</v>
      </c>
      <c r="P105" s="193"/>
    </row>
    <row r="106" spans="2:16" ht="15.75" thickBot="1">
      <c r="B106" s="88"/>
      <c r="C106" s="89" t="s">
        <v>139</v>
      </c>
      <c r="D106" s="89"/>
      <c r="E106" s="154">
        <f>IFERROR((K106-L106)/AVERAGE(F106,I106),0)</f>
        <v>3.0292328584358104E-2</v>
      </c>
      <c r="F106" s="155">
        <f>I89</f>
        <v>3804.557961343</v>
      </c>
      <c r="G106" s="155">
        <f>'F3'!L12</f>
        <v>0</v>
      </c>
      <c r="H106" s="155">
        <f t="shared" ref="H106:L106" si="109">SUM(H102:H105)</f>
        <v>0</v>
      </c>
      <c r="I106" s="155">
        <f>F106+G106</f>
        <v>3804.557961343</v>
      </c>
      <c r="J106" s="156">
        <f>M89</f>
        <v>1810.618884423355</v>
      </c>
      <c r="K106" s="155">
        <v>115.24891988323775</v>
      </c>
      <c r="L106" s="157">
        <f t="shared" si="109"/>
        <v>0</v>
      </c>
      <c r="M106" s="156">
        <f>J106+K106</f>
        <v>1925.8678043065927</v>
      </c>
      <c r="N106" s="155">
        <f>F106-J106</f>
        <v>1993.939076919645</v>
      </c>
      <c r="O106" s="155">
        <f>I106-M106</f>
        <v>1878.6901570364073</v>
      </c>
      <c r="P106" s="193"/>
    </row>
    <row r="107" spans="2:16" ht="15" thickBot="1">
      <c r="F107" s="193">
        <f>SUM(F94:F105)</f>
        <v>3804.5579613429995</v>
      </c>
      <c r="G107" s="193">
        <f t="shared" ref="G107:O107" si="110">SUM(G94:G105)</f>
        <v>0</v>
      </c>
      <c r="H107" s="193">
        <f t="shared" si="110"/>
        <v>0</v>
      </c>
      <c r="I107" s="193">
        <f t="shared" si="110"/>
        <v>3804.5579613429995</v>
      </c>
      <c r="J107" s="193">
        <f t="shared" si="110"/>
        <v>1810.6188844233552</v>
      </c>
      <c r="K107" s="193">
        <f t="shared" si="110"/>
        <v>115.24891988323773</v>
      </c>
      <c r="L107" s="193">
        <f t="shared" si="110"/>
        <v>0</v>
      </c>
      <c r="M107" s="193">
        <f t="shared" si="110"/>
        <v>1925.8678043065927</v>
      </c>
      <c r="N107" s="193">
        <f t="shared" si="110"/>
        <v>1993.9390769196445</v>
      </c>
      <c r="O107" s="193">
        <f t="shared" si="110"/>
        <v>1878.6901570364071</v>
      </c>
    </row>
    <row r="108" spans="2:16" ht="15">
      <c r="B108" s="338" t="s">
        <v>488</v>
      </c>
      <c r="C108" s="339"/>
      <c r="D108" s="339"/>
      <c r="E108" s="339"/>
      <c r="F108" s="339"/>
      <c r="G108" s="339"/>
      <c r="H108" s="339"/>
      <c r="I108" s="339"/>
      <c r="J108" s="339"/>
      <c r="K108" s="339"/>
      <c r="L108" s="339"/>
      <c r="M108" s="339"/>
      <c r="N108" s="339"/>
      <c r="O108" s="340"/>
    </row>
    <row r="109" spans="2:16" ht="15">
      <c r="B109" s="341" t="s">
        <v>2</v>
      </c>
      <c r="C109" s="343" t="s">
        <v>300</v>
      </c>
      <c r="D109" s="345" t="s">
        <v>288</v>
      </c>
      <c r="E109" s="345" t="s">
        <v>289</v>
      </c>
      <c r="F109" s="345" t="s">
        <v>290</v>
      </c>
      <c r="G109" s="345"/>
      <c r="H109" s="345"/>
      <c r="I109" s="345"/>
      <c r="J109" s="345" t="s">
        <v>291</v>
      </c>
      <c r="K109" s="345"/>
      <c r="L109" s="345"/>
      <c r="M109" s="345"/>
      <c r="N109" s="345" t="s">
        <v>292</v>
      </c>
      <c r="O109" s="347"/>
    </row>
    <row r="110" spans="2:16" ht="60.75" thickBot="1">
      <c r="B110" s="342"/>
      <c r="C110" s="344"/>
      <c r="D110" s="346"/>
      <c r="E110" s="346"/>
      <c r="F110" s="73" t="s">
        <v>293</v>
      </c>
      <c r="G110" s="73" t="s">
        <v>138</v>
      </c>
      <c r="H110" s="73" t="s">
        <v>294</v>
      </c>
      <c r="I110" s="73" t="s">
        <v>295</v>
      </c>
      <c r="J110" s="73" t="s">
        <v>296</v>
      </c>
      <c r="K110" s="73" t="s">
        <v>138</v>
      </c>
      <c r="L110" s="73" t="s">
        <v>297</v>
      </c>
      <c r="M110" s="73" t="s">
        <v>298</v>
      </c>
      <c r="N110" s="73" t="s">
        <v>293</v>
      </c>
      <c r="O110" s="74" t="s">
        <v>295</v>
      </c>
    </row>
    <row r="111" spans="2:16" ht="15.75" thickBot="1">
      <c r="B111" s="72">
        <v>1</v>
      </c>
      <c r="C111" s="86" t="s">
        <v>498</v>
      </c>
      <c r="D111" s="75">
        <v>1000</v>
      </c>
      <c r="E111" s="76">
        <v>0</v>
      </c>
      <c r="F111" s="143">
        <f t="shared" ref="F111:F122" si="111">I94</f>
        <v>0</v>
      </c>
      <c r="G111" s="78"/>
      <c r="H111" s="77"/>
      <c r="I111" s="143">
        <f>F111+G111-H111</f>
        <v>0</v>
      </c>
      <c r="J111" s="144">
        <f>M94</f>
        <v>0</v>
      </c>
      <c r="K111" s="145">
        <f>AVERAGE(F111,I111)*E111</f>
        <v>0</v>
      </c>
      <c r="L111" s="146"/>
      <c r="M111" s="147">
        <f>J111+K111-L111</f>
        <v>0</v>
      </c>
      <c r="N111" s="148">
        <f>F111-J111</f>
        <v>0</v>
      </c>
      <c r="O111" s="148">
        <f>I111-M111</f>
        <v>0</v>
      </c>
    </row>
    <row r="112" spans="2:16" ht="15.75" thickBot="1">
      <c r="B112" s="79">
        <v>2</v>
      </c>
      <c r="C112" s="80" t="s">
        <v>128</v>
      </c>
      <c r="D112" s="81">
        <v>1100</v>
      </c>
      <c r="E112" s="82">
        <v>3.3399999999999999E-2</v>
      </c>
      <c r="F112" s="149">
        <f t="shared" si="111"/>
        <v>214.80770280499999</v>
      </c>
      <c r="G112" s="84"/>
      <c r="H112" s="83"/>
      <c r="I112" s="149">
        <f>F112+G112-H112</f>
        <v>214.80770280499999</v>
      </c>
      <c r="J112" s="144">
        <f t="shared" ref="J112:J122" si="112">M95</f>
        <v>68.645089559060196</v>
      </c>
      <c r="K112" s="151">
        <f t="shared" ref="K112:K113" si="113">AVERAGE(F112,I112)*E112</f>
        <v>7.1745772736869995</v>
      </c>
      <c r="L112" s="152"/>
      <c r="M112" s="153">
        <f t="shared" ref="M112:M114" si="114">J112+K112-L112</f>
        <v>75.819666832747203</v>
      </c>
      <c r="N112" s="149">
        <f t="shared" ref="N112:N114" si="115">F112-J112</f>
        <v>146.16261324593978</v>
      </c>
      <c r="O112" s="149">
        <f t="shared" ref="O112:O114" si="116">I112-M112</f>
        <v>138.98803597225279</v>
      </c>
    </row>
    <row r="113" spans="2:16" ht="15.75" thickBot="1">
      <c r="B113" s="79">
        <v>3</v>
      </c>
      <c r="C113" s="86" t="s">
        <v>499</v>
      </c>
      <c r="D113" s="81">
        <v>1200</v>
      </c>
      <c r="E113" s="82">
        <v>5.28E-2</v>
      </c>
      <c r="F113" s="149">
        <f t="shared" si="111"/>
        <v>68.390140982000005</v>
      </c>
      <c r="G113" s="84"/>
      <c r="H113" s="83"/>
      <c r="I113" s="149">
        <f t="shared" ref="I113:I114" si="117">F113+G113-H113</f>
        <v>68.390140982000005</v>
      </c>
      <c r="J113" s="144">
        <f t="shared" si="112"/>
        <v>46.438931501097606</v>
      </c>
      <c r="K113" s="151">
        <f t="shared" si="113"/>
        <v>3.6109994438496003</v>
      </c>
      <c r="L113" s="152"/>
      <c r="M113" s="153">
        <f t="shared" si="114"/>
        <v>50.049930944947207</v>
      </c>
      <c r="N113" s="149">
        <f t="shared" si="115"/>
        <v>21.951209480902399</v>
      </c>
      <c r="O113" s="149">
        <f t="shared" si="116"/>
        <v>18.340210037052799</v>
      </c>
    </row>
    <row r="114" spans="2:16" ht="15.75" thickBot="1">
      <c r="B114" s="79">
        <v>4</v>
      </c>
      <c r="C114" s="192" t="s">
        <v>127</v>
      </c>
      <c r="D114" s="81">
        <v>1300</v>
      </c>
      <c r="E114" s="87">
        <v>5.28E-2</v>
      </c>
      <c r="F114" s="149">
        <f t="shared" si="111"/>
        <v>2790.8910629569996</v>
      </c>
      <c r="G114" s="84"/>
      <c r="H114" s="85"/>
      <c r="I114" s="149">
        <f t="shared" si="117"/>
        <v>2790.8910629569996</v>
      </c>
      <c r="J114" s="144">
        <f t="shared" si="112"/>
        <v>1310.3957827910103</v>
      </c>
      <c r="K114" s="151">
        <v>66.148826225013153</v>
      </c>
      <c r="L114" s="152"/>
      <c r="M114" s="153">
        <f t="shared" si="114"/>
        <v>1376.5446090160235</v>
      </c>
      <c r="N114" s="149">
        <f t="shared" si="115"/>
        <v>1480.4952801659892</v>
      </c>
      <c r="O114" s="149">
        <f t="shared" si="116"/>
        <v>1414.3464539409761</v>
      </c>
    </row>
    <row r="115" spans="2:16" ht="15.75" thickBot="1">
      <c r="B115" s="72">
        <v>5</v>
      </c>
      <c r="C115" s="192" t="s">
        <v>500</v>
      </c>
      <c r="D115" s="75">
        <v>1400</v>
      </c>
      <c r="E115" s="76">
        <v>5.28E-2</v>
      </c>
      <c r="F115" s="143">
        <f t="shared" si="111"/>
        <v>172.69850467399999</v>
      </c>
      <c r="G115" s="78"/>
      <c r="H115" s="77"/>
      <c r="I115" s="143">
        <f>F115+G115-H115</f>
        <v>172.69850467399999</v>
      </c>
      <c r="J115" s="144">
        <f t="shared" si="112"/>
        <v>108.20740536951439</v>
      </c>
      <c r="K115" s="145">
        <f>AVERAGE(F115,I115)*E115</f>
        <v>9.1184810467871991</v>
      </c>
      <c r="L115" s="146"/>
      <c r="M115" s="147">
        <f>J115+K115-L115</f>
        <v>117.32588641630159</v>
      </c>
      <c r="N115" s="148">
        <f>F115-J115</f>
        <v>64.491099304485601</v>
      </c>
      <c r="O115" s="148">
        <f>I115-M115</f>
        <v>55.372618257698406</v>
      </c>
    </row>
    <row r="116" spans="2:16" ht="15.75" thickBot="1">
      <c r="B116" s="79">
        <v>6</v>
      </c>
      <c r="C116" s="192" t="s">
        <v>501</v>
      </c>
      <c r="D116" s="81">
        <v>1500</v>
      </c>
      <c r="E116" s="82">
        <v>5.28E-2</v>
      </c>
      <c r="F116" s="149">
        <f t="shared" si="111"/>
        <v>543.04168383800004</v>
      </c>
      <c r="G116" s="84"/>
      <c r="H116" s="83"/>
      <c r="I116" s="149">
        <f>F116+G116-H116</f>
        <v>543.04168383800004</v>
      </c>
      <c r="J116" s="144">
        <f t="shared" si="112"/>
        <v>386.9418966698783</v>
      </c>
      <c r="K116" s="151">
        <f t="shared" ref="K116:K118" si="118">AVERAGE(F116,I116)*E116</f>
        <v>28.672600906646402</v>
      </c>
      <c r="L116" s="152"/>
      <c r="M116" s="153">
        <f t="shared" ref="M116:M118" si="119">J116+K116-L116</f>
        <v>415.61449757652468</v>
      </c>
      <c r="N116" s="149">
        <f t="shared" ref="N116:N118" si="120">F116-J116</f>
        <v>156.09978716812174</v>
      </c>
      <c r="O116" s="149">
        <f t="shared" ref="O116:O118" si="121">I116-M116</f>
        <v>127.42718626147536</v>
      </c>
    </row>
    <row r="117" spans="2:16" ht="15.75" thickBot="1">
      <c r="B117" s="79">
        <v>7</v>
      </c>
      <c r="C117" s="192" t="s">
        <v>502</v>
      </c>
      <c r="D117" s="81">
        <v>1600</v>
      </c>
      <c r="E117" s="82">
        <v>3.3399999999999999E-2</v>
      </c>
      <c r="F117" s="149">
        <f t="shared" si="111"/>
        <v>14.246456906999999</v>
      </c>
      <c r="G117" s="84"/>
      <c r="H117" s="83"/>
      <c r="I117" s="149">
        <f t="shared" ref="I117:I118" si="122">F117+G117-H117</f>
        <v>14.246456906999999</v>
      </c>
      <c r="J117" s="144">
        <f t="shared" si="112"/>
        <v>4.6480769932156996</v>
      </c>
      <c r="K117" s="151">
        <f t="shared" si="118"/>
        <v>0.47583166069379995</v>
      </c>
      <c r="L117" s="152"/>
      <c r="M117" s="153">
        <f t="shared" si="119"/>
        <v>5.1239086539094991</v>
      </c>
      <c r="N117" s="149">
        <f t="shared" si="120"/>
        <v>9.5983799137842993</v>
      </c>
      <c r="O117" s="149">
        <f t="shared" si="121"/>
        <v>9.1225482530904998</v>
      </c>
    </row>
    <row r="118" spans="2:16" ht="15.75" thickBot="1">
      <c r="B118" s="79">
        <v>8</v>
      </c>
      <c r="C118" s="192" t="s">
        <v>132</v>
      </c>
      <c r="D118" s="81">
        <v>1700</v>
      </c>
      <c r="E118" s="87">
        <v>9.5000000000000001E-2</v>
      </c>
      <c r="F118" s="149">
        <f t="shared" si="111"/>
        <v>0</v>
      </c>
      <c r="G118" s="84"/>
      <c r="H118" s="85"/>
      <c r="I118" s="149">
        <f t="shared" si="122"/>
        <v>0</v>
      </c>
      <c r="J118" s="144">
        <f t="shared" si="112"/>
        <v>0</v>
      </c>
      <c r="K118" s="151">
        <f t="shared" si="118"/>
        <v>0</v>
      </c>
      <c r="L118" s="152"/>
      <c r="M118" s="153">
        <f t="shared" si="119"/>
        <v>0</v>
      </c>
      <c r="N118" s="149">
        <f t="shared" si="120"/>
        <v>0</v>
      </c>
      <c r="O118" s="149">
        <f t="shared" si="121"/>
        <v>0</v>
      </c>
    </row>
    <row r="119" spans="2:16" ht="15.75" thickBot="1">
      <c r="B119" s="72">
        <v>9</v>
      </c>
      <c r="C119" s="192" t="s">
        <v>503</v>
      </c>
      <c r="D119" s="75">
        <v>1800</v>
      </c>
      <c r="E119" s="76">
        <v>6.3299999999999995E-2</v>
      </c>
      <c r="F119" s="143">
        <f t="shared" si="111"/>
        <v>0.23303650200000001</v>
      </c>
      <c r="G119" s="78"/>
      <c r="H119" s="77"/>
      <c r="I119" s="143">
        <f>F119+G119-H119</f>
        <v>0.23303650200000001</v>
      </c>
      <c r="J119" s="144">
        <f t="shared" si="112"/>
        <v>0.20596064609740003</v>
      </c>
      <c r="K119" s="145">
        <f>AVERAGE(F119,I119)*E119</f>
        <v>1.4751210576599999E-2</v>
      </c>
      <c r="L119" s="146"/>
      <c r="M119" s="147">
        <f>J119+K119-L119</f>
        <v>0.22071185667400003</v>
      </c>
      <c r="N119" s="148">
        <f>F119-J119</f>
        <v>2.7075855902599977E-2</v>
      </c>
      <c r="O119" s="148">
        <f>I119-M119</f>
        <v>1.2324645325999972E-2</v>
      </c>
    </row>
    <row r="120" spans="2:16" ht="15.75" thickBot="1">
      <c r="B120" s="79">
        <v>10</v>
      </c>
      <c r="C120" s="192" t="s">
        <v>504</v>
      </c>
      <c r="D120" s="81">
        <v>1900</v>
      </c>
      <c r="E120" s="82">
        <v>0.15</v>
      </c>
      <c r="F120" s="149">
        <f t="shared" si="111"/>
        <v>0.196849198</v>
      </c>
      <c r="G120" s="84"/>
      <c r="H120" s="83"/>
      <c r="I120" s="149">
        <f>F120+G120-H120</f>
        <v>0.196849198</v>
      </c>
      <c r="J120" s="144">
        <f t="shared" si="112"/>
        <v>0.3512229602000001</v>
      </c>
      <c r="K120" s="151">
        <f t="shared" ref="K120:K122" si="123">AVERAGE(F120,I120)*E120</f>
        <v>2.9527379699999998E-2</v>
      </c>
      <c r="L120" s="152"/>
      <c r="M120" s="153">
        <f t="shared" ref="M120:M122" si="124">J120+K120-L120</f>
        <v>0.38075033990000012</v>
      </c>
      <c r="N120" s="149">
        <f t="shared" ref="N120:N122" si="125">F120-J120</f>
        <v>-0.1543737622000001</v>
      </c>
      <c r="O120" s="149">
        <f t="shared" ref="O120:O122" si="126">I120-M120</f>
        <v>-0.18390114190000012</v>
      </c>
    </row>
    <row r="121" spans="2:16" ht="15.75" thickBot="1">
      <c r="B121" s="79">
        <v>11</v>
      </c>
      <c r="C121" s="192" t="s">
        <v>134</v>
      </c>
      <c r="D121" s="81">
        <v>2100</v>
      </c>
      <c r="E121" s="82">
        <v>6.3299999999999995E-2</v>
      </c>
      <c r="F121" s="149">
        <f t="shared" si="111"/>
        <v>5.2523479999999997E-2</v>
      </c>
      <c r="G121" s="84"/>
      <c r="H121" s="83"/>
      <c r="I121" s="149">
        <f t="shared" ref="I121:I122" si="127">F121+G121-H121</f>
        <v>5.2523479999999997E-2</v>
      </c>
      <c r="J121" s="144">
        <f t="shared" si="112"/>
        <v>3.3437816518999998E-2</v>
      </c>
      <c r="K121" s="151">
        <f t="shared" si="123"/>
        <v>3.3247362839999997E-3</v>
      </c>
      <c r="L121" s="152"/>
      <c r="M121" s="153">
        <f t="shared" si="124"/>
        <v>3.6762552802999997E-2</v>
      </c>
      <c r="N121" s="149">
        <f t="shared" si="125"/>
        <v>1.9085663480999999E-2</v>
      </c>
      <c r="O121" s="149">
        <f t="shared" si="126"/>
        <v>1.5760927197000001E-2</v>
      </c>
    </row>
    <row r="122" spans="2:16" ht="15">
      <c r="B122" s="79"/>
      <c r="C122" s="192" t="s">
        <v>505</v>
      </c>
      <c r="D122" s="81">
        <v>2200</v>
      </c>
      <c r="E122" s="87">
        <v>0</v>
      </c>
      <c r="F122" s="149">
        <f t="shared" si="111"/>
        <v>0</v>
      </c>
      <c r="G122" s="84"/>
      <c r="H122" s="85"/>
      <c r="I122" s="149">
        <f t="shared" si="127"/>
        <v>0</v>
      </c>
      <c r="J122" s="144">
        <f t="shared" si="112"/>
        <v>0</v>
      </c>
      <c r="K122" s="151">
        <f t="shared" si="123"/>
        <v>0</v>
      </c>
      <c r="L122" s="152"/>
      <c r="M122" s="153">
        <f t="shared" si="124"/>
        <v>0</v>
      </c>
      <c r="N122" s="149">
        <f t="shared" si="125"/>
        <v>0</v>
      </c>
      <c r="O122" s="149">
        <f t="shared" si="126"/>
        <v>0</v>
      </c>
    </row>
    <row r="123" spans="2:16" ht="15.75" thickBot="1">
      <c r="B123" s="88"/>
      <c r="C123" s="89" t="s">
        <v>139</v>
      </c>
      <c r="D123" s="89"/>
      <c r="E123" s="154">
        <f>IFERROR((K123-L123)/AVERAGE(F123,I123),0)</f>
        <v>3.0292328584358107E-2</v>
      </c>
      <c r="F123" s="155">
        <f>I106</f>
        <v>3804.557961343</v>
      </c>
      <c r="G123" s="155">
        <f>'F3'!M12</f>
        <v>0</v>
      </c>
      <c r="H123" s="155">
        <f t="shared" ref="H123:O123" si="128">SUM(H119:H122)</f>
        <v>0</v>
      </c>
      <c r="I123" s="155">
        <f>F123+G123</f>
        <v>3804.557961343</v>
      </c>
      <c r="J123" s="156">
        <f>M106</f>
        <v>1925.8678043065927</v>
      </c>
      <c r="K123" s="155">
        <v>115.24891988323776</v>
      </c>
      <c r="L123" s="157">
        <f t="shared" si="128"/>
        <v>0</v>
      </c>
      <c r="M123" s="156">
        <f>J123+K123</f>
        <v>2041.1167241898304</v>
      </c>
      <c r="N123" s="155">
        <f t="shared" si="128"/>
        <v>-0.10821224281640013</v>
      </c>
      <c r="O123" s="155">
        <f t="shared" si="128"/>
        <v>-0.15581556937700014</v>
      </c>
      <c r="P123" s="193"/>
    </row>
    <row r="124" spans="2:16" hidden="1">
      <c r="F124" s="193">
        <f>SUM(F111:F122)</f>
        <v>3804.5579613429995</v>
      </c>
      <c r="G124" s="193">
        <f t="shared" ref="G124:O124" si="129">SUM(G111:G122)</f>
        <v>0</v>
      </c>
      <c r="H124" s="193">
        <f t="shared" si="129"/>
        <v>0</v>
      </c>
      <c r="I124" s="193">
        <f t="shared" si="129"/>
        <v>3804.5579613429995</v>
      </c>
      <c r="J124" s="193">
        <f t="shared" si="129"/>
        <v>1925.8678043065927</v>
      </c>
      <c r="K124" s="193">
        <f t="shared" si="129"/>
        <v>115.24891988323776</v>
      </c>
      <c r="L124" s="193">
        <f t="shared" si="129"/>
        <v>0</v>
      </c>
      <c r="M124" s="193">
        <f t="shared" si="129"/>
        <v>2041.1167241898306</v>
      </c>
      <c r="N124" s="193">
        <f t="shared" si="129"/>
        <v>1878.6901570364071</v>
      </c>
      <c r="O124" s="193">
        <f t="shared" si="129"/>
        <v>1763.4412371531691</v>
      </c>
      <c r="P124" s="193"/>
    </row>
  </sheetData>
  <mergeCells count="59"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57:O57"/>
    <mergeCell ref="B58:B59"/>
    <mergeCell ref="C58:C59"/>
    <mergeCell ref="D58:D59"/>
    <mergeCell ref="E58:E59"/>
    <mergeCell ref="F58:I58"/>
    <mergeCell ref="J58:M58"/>
    <mergeCell ref="N58:O58"/>
    <mergeCell ref="F92:I92"/>
    <mergeCell ref="J92:M92"/>
    <mergeCell ref="N92:O92"/>
    <mergeCell ref="B74:O74"/>
    <mergeCell ref="B75:B76"/>
    <mergeCell ref="C75:C76"/>
    <mergeCell ref="D75:D76"/>
    <mergeCell ref="E75:E76"/>
    <mergeCell ref="F75:I75"/>
    <mergeCell ref="J75:M75"/>
    <mergeCell ref="N75:O75"/>
    <mergeCell ref="B2:O2"/>
    <mergeCell ref="B3:O3"/>
    <mergeCell ref="B4:O4"/>
    <mergeCell ref="B108:O108"/>
    <mergeCell ref="B109:B110"/>
    <mergeCell ref="C109:C110"/>
    <mergeCell ref="D109:D110"/>
    <mergeCell ref="E109:E110"/>
    <mergeCell ref="F109:I109"/>
    <mergeCell ref="J109:M109"/>
    <mergeCell ref="N109:O109"/>
    <mergeCell ref="B91:O91"/>
    <mergeCell ref="B92:B93"/>
    <mergeCell ref="C92:C93"/>
    <mergeCell ref="D92:D93"/>
    <mergeCell ref="E92:E93"/>
  </mergeCells>
  <pageMargins left="0.31496062992125984" right="0.23622047244094491" top="0.27559055118110237" bottom="0.19685039370078741" header="0.23622047244094491" footer="0.19685039370078741"/>
  <pageSetup paperSize="9" scale="73" orientation="landscape" r:id="rId1"/>
  <headerFooter alignWithMargins="0">
    <oddHeader>&amp;F</oddHeader>
  </headerFooter>
  <rowBreaks count="2" manualBreakCount="2">
    <brk id="39" max="16383" man="1"/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62"/>
  <sheetViews>
    <sheetView showGridLines="0" view="pageBreakPreview" zoomScale="90" zoomScaleNormal="80" zoomScaleSheetLayoutView="90" workbookViewId="0">
      <selection activeCell="E12" sqref="E1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49.42578125" style="5" customWidth="1"/>
    <col min="4" max="6" width="14.42578125" style="5" bestFit="1" customWidth="1"/>
    <col min="7" max="7" width="13.85546875" style="5" bestFit="1" customWidth="1"/>
    <col min="8" max="8" width="12.5703125" style="5" customWidth="1"/>
    <col min="9" max="13" width="14.42578125" style="5" bestFit="1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2:13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</row>
    <row r="4" spans="2:13" ht="15.75">
      <c r="B4" s="310" t="s">
        <v>549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</row>
    <row r="5" spans="2:13" ht="15">
      <c r="B5" s="40" t="s">
        <v>57</v>
      </c>
      <c r="C5" s="30" t="s">
        <v>306</v>
      </c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317" t="s">
        <v>210</v>
      </c>
      <c r="C7" s="320" t="s">
        <v>18</v>
      </c>
      <c r="D7" s="324" t="s">
        <v>254</v>
      </c>
      <c r="E7" s="325"/>
      <c r="F7" s="326"/>
      <c r="G7" s="324" t="s">
        <v>253</v>
      </c>
      <c r="H7" s="325"/>
      <c r="I7" s="329" t="s">
        <v>252</v>
      </c>
      <c r="J7" s="329"/>
      <c r="K7" s="329"/>
      <c r="L7" s="329"/>
      <c r="M7" s="329"/>
    </row>
    <row r="8" spans="2:13" s="19" customFormat="1" ht="30">
      <c r="B8" s="318"/>
      <c r="C8" s="320"/>
      <c r="D8" s="21" t="s">
        <v>394</v>
      </c>
      <c r="E8" s="21" t="s">
        <v>267</v>
      </c>
      <c r="F8" s="21" t="s">
        <v>226</v>
      </c>
      <c r="G8" s="21" t="s">
        <v>394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15">
      <c r="B9" s="319"/>
      <c r="C9" s="321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188</v>
      </c>
      <c r="D10" s="163">
        <f>'F4'!F21*70%</f>
        <v>2637.4367722877996</v>
      </c>
      <c r="E10" s="162">
        <f>D10</f>
        <v>2637.4367722877996</v>
      </c>
      <c r="F10" s="162">
        <f>E10</f>
        <v>2637.4367722877996</v>
      </c>
      <c r="G10" s="136">
        <f>H10</f>
        <v>2632.8882384538997</v>
      </c>
      <c r="H10" s="136">
        <f>'F4'!F38*70%</f>
        <v>2632.8882384538997</v>
      </c>
      <c r="I10" s="136">
        <f>H10+H14</f>
        <v>2638.6212384538999</v>
      </c>
      <c r="J10" s="136">
        <f t="shared" ref="J10:M10" si="0">I10+I14</f>
        <v>2640.9662384538997</v>
      </c>
      <c r="K10" s="136">
        <f t="shared" si="0"/>
        <v>2641.7292384538996</v>
      </c>
      <c r="L10" s="136">
        <f t="shared" si="0"/>
        <v>2663.1912384538996</v>
      </c>
      <c r="M10" s="136">
        <f t="shared" si="0"/>
        <v>2663.1912384538996</v>
      </c>
    </row>
    <row r="11" spans="2:13">
      <c r="B11" s="26">
        <f>B10+1</f>
        <v>2</v>
      </c>
      <c r="C11" s="33" t="s">
        <v>189</v>
      </c>
      <c r="D11" s="163">
        <f>'F4'!J21</f>
        <v>1082.318967485</v>
      </c>
      <c r="E11" s="162">
        <f>D11</f>
        <v>1082.318967485</v>
      </c>
      <c r="F11" s="162">
        <f>E11</f>
        <v>1082.318967485</v>
      </c>
      <c r="G11" s="136">
        <f>H11</f>
        <v>1276.6984049354603</v>
      </c>
      <c r="H11" s="136">
        <f>'F4'!J38</f>
        <v>1276.6984049354603</v>
      </c>
      <c r="I11" s="136">
        <f>H11+H15</f>
        <v>1471.1043622736418</v>
      </c>
      <c r="J11" s="136">
        <f t="shared" ref="J11:M11" si="1">I11+I15</f>
        <v>1584.1284446568795</v>
      </c>
      <c r="K11" s="136">
        <f t="shared" si="1"/>
        <v>1697.3409645401173</v>
      </c>
      <c r="L11" s="136">
        <f t="shared" si="1"/>
        <v>1810.618884423355</v>
      </c>
      <c r="M11" s="136">
        <f t="shared" si="1"/>
        <v>1925.8678043065927</v>
      </c>
    </row>
    <row r="12" spans="2:13" ht="15">
      <c r="B12" s="26">
        <f t="shared" ref="B12:B22" si="2">B11+1</f>
        <v>3</v>
      </c>
      <c r="C12" s="35" t="s">
        <v>190</v>
      </c>
      <c r="D12" s="142">
        <f>D10-D11</f>
        <v>1555.1178048027996</v>
      </c>
      <c r="E12" s="142">
        <f t="shared" ref="E12:M12" si="3">E10-E11</f>
        <v>1555.1178048027996</v>
      </c>
      <c r="F12" s="142">
        <f t="shared" si="3"/>
        <v>1555.1178048027996</v>
      </c>
      <c r="G12" s="142">
        <f>G10-G11</f>
        <v>1356.1898335184394</v>
      </c>
      <c r="H12" s="142">
        <f t="shared" si="3"/>
        <v>1356.1898335184394</v>
      </c>
      <c r="I12" s="142">
        <f>I10-I11</f>
        <v>1167.5168761802581</v>
      </c>
      <c r="J12" s="142">
        <f t="shared" si="3"/>
        <v>1056.8377937970201</v>
      </c>
      <c r="K12" s="142">
        <f t="shared" si="3"/>
        <v>944.38827391378231</v>
      </c>
      <c r="L12" s="142">
        <f t="shared" si="3"/>
        <v>852.5723540305446</v>
      </c>
      <c r="M12" s="142">
        <f t="shared" si="3"/>
        <v>737.3234341473069</v>
      </c>
    </row>
    <row r="13" spans="2:13" ht="28.5">
      <c r="B13" s="26">
        <f t="shared" si="2"/>
        <v>4</v>
      </c>
      <c r="C13" s="92" t="s">
        <v>191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</row>
    <row r="14" spans="2:13" s="39" customFormat="1" ht="28.5">
      <c r="B14" s="26">
        <f t="shared" si="2"/>
        <v>5</v>
      </c>
      <c r="C14" s="44" t="s">
        <v>432</v>
      </c>
      <c r="D14" s="161"/>
      <c r="E14" s="170">
        <f>F3.1!H18*70%</f>
        <v>-4.55</v>
      </c>
      <c r="F14" s="170">
        <f>E14</f>
        <v>-4.55</v>
      </c>
      <c r="G14" s="176"/>
      <c r="H14" s="176">
        <f>F3.1!H24*70%</f>
        <v>5.7329999999999997</v>
      </c>
      <c r="I14" s="176">
        <f>F3.1!H32*70%</f>
        <v>2.3449999999999998</v>
      </c>
      <c r="J14" s="176">
        <f>F3.1!H38*70%</f>
        <v>0.76300000000000001</v>
      </c>
      <c r="K14" s="176">
        <f>F3.1!H45*70%</f>
        <v>21.462</v>
      </c>
      <c r="L14" s="176">
        <f>F3.1!H51*70%</f>
        <v>0</v>
      </c>
      <c r="M14" s="176">
        <f>F3.1!H57*70%</f>
        <v>0</v>
      </c>
    </row>
    <row r="15" spans="2:13">
      <c r="B15" s="26">
        <f t="shared" si="2"/>
        <v>6</v>
      </c>
      <c r="C15" s="92" t="s">
        <v>196</v>
      </c>
      <c r="D15" s="179">
        <f>'F4'!K21</f>
        <v>194.37943745046041</v>
      </c>
      <c r="E15" s="179">
        <f>D15</f>
        <v>194.37943745046041</v>
      </c>
      <c r="F15" s="179">
        <f>'F1'!H12</f>
        <v>194.37943745046041</v>
      </c>
      <c r="G15" s="179">
        <f>'F1'!I12</f>
        <v>180.114</v>
      </c>
      <c r="H15" s="179">
        <f>'F1'!J12</f>
        <v>194.40595733818148</v>
      </c>
      <c r="I15" s="179">
        <f>'F1'!K12</f>
        <v>113.02408238323777</v>
      </c>
      <c r="J15" s="179">
        <f>'F1'!L12</f>
        <v>113.21251988323776</v>
      </c>
      <c r="K15" s="179">
        <f>'F1'!M12</f>
        <v>113.27791988323777</v>
      </c>
      <c r="L15" s="179">
        <f>'F1'!N12</f>
        <v>115.24891988323775</v>
      </c>
      <c r="M15" s="179">
        <f>'F1'!O12</f>
        <v>115.24891988323776</v>
      </c>
    </row>
    <row r="16" spans="2:13" ht="15">
      <c r="B16" s="26">
        <f t="shared" si="2"/>
        <v>7</v>
      </c>
      <c r="C16" s="33" t="s">
        <v>192</v>
      </c>
      <c r="D16" s="142">
        <f>D12-D13+D14-D15</f>
        <v>1360.7383673523391</v>
      </c>
      <c r="E16" s="142">
        <f t="shared" ref="E16:M16" si="4">E12-E13+E14-E15</f>
        <v>1356.1883673523391</v>
      </c>
      <c r="F16" s="142">
        <f t="shared" si="4"/>
        <v>1356.1883673523391</v>
      </c>
      <c r="G16" s="142">
        <f t="shared" si="4"/>
        <v>1176.0758335184394</v>
      </c>
      <c r="H16" s="142">
        <f t="shared" si="4"/>
        <v>1167.5168761802579</v>
      </c>
      <c r="I16" s="142">
        <f t="shared" si="4"/>
        <v>1056.8377937970204</v>
      </c>
      <c r="J16" s="142">
        <f t="shared" si="4"/>
        <v>944.38827391378231</v>
      </c>
      <c r="K16" s="142">
        <f t="shared" si="4"/>
        <v>852.57235403054449</v>
      </c>
      <c r="L16" s="142">
        <f t="shared" si="4"/>
        <v>737.3234341473069</v>
      </c>
      <c r="M16" s="142">
        <f t="shared" si="4"/>
        <v>622.07451426406919</v>
      </c>
    </row>
    <row r="17" spans="2:13" ht="15">
      <c r="B17" s="26">
        <f t="shared" si="2"/>
        <v>8</v>
      </c>
      <c r="C17" s="33" t="s">
        <v>193</v>
      </c>
      <c r="D17" s="142">
        <f>D10-D13+D14-D15</f>
        <v>2443.0573348373391</v>
      </c>
      <c r="E17" s="142">
        <f t="shared" ref="E17:M17" si="5">E10-E13+E14-E15</f>
        <v>2438.5073348373389</v>
      </c>
      <c r="F17" s="142">
        <f t="shared" si="5"/>
        <v>2438.5073348373389</v>
      </c>
      <c r="G17" s="142">
        <f t="shared" si="5"/>
        <v>2452.7742384538997</v>
      </c>
      <c r="H17" s="142">
        <f t="shared" si="5"/>
        <v>2444.2152811157184</v>
      </c>
      <c r="I17" s="142">
        <f t="shared" si="5"/>
        <v>2527.9421560706619</v>
      </c>
      <c r="J17" s="142">
        <f t="shared" si="5"/>
        <v>2528.5167185706619</v>
      </c>
      <c r="K17" s="142">
        <f t="shared" si="5"/>
        <v>2549.9133185706619</v>
      </c>
      <c r="L17" s="142">
        <f t="shared" si="5"/>
        <v>2547.9423185706619</v>
      </c>
      <c r="M17" s="142">
        <f t="shared" si="5"/>
        <v>2547.9423185706619</v>
      </c>
    </row>
    <row r="18" spans="2:13" ht="15">
      <c r="B18" s="26">
        <f t="shared" si="2"/>
        <v>9</v>
      </c>
      <c r="C18" s="33" t="s">
        <v>232</v>
      </c>
      <c r="D18" s="142">
        <f>AVERAGE(D12,D16)</f>
        <v>1457.9280860775693</v>
      </c>
      <c r="E18" s="142">
        <f t="shared" ref="E18:M18" si="6">AVERAGE(E12,E16)</f>
        <v>1455.6530860775692</v>
      </c>
      <c r="F18" s="142">
        <f t="shared" si="6"/>
        <v>1455.6530860775692</v>
      </c>
      <c r="G18" s="142">
        <f t="shared" si="6"/>
        <v>1266.1328335184394</v>
      </c>
      <c r="H18" s="142">
        <f t="shared" si="6"/>
        <v>1261.8533548493488</v>
      </c>
      <c r="I18" s="142">
        <f t="shared" si="6"/>
        <v>1112.1773349886394</v>
      </c>
      <c r="J18" s="142">
        <f t="shared" si="6"/>
        <v>1000.6130338554012</v>
      </c>
      <c r="K18" s="142">
        <f t="shared" si="6"/>
        <v>898.48031397216346</v>
      </c>
      <c r="L18" s="142">
        <f t="shared" si="6"/>
        <v>794.94789408892575</v>
      </c>
      <c r="M18" s="142">
        <f t="shared" si="6"/>
        <v>679.69897420568805</v>
      </c>
    </row>
    <row r="19" spans="2:13" ht="28.5">
      <c r="B19" s="26">
        <f t="shared" si="2"/>
        <v>10</v>
      </c>
      <c r="C19" s="92" t="s">
        <v>231</v>
      </c>
      <c r="D19" s="159">
        <v>0.10589999999999999</v>
      </c>
      <c r="E19" s="159">
        <v>0.1021</v>
      </c>
      <c r="F19" s="159">
        <f>E19</f>
        <v>0.1021</v>
      </c>
      <c r="G19" s="159">
        <v>0.1066</v>
      </c>
      <c r="H19" s="159">
        <v>0.10299999999999999</v>
      </c>
      <c r="I19" s="159">
        <v>0.10299999999999999</v>
      </c>
      <c r="J19" s="159">
        <f t="shared" ref="J19:M19" si="7">I19</f>
        <v>0.10299999999999999</v>
      </c>
      <c r="K19" s="159">
        <f t="shared" si="7"/>
        <v>0.10299999999999999</v>
      </c>
      <c r="L19" s="159">
        <f t="shared" si="7"/>
        <v>0.10299999999999999</v>
      </c>
      <c r="M19" s="159">
        <f t="shared" si="7"/>
        <v>0.10299999999999999</v>
      </c>
    </row>
    <row r="20" spans="2:13" ht="15">
      <c r="B20" s="26">
        <f t="shared" si="2"/>
        <v>11</v>
      </c>
      <c r="C20" s="33" t="s">
        <v>307</v>
      </c>
      <c r="D20" s="142">
        <f>D18*D19</f>
        <v>154.39458431561459</v>
      </c>
      <c r="E20" s="142">
        <f>E18*E19</f>
        <v>148.62218008851983</v>
      </c>
      <c r="F20" s="142">
        <f t="shared" ref="F20:M20" si="8">F18*F19</f>
        <v>148.62218008851983</v>
      </c>
      <c r="G20" s="142">
        <f t="shared" si="8"/>
        <v>134.96976005306564</v>
      </c>
      <c r="H20" s="142">
        <f t="shared" si="8"/>
        <v>129.97089554948292</v>
      </c>
      <c r="I20" s="142">
        <f t="shared" si="8"/>
        <v>114.55426550382985</v>
      </c>
      <c r="J20" s="142">
        <f t="shared" si="8"/>
        <v>103.06314248710632</v>
      </c>
      <c r="K20" s="142">
        <f t="shared" si="8"/>
        <v>92.543472339132833</v>
      </c>
      <c r="L20" s="142">
        <f t="shared" si="8"/>
        <v>81.879633091159349</v>
      </c>
      <c r="M20" s="142">
        <f t="shared" si="8"/>
        <v>70.008994343185861</v>
      </c>
    </row>
    <row r="21" spans="2:13">
      <c r="B21" s="26">
        <f t="shared" si="2"/>
        <v>12</v>
      </c>
      <c r="C21" s="33" t="s">
        <v>310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</row>
    <row r="22" spans="2:13" ht="15">
      <c r="B22" s="26">
        <f t="shared" si="2"/>
        <v>13</v>
      </c>
      <c r="C22" s="33" t="s">
        <v>311</v>
      </c>
      <c r="D22" s="142">
        <v>137.16</v>
      </c>
      <c r="E22" s="142">
        <f t="shared" ref="E22:M22" si="9">E20+E21</f>
        <v>148.62218008851983</v>
      </c>
      <c r="F22" s="142">
        <f t="shared" si="9"/>
        <v>148.62218008851983</v>
      </c>
      <c r="G22" s="142">
        <v>120.73</v>
      </c>
      <c r="H22" s="142">
        <f t="shared" si="9"/>
        <v>129.97089554948292</v>
      </c>
      <c r="I22" s="142">
        <f t="shared" si="9"/>
        <v>114.55426550382985</v>
      </c>
      <c r="J22" s="142">
        <f t="shared" si="9"/>
        <v>103.06314248710632</v>
      </c>
      <c r="K22" s="142">
        <f t="shared" si="9"/>
        <v>92.543472339132833</v>
      </c>
      <c r="L22" s="142">
        <f t="shared" si="9"/>
        <v>81.879633091159349</v>
      </c>
      <c r="M22" s="142">
        <f t="shared" si="9"/>
        <v>70.008994343185861</v>
      </c>
    </row>
    <row r="23" spans="2:13">
      <c r="B23" s="41"/>
    </row>
    <row r="24" spans="2:13">
      <c r="B24" s="41"/>
      <c r="C24" s="5" t="s">
        <v>269</v>
      </c>
    </row>
    <row r="25" spans="2:13">
      <c r="C25" s="5" t="s">
        <v>433</v>
      </c>
    </row>
    <row r="27" spans="2:13" ht="15">
      <c r="B27" s="40" t="s">
        <v>62</v>
      </c>
      <c r="C27" s="30" t="s">
        <v>308</v>
      </c>
    </row>
    <row r="28" spans="2:13" ht="15">
      <c r="J28" s="32" t="s">
        <v>4</v>
      </c>
    </row>
    <row r="29" spans="2:13" ht="15" customHeight="1">
      <c r="B29" s="317" t="s">
        <v>210</v>
      </c>
      <c r="C29" s="320" t="s">
        <v>18</v>
      </c>
      <c r="D29" s="91" t="s">
        <v>254</v>
      </c>
      <c r="E29" s="265" t="s">
        <v>492</v>
      </c>
      <c r="F29" s="266"/>
      <c r="G29" s="267"/>
      <c r="H29" s="349"/>
      <c r="I29" s="349"/>
      <c r="J29" s="350"/>
    </row>
    <row r="30" spans="2:13" ht="15">
      <c r="B30" s="318"/>
      <c r="C30" s="320"/>
      <c r="D30" s="21" t="s">
        <v>267</v>
      </c>
      <c r="E30" s="264" t="s">
        <v>267</v>
      </c>
      <c r="F30" s="264" t="s">
        <v>484</v>
      </c>
      <c r="G30" s="264" t="s">
        <v>485</v>
      </c>
      <c r="H30" s="264" t="s">
        <v>486</v>
      </c>
      <c r="I30" s="264" t="s">
        <v>487</v>
      </c>
      <c r="J30" s="264" t="s">
        <v>488</v>
      </c>
    </row>
    <row r="31" spans="2:13" ht="15">
      <c r="B31" s="319"/>
      <c r="C31" s="321"/>
      <c r="D31" s="21" t="s">
        <v>12</v>
      </c>
      <c r="E31" s="264" t="s">
        <v>5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</row>
    <row r="32" spans="2:13" ht="15">
      <c r="B32" s="26">
        <v>1</v>
      </c>
      <c r="C32" s="46" t="s">
        <v>543</v>
      </c>
      <c r="D32" s="162"/>
      <c r="E32" s="162"/>
      <c r="F32" s="162"/>
      <c r="G32" s="162"/>
      <c r="H32" s="162"/>
      <c r="I32" s="162"/>
      <c r="J32" s="162"/>
    </row>
    <row r="33" spans="2:10">
      <c r="B33" s="33"/>
      <c r="C33" s="33" t="s">
        <v>13</v>
      </c>
      <c r="D33" s="162">
        <v>1538.51</v>
      </c>
      <c r="E33" s="162">
        <v>1289.27</v>
      </c>
      <c r="F33" s="162">
        <v>1035.6500000000001</v>
      </c>
      <c r="G33" s="162">
        <v>782.0200000000001</v>
      </c>
      <c r="H33" s="162">
        <v>528.3900000000001</v>
      </c>
      <c r="I33" s="162">
        <v>274.7600000000001</v>
      </c>
      <c r="J33" s="162">
        <v>21.130000000000109</v>
      </c>
    </row>
    <row r="34" spans="2:10">
      <c r="B34" s="33"/>
      <c r="C34" s="33" t="s">
        <v>177</v>
      </c>
      <c r="D34" s="162">
        <v>4.09</v>
      </c>
      <c r="E34" s="162">
        <v>0</v>
      </c>
      <c r="F34" s="162">
        <v>0</v>
      </c>
      <c r="G34" s="162">
        <v>0</v>
      </c>
      <c r="H34" s="162">
        <v>0</v>
      </c>
      <c r="I34" s="162">
        <v>0</v>
      </c>
      <c r="J34" s="162">
        <v>0</v>
      </c>
    </row>
    <row r="35" spans="2:10">
      <c r="B35" s="33"/>
      <c r="C35" s="33" t="s">
        <v>14</v>
      </c>
      <c r="D35" s="162">
        <v>253.33</v>
      </c>
      <c r="E35" s="162">
        <v>253.62</v>
      </c>
      <c r="F35" s="162">
        <v>253.63</v>
      </c>
      <c r="G35" s="162">
        <v>253.63</v>
      </c>
      <c r="H35" s="162">
        <v>253.63</v>
      </c>
      <c r="I35" s="162">
        <v>253.63</v>
      </c>
      <c r="J35" s="162">
        <v>21.13</v>
      </c>
    </row>
    <row r="36" spans="2:10" ht="15">
      <c r="B36" s="33"/>
      <c r="C36" s="33" t="s">
        <v>15</v>
      </c>
      <c r="D36" s="140">
        <v>1289.27</v>
      </c>
      <c r="E36" s="140">
        <v>1035.6500000000001</v>
      </c>
      <c r="F36" s="140">
        <v>782.0200000000001</v>
      </c>
      <c r="G36" s="140">
        <v>528.3900000000001</v>
      </c>
      <c r="H36" s="140">
        <v>274.7600000000001</v>
      </c>
      <c r="I36" s="140">
        <v>21.130000000000109</v>
      </c>
      <c r="J36" s="140">
        <v>1.1013412404281553E-13</v>
      </c>
    </row>
    <row r="37" spans="2:10" ht="15">
      <c r="B37" s="33"/>
      <c r="C37" s="33" t="s">
        <v>233</v>
      </c>
      <c r="D37" s="140">
        <v>1424.72</v>
      </c>
      <c r="E37" s="140">
        <v>1172.6213592233009</v>
      </c>
      <c r="F37" s="140">
        <v>919.4174757281553</v>
      </c>
      <c r="G37" s="140">
        <v>665.72815533980577</v>
      </c>
      <c r="H37" s="140">
        <v>412.13592233009706</v>
      </c>
      <c r="I37" s="140">
        <v>158.54368932038832</v>
      </c>
      <c r="J37" s="140">
        <v>1.7475728155339803</v>
      </c>
    </row>
    <row r="38" spans="2:10">
      <c r="B38" s="33"/>
      <c r="C38" s="33" t="s">
        <v>16</v>
      </c>
      <c r="D38" s="162">
        <v>10.28</v>
      </c>
      <c r="E38" s="162">
        <v>10.3</v>
      </c>
      <c r="F38" s="162">
        <v>10.3</v>
      </c>
      <c r="G38" s="162">
        <v>10.3</v>
      </c>
      <c r="H38" s="162">
        <v>10.3</v>
      </c>
      <c r="I38" s="162">
        <v>10.3</v>
      </c>
      <c r="J38" s="162">
        <v>10.3</v>
      </c>
    </row>
    <row r="39" spans="2:10" ht="15">
      <c r="B39" s="33"/>
      <c r="C39" s="33" t="s">
        <v>307</v>
      </c>
      <c r="D39" s="140">
        <v>146.46</v>
      </c>
      <c r="E39" s="140">
        <v>120.78</v>
      </c>
      <c r="F39" s="140">
        <v>94.7</v>
      </c>
      <c r="G39" s="140">
        <v>68.569999999999993</v>
      </c>
      <c r="H39" s="140">
        <v>42.45</v>
      </c>
      <c r="I39" s="140">
        <v>16.329999999999998</v>
      </c>
      <c r="J39" s="140">
        <v>0.18</v>
      </c>
    </row>
    <row r="40" spans="2:10">
      <c r="B40" s="33"/>
      <c r="C40" s="33" t="s">
        <v>310</v>
      </c>
      <c r="D40" s="162">
        <v>0</v>
      </c>
      <c r="E40" s="162">
        <v>0</v>
      </c>
      <c r="F40" s="162">
        <v>0</v>
      </c>
      <c r="G40" s="162">
        <v>0</v>
      </c>
      <c r="H40" s="162">
        <v>0</v>
      </c>
      <c r="I40" s="162">
        <v>0</v>
      </c>
      <c r="J40" s="162">
        <v>0</v>
      </c>
    </row>
    <row r="41" spans="2:10" ht="15">
      <c r="B41" s="33"/>
      <c r="C41" s="33" t="s">
        <v>311</v>
      </c>
      <c r="D41" s="140">
        <v>146.46</v>
      </c>
      <c r="E41" s="140">
        <v>120.78</v>
      </c>
      <c r="F41" s="140">
        <v>94.7</v>
      </c>
      <c r="G41" s="140">
        <v>68.569999999999993</v>
      </c>
      <c r="H41" s="140">
        <v>42.45</v>
      </c>
      <c r="I41" s="140">
        <v>16.329999999999998</v>
      </c>
      <c r="J41" s="140">
        <v>0.18</v>
      </c>
    </row>
    <row r="42" spans="2:10" ht="15">
      <c r="B42" s="26">
        <v>2</v>
      </c>
      <c r="C42" s="46" t="s">
        <v>544</v>
      </c>
      <c r="D42" s="162"/>
      <c r="E42" s="162"/>
      <c r="F42" s="162"/>
      <c r="G42" s="162"/>
      <c r="H42" s="162"/>
      <c r="I42" s="162"/>
      <c r="J42" s="162"/>
    </row>
    <row r="43" spans="2:10">
      <c r="B43" s="33"/>
      <c r="C43" s="33" t="s">
        <v>13</v>
      </c>
      <c r="D43" s="162">
        <v>79.67</v>
      </c>
      <c r="E43" s="162">
        <v>33.46</v>
      </c>
      <c r="F43" s="162"/>
      <c r="G43" s="162"/>
      <c r="H43" s="162"/>
      <c r="I43" s="162"/>
      <c r="J43" s="162"/>
    </row>
    <row r="44" spans="2:10">
      <c r="B44" s="33"/>
      <c r="C44" s="33" t="s">
        <v>177</v>
      </c>
      <c r="D44" s="162">
        <v>0</v>
      </c>
      <c r="E44" s="162">
        <v>0</v>
      </c>
      <c r="F44" s="162"/>
      <c r="G44" s="162"/>
      <c r="H44" s="162"/>
      <c r="I44" s="162"/>
      <c r="J44" s="162"/>
    </row>
    <row r="45" spans="2:10">
      <c r="B45" s="33"/>
      <c r="C45" s="33" t="s">
        <v>14</v>
      </c>
      <c r="D45" s="162">
        <v>46.21</v>
      </c>
      <c r="E45" s="162">
        <v>33.46</v>
      </c>
      <c r="F45" s="162"/>
      <c r="G45" s="162"/>
      <c r="H45" s="162"/>
      <c r="I45" s="162"/>
      <c r="J45" s="162"/>
    </row>
    <row r="46" spans="2:10" ht="15">
      <c r="B46" s="33"/>
      <c r="C46" s="33" t="s">
        <v>15</v>
      </c>
      <c r="D46" s="140">
        <v>33.46</v>
      </c>
      <c r="E46" s="140">
        <v>0</v>
      </c>
      <c r="F46" s="140">
        <f t="shared" ref="F46:J46" si="10">F43+F44-F45</f>
        <v>0</v>
      </c>
      <c r="G46" s="140">
        <f t="shared" si="10"/>
        <v>0</v>
      </c>
      <c r="H46" s="140">
        <f t="shared" si="10"/>
        <v>0</v>
      </c>
      <c r="I46" s="140">
        <f t="shared" si="10"/>
        <v>0</v>
      </c>
      <c r="J46" s="140">
        <f t="shared" si="10"/>
        <v>0</v>
      </c>
    </row>
    <row r="47" spans="2:10" ht="15">
      <c r="B47" s="33"/>
      <c r="C47" s="33" t="s">
        <v>233</v>
      </c>
      <c r="D47" s="140">
        <v>58.19</v>
      </c>
      <c r="E47" s="140">
        <v>13.366834170854272</v>
      </c>
      <c r="F47" s="140">
        <f t="shared" ref="F47:J47" si="11">AVERAGE(F43,F46)</f>
        <v>0</v>
      </c>
      <c r="G47" s="140">
        <f t="shared" si="11"/>
        <v>0</v>
      </c>
      <c r="H47" s="140">
        <f t="shared" si="11"/>
        <v>0</v>
      </c>
      <c r="I47" s="140">
        <f t="shared" si="11"/>
        <v>0</v>
      </c>
      <c r="J47" s="140">
        <f t="shared" si="11"/>
        <v>0</v>
      </c>
    </row>
    <row r="48" spans="2:10">
      <c r="B48" s="33"/>
      <c r="C48" s="33" t="s">
        <v>16</v>
      </c>
      <c r="D48" s="162">
        <v>8.6</v>
      </c>
      <c r="E48" s="162">
        <v>9.9499999999999993</v>
      </c>
      <c r="F48" s="162"/>
      <c r="G48" s="162"/>
      <c r="H48" s="162"/>
      <c r="I48" s="162"/>
      <c r="J48" s="162"/>
    </row>
    <row r="49" spans="2:10" ht="15">
      <c r="B49" s="33"/>
      <c r="C49" s="33" t="s">
        <v>307</v>
      </c>
      <c r="D49" s="140">
        <v>5</v>
      </c>
      <c r="E49" s="140">
        <v>1.3299999999999998</v>
      </c>
      <c r="F49" s="140">
        <f t="shared" ref="F49:J49" si="12">F47*F48</f>
        <v>0</v>
      </c>
      <c r="G49" s="140">
        <f t="shared" si="12"/>
        <v>0</v>
      </c>
      <c r="H49" s="140">
        <f t="shared" si="12"/>
        <v>0</v>
      </c>
      <c r="I49" s="140">
        <f t="shared" si="12"/>
        <v>0</v>
      </c>
      <c r="J49" s="140">
        <f t="shared" si="12"/>
        <v>0</v>
      </c>
    </row>
    <row r="50" spans="2:10">
      <c r="B50" s="33"/>
      <c r="C50" s="33" t="s">
        <v>310</v>
      </c>
      <c r="D50" s="162">
        <v>0</v>
      </c>
      <c r="E50" s="162">
        <v>0</v>
      </c>
      <c r="F50" s="162"/>
      <c r="G50" s="162"/>
      <c r="H50" s="162"/>
      <c r="I50" s="162"/>
      <c r="J50" s="162"/>
    </row>
    <row r="51" spans="2:10" ht="15">
      <c r="B51" s="33"/>
      <c r="C51" s="33" t="s">
        <v>311</v>
      </c>
      <c r="D51" s="140">
        <v>5</v>
      </c>
      <c r="E51" s="140">
        <v>1.3299999999999998</v>
      </c>
      <c r="F51" s="140">
        <f t="shared" ref="F51:J51" si="13">F49+F50</f>
        <v>0</v>
      </c>
      <c r="G51" s="140">
        <f t="shared" si="13"/>
        <v>0</v>
      </c>
      <c r="H51" s="140">
        <f t="shared" si="13"/>
        <v>0</v>
      </c>
      <c r="I51" s="140">
        <f t="shared" si="13"/>
        <v>0</v>
      </c>
      <c r="J51" s="140">
        <f t="shared" si="13"/>
        <v>0</v>
      </c>
    </row>
    <row r="52" spans="2:10">
      <c r="B52" s="33"/>
      <c r="C52" s="33" t="s">
        <v>309</v>
      </c>
      <c r="D52" s="162"/>
      <c r="E52" s="162"/>
      <c r="F52" s="162"/>
      <c r="G52" s="162"/>
      <c r="H52" s="162"/>
      <c r="I52" s="162"/>
      <c r="J52" s="162"/>
    </row>
    <row r="53" spans="2:10" ht="15">
      <c r="B53" s="26"/>
      <c r="C53" s="46" t="s">
        <v>139</v>
      </c>
      <c r="D53" s="162"/>
      <c r="E53" s="162"/>
      <c r="F53" s="162"/>
      <c r="G53" s="162"/>
      <c r="H53" s="162"/>
      <c r="I53" s="162"/>
      <c r="J53" s="162"/>
    </row>
    <row r="54" spans="2:10" ht="15">
      <c r="B54" s="33"/>
      <c r="C54" s="33" t="s">
        <v>13</v>
      </c>
      <c r="D54" s="140">
        <v>1618.18</v>
      </c>
      <c r="E54" s="140">
        <v>1322.73</v>
      </c>
      <c r="F54" s="140">
        <v>1035.6500000000001</v>
      </c>
      <c r="G54" s="140">
        <v>782.0200000000001</v>
      </c>
      <c r="H54" s="140">
        <v>528.3900000000001</v>
      </c>
      <c r="I54" s="140">
        <v>274.7600000000001</v>
      </c>
      <c r="J54" s="140">
        <v>21.130000000000109</v>
      </c>
    </row>
    <row r="55" spans="2:10" ht="15">
      <c r="B55" s="33"/>
      <c r="C55" s="33" t="s">
        <v>177</v>
      </c>
      <c r="D55" s="140">
        <v>4.09</v>
      </c>
      <c r="E55" s="140">
        <v>0</v>
      </c>
      <c r="F55" s="140">
        <v>0</v>
      </c>
      <c r="G55" s="140">
        <v>0</v>
      </c>
      <c r="H55" s="140">
        <v>0</v>
      </c>
      <c r="I55" s="140">
        <v>0</v>
      </c>
      <c r="J55" s="140">
        <v>0</v>
      </c>
    </row>
    <row r="56" spans="2:10" ht="15">
      <c r="B56" s="33"/>
      <c r="C56" s="33" t="s">
        <v>14</v>
      </c>
      <c r="D56" s="140">
        <v>299.54000000000002</v>
      </c>
      <c r="E56" s="140">
        <v>287.08000000000004</v>
      </c>
      <c r="F56" s="140">
        <v>253.63</v>
      </c>
      <c r="G56" s="140">
        <v>253.63</v>
      </c>
      <c r="H56" s="140">
        <v>253.63</v>
      </c>
      <c r="I56" s="140">
        <v>253.63</v>
      </c>
      <c r="J56" s="140">
        <v>21.13</v>
      </c>
    </row>
    <row r="57" spans="2:10" ht="15">
      <c r="B57" s="33"/>
      <c r="C57" s="33" t="s">
        <v>15</v>
      </c>
      <c r="D57" s="140">
        <v>1322.73</v>
      </c>
      <c r="E57" s="140">
        <v>1035.6500000000001</v>
      </c>
      <c r="F57" s="140">
        <v>782.0200000000001</v>
      </c>
      <c r="G57" s="140">
        <v>528.3900000000001</v>
      </c>
      <c r="H57" s="140">
        <v>274.7600000000001</v>
      </c>
      <c r="I57" s="140">
        <v>21.130000000000109</v>
      </c>
      <c r="J57" s="140">
        <v>1.1013412404281553E-13</v>
      </c>
    </row>
    <row r="58" spans="2:10" ht="15">
      <c r="B58" s="33"/>
      <c r="C58" s="33" t="s">
        <v>233</v>
      </c>
      <c r="D58" s="140">
        <v>1482.91</v>
      </c>
      <c r="E58" s="140">
        <v>1185.9881933941551</v>
      </c>
      <c r="F58" s="140">
        <v>919.4174757281553</v>
      </c>
      <c r="G58" s="140">
        <v>665.72815533980577</v>
      </c>
      <c r="H58" s="140">
        <v>412.13592233009706</v>
      </c>
      <c r="I58" s="140">
        <v>158.54368932038832</v>
      </c>
      <c r="J58" s="140">
        <v>1.7475728155339803</v>
      </c>
    </row>
    <row r="59" spans="2:10" ht="15">
      <c r="B59" s="33"/>
      <c r="C59" s="33" t="s">
        <v>16</v>
      </c>
      <c r="D59" s="140">
        <v>10.210000000000001</v>
      </c>
      <c r="E59" s="140">
        <v>10.296055279482665</v>
      </c>
      <c r="F59" s="140">
        <v>10.3</v>
      </c>
      <c r="G59" s="140">
        <v>10.299999999999999</v>
      </c>
      <c r="H59" s="140">
        <v>10.3</v>
      </c>
      <c r="I59" s="140">
        <v>10.3</v>
      </c>
      <c r="J59" s="140">
        <v>10.300000000000002</v>
      </c>
    </row>
    <row r="60" spans="2:10" ht="15">
      <c r="B60" s="33"/>
      <c r="C60" s="33" t="s">
        <v>307</v>
      </c>
      <c r="D60" s="140">
        <v>151.46</v>
      </c>
      <c r="E60" s="140">
        <v>122.11</v>
      </c>
      <c r="F60" s="140">
        <v>94.7</v>
      </c>
      <c r="G60" s="140">
        <v>68.569999999999993</v>
      </c>
      <c r="H60" s="140">
        <v>42.45</v>
      </c>
      <c r="I60" s="140">
        <v>16.329999999999998</v>
      </c>
      <c r="J60" s="140">
        <v>0.18</v>
      </c>
    </row>
    <row r="61" spans="2:10" ht="15">
      <c r="B61" s="33"/>
      <c r="C61" s="33" t="s">
        <v>310</v>
      </c>
      <c r="D61" s="140">
        <v>0</v>
      </c>
      <c r="E61" s="140">
        <v>0</v>
      </c>
      <c r="F61" s="140">
        <v>0</v>
      </c>
      <c r="G61" s="140">
        <v>0</v>
      </c>
      <c r="H61" s="140">
        <v>0</v>
      </c>
      <c r="I61" s="140">
        <v>0</v>
      </c>
      <c r="J61" s="140">
        <v>0</v>
      </c>
    </row>
    <row r="62" spans="2:10" ht="15">
      <c r="B62" s="33"/>
      <c r="C62" s="33" t="s">
        <v>311</v>
      </c>
      <c r="D62" s="140">
        <v>151.46</v>
      </c>
      <c r="E62" s="140">
        <v>122.11</v>
      </c>
      <c r="F62" s="140">
        <v>94.7</v>
      </c>
      <c r="G62" s="140">
        <v>68.569999999999993</v>
      </c>
      <c r="H62" s="140">
        <v>42.45</v>
      </c>
      <c r="I62" s="140">
        <v>16.329999999999998</v>
      </c>
      <c r="J62" s="140">
        <v>0.18</v>
      </c>
    </row>
  </sheetData>
  <mergeCells count="11">
    <mergeCell ref="B2:M2"/>
    <mergeCell ref="B3:M3"/>
    <mergeCell ref="B4:M4"/>
    <mergeCell ref="H29:J29"/>
    <mergeCell ref="B7:B9"/>
    <mergeCell ref="C7:C9"/>
    <mergeCell ref="D7:F7"/>
    <mergeCell ref="G7:H7"/>
    <mergeCell ref="I7:M7"/>
    <mergeCell ref="B29:B31"/>
    <mergeCell ref="C29:C31"/>
  </mergeCells>
  <pageMargins left="0.96" right="0.25" top="0.24" bottom="0.2" header="0.25" footer="0.25"/>
  <pageSetup paperSize="9" scale="59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topLeftCell="B1" zoomScale="73" zoomScaleNormal="73" zoomScaleSheetLayoutView="90" workbookViewId="0">
      <selection activeCell="B4" sqref="B4:M4"/>
    </sheetView>
  </sheetViews>
  <sheetFormatPr defaultColWidth="9.28515625" defaultRowHeight="18"/>
  <cols>
    <col min="1" max="1" width="4.28515625" style="203" customWidth="1"/>
    <col min="2" max="2" width="6.28515625" style="203" customWidth="1"/>
    <col min="3" max="3" width="35.5703125" style="203" customWidth="1"/>
    <col min="4" max="4" width="13.7109375" style="203" bestFit="1" customWidth="1"/>
    <col min="5" max="5" width="12.5703125" style="203" bestFit="1" customWidth="1"/>
    <col min="6" max="6" width="13.42578125" style="203" bestFit="1" customWidth="1"/>
    <col min="7" max="7" width="13.7109375" style="203" bestFit="1" customWidth="1"/>
    <col min="8" max="8" width="12.5703125" style="203" customWidth="1"/>
    <col min="9" max="9" width="14.5703125" style="203" bestFit="1" customWidth="1"/>
    <col min="10" max="10" width="13.7109375" style="203" bestFit="1" customWidth="1"/>
    <col min="11" max="13" width="13.28515625" style="203" bestFit="1" customWidth="1"/>
    <col min="14" max="16" width="11.7109375" style="203" bestFit="1" customWidth="1"/>
    <col min="17" max="16384" width="9.28515625" style="203"/>
  </cols>
  <sheetData>
    <row r="1" spans="2:13">
      <c r="B1" s="202"/>
    </row>
    <row r="2" spans="2:13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2:13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</row>
    <row r="4" spans="2:13">
      <c r="B4" s="351" t="s">
        <v>550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</row>
    <row r="5" spans="2:13">
      <c r="B5" s="204"/>
      <c r="C5" s="202"/>
      <c r="D5" s="205"/>
      <c r="E5" s="205"/>
      <c r="F5" s="205"/>
      <c r="G5" s="205"/>
      <c r="H5" s="205"/>
      <c r="I5" s="205"/>
      <c r="J5" s="205"/>
    </row>
    <row r="6" spans="2:13">
      <c r="M6" s="206" t="s">
        <v>4</v>
      </c>
    </row>
    <row r="7" spans="2:13" s="207" customFormat="1" ht="15" customHeight="1">
      <c r="B7" s="352" t="s">
        <v>210</v>
      </c>
      <c r="C7" s="355" t="s">
        <v>18</v>
      </c>
      <c r="D7" s="357" t="s">
        <v>482</v>
      </c>
      <c r="E7" s="358"/>
      <c r="F7" s="359"/>
      <c r="G7" s="357" t="s">
        <v>483</v>
      </c>
      <c r="H7" s="358"/>
      <c r="I7" s="360" t="s">
        <v>252</v>
      </c>
      <c r="J7" s="360"/>
      <c r="K7" s="360"/>
      <c r="L7" s="360"/>
      <c r="M7" s="360"/>
    </row>
    <row r="8" spans="2:13" s="207" customFormat="1" ht="54">
      <c r="B8" s="353"/>
      <c r="C8" s="355"/>
      <c r="D8" s="208" t="s">
        <v>394</v>
      </c>
      <c r="E8" s="208" t="s">
        <v>267</v>
      </c>
      <c r="F8" s="208" t="s">
        <v>226</v>
      </c>
      <c r="G8" s="208" t="s">
        <v>394</v>
      </c>
      <c r="H8" s="208" t="s">
        <v>266</v>
      </c>
      <c r="I8" s="208" t="s">
        <v>484</v>
      </c>
      <c r="J8" s="208" t="s">
        <v>485</v>
      </c>
      <c r="K8" s="208" t="s">
        <v>486</v>
      </c>
      <c r="L8" s="208" t="s">
        <v>487</v>
      </c>
      <c r="M8" s="208" t="s">
        <v>488</v>
      </c>
    </row>
    <row r="9" spans="2:13" s="207" customFormat="1" ht="36">
      <c r="B9" s="354"/>
      <c r="C9" s="356"/>
      <c r="D9" s="208" t="s">
        <v>10</v>
      </c>
      <c r="E9" s="208" t="s">
        <v>12</v>
      </c>
      <c r="F9" s="208" t="s">
        <v>256</v>
      </c>
      <c r="G9" s="208" t="s">
        <v>10</v>
      </c>
      <c r="H9" s="208" t="s">
        <v>5</v>
      </c>
      <c r="I9" s="208" t="s">
        <v>8</v>
      </c>
      <c r="J9" s="208" t="s">
        <v>8</v>
      </c>
      <c r="K9" s="208" t="s">
        <v>8</v>
      </c>
      <c r="L9" s="208" t="s">
        <v>8</v>
      </c>
      <c r="M9" s="208" t="s">
        <v>8</v>
      </c>
    </row>
    <row r="10" spans="2:13">
      <c r="B10" s="209">
        <v>1</v>
      </c>
      <c r="C10" s="210" t="s">
        <v>312</v>
      </c>
      <c r="D10" s="211">
        <f>'F10'!E23*'F12'!E17*30/365/10</f>
        <v>112.35499123790711</v>
      </c>
      <c r="E10" s="211">
        <f>'F10'!F23*'F12'!F17*30/365/10</f>
        <v>108.07952249905156</v>
      </c>
      <c r="F10" s="211">
        <f>'F10'!G23*'F12'!G17*30/365/10</f>
        <v>108.07952249905156</v>
      </c>
      <c r="G10" s="211">
        <f>'F10'!H23*'F12'!H17*30/365/10</f>
        <v>113.87218348207291</v>
      </c>
      <c r="H10" s="211">
        <f>'F10'!I23*'F12'!I17*30/365/10</f>
        <v>111.62598010909696</v>
      </c>
      <c r="I10" s="212">
        <f>600*24*0.85*(1-0.0525)*'F12'!J17*20/10000</f>
        <v>72.594955004743838</v>
      </c>
      <c r="J10" s="212">
        <f>600*24*0.85*(1-0.0525)*'F12'!K17*20/10000</f>
        <v>74.046854104838729</v>
      </c>
      <c r="K10" s="212">
        <f>600*24*0.85*(1-0.0525)*'F12'!L17*20/10000</f>
        <v>75.527791186935502</v>
      </c>
      <c r="L10" s="212">
        <f>600*24*0.85*(1-0.0525)*'F12'!M17*20/10000</f>
        <v>77.038347010674229</v>
      </c>
      <c r="M10" s="212">
        <f>600*24*0.85*(1-0.0525)*'F12'!N17*20/10000</f>
        <v>78.579113950887702</v>
      </c>
    </row>
    <row r="11" spans="2:13">
      <c r="B11" s="213">
        <f>B10+1</f>
        <v>2</v>
      </c>
      <c r="C11" s="210" t="s">
        <v>313</v>
      </c>
      <c r="D11" s="211">
        <f>'F10'!E23*'F12'!E17*30/365/10</f>
        <v>112.35499123790711</v>
      </c>
      <c r="E11" s="222">
        <f>'F10'!F23*'F12'!F17*30/365/10</f>
        <v>108.07952249905156</v>
      </c>
      <c r="F11" s="222">
        <f>'F10'!G23*'F12'!G17*30/365/10</f>
        <v>108.07952249905156</v>
      </c>
      <c r="G11" s="222">
        <f>'F10'!H23*'F12'!H17*30/365/10</f>
        <v>113.87218348207291</v>
      </c>
      <c r="H11" s="222">
        <f>'F10'!I23*'F12'!I17*30/365/10</f>
        <v>111.62598010909696</v>
      </c>
      <c r="I11" s="212">
        <f>600*24*0.85*(1-0.0525)*'F12'!J17*30/10000</f>
        <v>108.89243250711577</v>
      </c>
      <c r="J11" s="212">
        <f>600*24*0.85*(1-0.0525)*'F12'!K17*30/10000</f>
        <v>111.07028115725808</v>
      </c>
      <c r="K11" s="212">
        <f>600*24*0.85*(1-0.0525)*'F12'!L17*30/10000</f>
        <v>113.29168678040325</v>
      </c>
      <c r="L11" s="212">
        <f>600*24*0.85*(1-0.0525)*'F12'!M17*30/10000</f>
        <v>115.55752051601135</v>
      </c>
      <c r="M11" s="212">
        <f>600*24*0.85*(1-0.0525)*'F12'!N17*30/10000</f>
        <v>117.86867092633156</v>
      </c>
    </row>
    <row r="12" spans="2:13">
      <c r="B12" s="213">
        <f t="shared" ref="B12:B20" si="0">B11+1</f>
        <v>3</v>
      </c>
      <c r="C12" s="214" t="s">
        <v>314</v>
      </c>
      <c r="D12" s="222">
        <f>'F10'!E23*'F12'!E18*2/12/10</f>
        <v>10.031377504006631</v>
      </c>
      <c r="E12" s="222">
        <f>'F10'!F23*'F12'!F18*2/12/10</f>
        <v>2.0668043724338867</v>
      </c>
      <c r="F12" s="222">
        <f>'F10'!G23*'F12'!G18*2/12/10</f>
        <v>2.0668043724338867</v>
      </c>
      <c r="G12" s="222">
        <f>'F10'!H23*'F12'!H18*2/12/10</f>
        <v>9.9689852021595069</v>
      </c>
      <c r="H12" s="222">
        <f>'F10'!I23*'F12'!I18*2/12/10</f>
        <v>1.454224508692751</v>
      </c>
      <c r="I12" s="215">
        <f>600*24*0.85*(1-0.0525)*'F12'!J18*365*1/12/10000</f>
        <v>1.1845307586745983</v>
      </c>
      <c r="J12" s="215">
        <f>600*24*0.85*(1-0.0525)*'F12'!K18*365*1/12/10000</f>
        <v>1.2082213738480898</v>
      </c>
      <c r="K12" s="215">
        <f>600*24*0.85*(1-0.0525)*'F12'!L18*365*1/12/10000</f>
        <v>1.2323858013250517</v>
      </c>
      <c r="L12" s="215">
        <f>600*24*0.85*(1-0.0525)*'F12'!M18*365*1/12/10000</f>
        <v>1.257033517351553</v>
      </c>
      <c r="M12" s="215">
        <f>600*24*0.85*(1-0.0525)*'F12'!N18*365*1/12/10000</f>
        <v>1.2821741876985839</v>
      </c>
    </row>
    <row r="13" spans="2:13">
      <c r="B13" s="213">
        <f t="shared" si="0"/>
        <v>4</v>
      </c>
      <c r="C13" s="216" t="s">
        <v>315</v>
      </c>
      <c r="D13" s="217">
        <f>'F1'!F11/12</f>
        <v>15.039420000000002</v>
      </c>
      <c r="E13" s="217">
        <f>'F1'!G11/12</f>
        <v>20.832463572061794</v>
      </c>
      <c r="F13" s="217">
        <f>'F1'!H11/12</f>
        <v>20.832463572061794</v>
      </c>
      <c r="G13" s="217">
        <f>'F1'!I11/12</f>
        <v>15.827625000000003</v>
      </c>
      <c r="H13" s="217">
        <f>'F1'!J11/12</f>
        <v>21.557492155771286</v>
      </c>
      <c r="I13" s="218">
        <f>'F1'!K11/12</f>
        <v>21.080318866286547</v>
      </c>
      <c r="J13" s="218">
        <f>'F1'!L11/12</f>
        <v>22.10896210430316</v>
      </c>
      <c r="K13" s="218">
        <f>'F1'!M11/12</f>
        <v>23.194713236853776</v>
      </c>
      <c r="L13" s="218">
        <f>'F1'!N11/12</f>
        <v>24.368318387068086</v>
      </c>
      <c r="M13" s="218">
        <f>'F1'!O11/12</f>
        <v>25.581637258752696</v>
      </c>
    </row>
    <row r="14" spans="2:13" s="220" customFormat="1">
      <c r="B14" s="213">
        <f t="shared" si="0"/>
        <v>5</v>
      </c>
      <c r="C14" s="219" t="s">
        <v>316</v>
      </c>
      <c r="D14" s="217">
        <f>'F1'!F11*20%</f>
        <v>36.094608000000008</v>
      </c>
      <c r="E14" s="217">
        <f>'F1'!G11*20%</f>
        <v>49.997912572948309</v>
      </c>
      <c r="F14" s="217">
        <f>'F1'!H11*20%</f>
        <v>49.997912572948309</v>
      </c>
      <c r="G14" s="217">
        <f>'F1'!I11*20%</f>
        <v>37.986300000000007</v>
      </c>
      <c r="H14" s="217">
        <f>'F1'!J11*20%</f>
        <v>51.73798117385109</v>
      </c>
      <c r="I14" s="218">
        <f>'F4'!F55*1%</f>
        <v>37.694579613430001</v>
      </c>
      <c r="J14" s="218">
        <f>'F4'!F72*1%</f>
        <v>37.728079613429998</v>
      </c>
      <c r="K14" s="218">
        <f>'F4'!F89*1%</f>
        <v>37.738979613430004</v>
      </c>
      <c r="L14" s="218">
        <f>'F4'!F106*1%</f>
        <v>38.04557961343</v>
      </c>
      <c r="M14" s="218">
        <f>'F4'!F123*1%</f>
        <v>38.04557961343</v>
      </c>
    </row>
    <row r="15" spans="2:13">
      <c r="B15" s="213">
        <f t="shared" si="0"/>
        <v>6</v>
      </c>
      <c r="C15" s="216" t="s">
        <v>531</v>
      </c>
      <c r="D15" s="217">
        <f>('F1'!F22+'F1'!F16)*2/12</f>
        <v>366.29683862531829</v>
      </c>
      <c r="E15" s="217">
        <f ca="1">('F1'!G22+'F1'!G16)*2/12</f>
        <v>367.6615068278532</v>
      </c>
      <c r="F15" s="217">
        <f ca="1">('F1'!H22+'F1'!H16)*2/12</f>
        <v>367.6615068278532</v>
      </c>
      <c r="G15" s="217">
        <f>('F1'!I22+'F1'!I16)*2/12</f>
        <v>365.74238504080739</v>
      </c>
      <c r="H15" s="217">
        <f ca="1">('F1'!J22+'F1'!J16)*2/12</f>
        <v>373.37251096912792</v>
      </c>
      <c r="I15" s="218">
        <f ca="1">('F1'!K22+'F1'!K16)*45/365</f>
        <v>258.18150085354995</v>
      </c>
      <c r="J15" s="218">
        <f ca="1">('F1'!L22+'F1'!L16)*45/365</f>
        <v>261.623258285448</v>
      </c>
      <c r="K15" s="218">
        <f ca="1">('F1'!M22+'F1'!M16)*45/365</f>
        <v>265.65119675709656</v>
      </c>
      <c r="L15" s="218">
        <f ca="1">('F1'!N22+'F1'!N16)*45/365</f>
        <v>270.30583592137219</v>
      </c>
      <c r="M15" s="218">
        <f ca="1">('F1'!O22+'F1'!O16)*45/365</f>
        <v>273.69074678379576</v>
      </c>
    </row>
    <row r="16" spans="2:13">
      <c r="B16" s="213"/>
      <c r="C16" s="216" t="s">
        <v>317</v>
      </c>
      <c r="D16" s="221"/>
      <c r="E16" s="214"/>
      <c r="F16" s="222"/>
      <c r="G16" s="214"/>
      <c r="H16" s="214"/>
      <c r="I16" s="223"/>
      <c r="J16" s="223"/>
      <c r="K16" s="223"/>
      <c r="L16" s="223"/>
      <c r="M16" s="223"/>
    </row>
    <row r="17" spans="2:13">
      <c r="B17" s="213">
        <f>B15+1</f>
        <v>7</v>
      </c>
      <c r="C17" s="210" t="s">
        <v>532</v>
      </c>
      <c r="D17" s="217">
        <f>'F10'!E23*'F12'!E19*30/365/10</f>
        <v>117.30197192481451</v>
      </c>
      <c r="E17" s="217">
        <f>'F10'!F23*'F12'!F19*30/365/10</f>
        <v>109.09876849093678</v>
      </c>
      <c r="F17" s="217">
        <f>'F10'!G23*'F12'!G19*30/365/10</f>
        <v>109.09876849093678</v>
      </c>
      <c r="G17" s="217">
        <f>'F10'!H23*'F12'!H19*30/365/10</f>
        <v>118.78839536258992</v>
      </c>
      <c r="H17" s="217">
        <f>'F10'!I23*'F12'!I19*30/365/10</f>
        <v>112.343131921603</v>
      </c>
      <c r="I17" s="218">
        <f>600*24*0.85*(1-0.0525)*30*'F12'!J19/10000</f>
        <v>110.06073681704139</v>
      </c>
      <c r="J17" s="218">
        <f>600*24*0.85*(1-0.0525)*30*'F12'!K19/10000</f>
        <v>112.26195155338223</v>
      </c>
      <c r="K17" s="218">
        <f>600*24*0.85*(1-0.0525)*30*'F12'!L19/10000</f>
        <v>114.50719058444989</v>
      </c>
      <c r="L17" s="218">
        <f>600*24*0.85*(1-0.0525)*30*'F12'!M19/10000</f>
        <v>116.79733439613888</v>
      </c>
      <c r="M17" s="218">
        <f>600*24*0.85*(1-0.0525)*30*'F12'!N19/10000</f>
        <v>119.13328108406169</v>
      </c>
    </row>
    <row r="18" spans="2:13">
      <c r="B18" s="213">
        <f t="shared" si="0"/>
        <v>8</v>
      </c>
      <c r="C18" s="210" t="s">
        <v>55</v>
      </c>
      <c r="D18" s="224">
        <f t="shared" ref="D18:H18" si="1">SUM(D10:D15)-D17</f>
        <v>534.87025468032459</v>
      </c>
      <c r="E18" s="224">
        <f t="shared" ca="1" si="1"/>
        <v>547.61896385246348</v>
      </c>
      <c r="F18" s="224">
        <f t="shared" ca="1" si="1"/>
        <v>547.61896385246348</v>
      </c>
      <c r="G18" s="224">
        <f t="shared" si="1"/>
        <v>538.48126684452291</v>
      </c>
      <c r="H18" s="224">
        <f t="shared" ca="1" si="1"/>
        <v>559.031037104034</v>
      </c>
      <c r="I18" s="224">
        <f t="shared" ref="I18:M18" ca="1" si="2">SUM(I10:I15)-I17</f>
        <v>389.56758078675932</v>
      </c>
      <c r="J18" s="224">
        <f t="shared" ca="1" si="2"/>
        <v>395.52370508574381</v>
      </c>
      <c r="K18" s="224">
        <f t="shared" ca="1" si="2"/>
        <v>402.12956279159425</v>
      </c>
      <c r="L18" s="224">
        <f t="shared" ca="1" si="2"/>
        <v>409.77530056976849</v>
      </c>
      <c r="M18" s="224">
        <f t="shared" ca="1" si="2"/>
        <v>415.91464163683457</v>
      </c>
    </row>
    <row r="19" spans="2:13">
      <c r="B19" s="213">
        <f t="shared" si="0"/>
        <v>9</v>
      </c>
      <c r="C19" s="210" t="s">
        <v>318</v>
      </c>
      <c r="D19" s="225">
        <v>8.5500000000000007E-2</v>
      </c>
      <c r="E19" s="225">
        <v>9.4382191780821911E-2</v>
      </c>
      <c r="F19" s="225">
        <f>E19</f>
        <v>9.4382191780821911E-2</v>
      </c>
      <c r="G19" s="225">
        <v>8.5500000000000007E-2</v>
      </c>
      <c r="H19" s="225">
        <v>0.1008</v>
      </c>
      <c r="I19" s="225">
        <v>0.10150000000000001</v>
      </c>
      <c r="J19" s="225">
        <v>0.10150000000000001</v>
      </c>
      <c r="K19" s="225">
        <v>0.10150000000000001</v>
      </c>
      <c r="L19" s="225">
        <v>0.10150000000000001</v>
      </c>
      <c r="M19" s="225">
        <v>0.10150000000000001</v>
      </c>
    </row>
    <row r="20" spans="2:13">
      <c r="B20" s="213">
        <f t="shared" si="0"/>
        <v>10</v>
      </c>
      <c r="C20" s="216" t="s">
        <v>319</v>
      </c>
      <c r="D20" s="224">
        <v>41.75</v>
      </c>
      <c r="E20" s="224">
        <f t="shared" ref="E20:M20" ca="1" si="3">E18*E19</f>
        <v>51.685478069138192</v>
      </c>
      <c r="F20" s="224">
        <f t="shared" ca="1" si="3"/>
        <v>51.685478069138192</v>
      </c>
      <c r="G20" s="224">
        <v>42.74</v>
      </c>
      <c r="H20" s="224">
        <f t="shared" ca="1" si="3"/>
        <v>56.350328540086629</v>
      </c>
      <c r="I20" s="224">
        <f t="shared" ca="1" si="3"/>
        <v>39.541109449856073</v>
      </c>
      <c r="J20" s="224">
        <f t="shared" ca="1" si="3"/>
        <v>40.145656066203003</v>
      </c>
      <c r="K20" s="224">
        <f t="shared" ca="1" si="3"/>
        <v>40.816150623346822</v>
      </c>
      <c r="L20" s="224">
        <f t="shared" ca="1" si="3"/>
        <v>41.592193007831504</v>
      </c>
      <c r="M20" s="224">
        <f t="shared" ca="1" si="3"/>
        <v>42.215336126138709</v>
      </c>
    </row>
    <row r="22" spans="2:13">
      <c r="C22" s="203" t="s">
        <v>269</v>
      </c>
    </row>
    <row r="23" spans="2:13">
      <c r="C23" s="203" t="s">
        <v>431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5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95" zoomScaleNormal="95" zoomScaleSheetLayoutView="90" workbookViewId="0">
      <selection activeCell="B4" sqref="B4:M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2:13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</row>
    <row r="4" spans="2:13" ht="15.75">
      <c r="B4" s="351" t="s">
        <v>551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317" t="s">
        <v>210</v>
      </c>
      <c r="C7" s="320" t="s">
        <v>18</v>
      </c>
      <c r="D7" s="324" t="s">
        <v>482</v>
      </c>
      <c r="E7" s="325"/>
      <c r="F7" s="326"/>
      <c r="G7" s="324" t="s">
        <v>483</v>
      </c>
      <c r="H7" s="325"/>
      <c r="I7" s="329" t="s">
        <v>252</v>
      </c>
      <c r="J7" s="329"/>
      <c r="K7" s="329"/>
      <c r="L7" s="329"/>
      <c r="M7" s="329"/>
    </row>
    <row r="8" spans="2:13" s="19" customFormat="1" ht="45">
      <c r="B8" s="318"/>
      <c r="C8" s="320"/>
      <c r="D8" s="21" t="s">
        <v>394</v>
      </c>
      <c r="E8" s="21" t="s">
        <v>267</v>
      </c>
      <c r="F8" s="21" t="s">
        <v>226</v>
      </c>
      <c r="G8" s="21" t="s">
        <v>394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15">
      <c r="B9" s="319"/>
      <c r="C9" s="321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242</v>
      </c>
      <c r="D10" s="173">
        <f>'F4'!F21*30%</f>
        <v>1130.3300452661999</v>
      </c>
      <c r="E10" s="47">
        <f>D10</f>
        <v>1130.3300452661999</v>
      </c>
      <c r="F10" s="47">
        <f>E10</f>
        <v>1130.3300452661999</v>
      </c>
      <c r="G10" s="176">
        <f>D14</f>
        <v>1130.3300452661999</v>
      </c>
      <c r="H10" s="176">
        <f>E14</f>
        <v>1128.3800452661999</v>
      </c>
      <c r="I10" s="176">
        <f>H10+H12</f>
        <v>1130.8370452662</v>
      </c>
      <c r="J10" s="176">
        <f>I10+I12</f>
        <v>1131.8420452662001</v>
      </c>
      <c r="K10" s="176">
        <f>J10+J12</f>
        <v>1132.1690452662001</v>
      </c>
      <c r="L10" s="176">
        <f>K10+K12</f>
        <v>1141.3670452662002</v>
      </c>
      <c r="M10" s="176">
        <f>L10+L12</f>
        <v>1141.3670452662002</v>
      </c>
    </row>
    <row r="11" spans="2:13">
      <c r="B11" s="26">
        <f>B10+1</f>
        <v>2</v>
      </c>
      <c r="C11" s="33" t="s">
        <v>243</v>
      </c>
      <c r="D11" s="173"/>
      <c r="E11" s="170">
        <f>F3.1!H18</f>
        <v>-6.5</v>
      </c>
      <c r="F11" s="170">
        <f>E11</f>
        <v>-6.5</v>
      </c>
      <c r="G11" s="176">
        <f>D15</f>
        <v>0</v>
      </c>
      <c r="H11" s="176">
        <f>F3.1!H24</f>
        <v>8.19</v>
      </c>
      <c r="I11" s="176">
        <f>F3.1!H32</f>
        <v>3.3499999999999996</v>
      </c>
      <c r="J11" s="176">
        <f>F3.1!H38</f>
        <v>1.0900000000000001</v>
      </c>
      <c r="K11" s="176">
        <f>F3.1!H45</f>
        <v>30.66</v>
      </c>
      <c r="L11" s="176">
        <f>F3.1!H51</f>
        <v>0</v>
      </c>
      <c r="M11" s="176">
        <f>F3.1!H57</f>
        <v>0</v>
      </c>
    </row>
    <row r="12" spans="2:13">
      <c r="B12" s="26">
        <f t="shared" ref="B12:B22" si="0">B11+1</f>
        <v>3</v>
      </c>
      <c r="C12" s="35" t="s">
        <v>19</v>
      </c>
      <c r="D12" s="201">
        <f>D11*25%</f>
        <v>0</v>
      </c>
      <c r="E12" s="201">
        <f>E11*30%</f>
        <v>-1.95</v>
      </c>
      <c r="F12" s="201">
        <f>F11*30%</f>
        <v>-1.95</v>
      </c>
      <c r="G12" s="201">
        <f t="shared" ref="G12" si="1">G11*25%</f>
        <v>0</v>
      </c>
      <c r="H12" s="201">
        <f>H11*30%</f>
        <v>2.4569999999999999</v>
      </c>
      <c r="I12" s="201">
        <f>I11*30%</f>
        <v>1.0049999999999999</v>
      </c>
      <c r="J12" s="201">
        <f t="shared" ref="J12:M12" si="2">J11*30%</f>
        <v>0.32700000000000001</v>
      </c>
      <c r="K12" s="201">
        <f t="shared" si="2"/>
        <v>9.1980000000000004</v>
      </c>
      <c r="L12" s="201">
        <f t="shared" si="2"/>
        <v>0</v>
      </c>
      <c r="M12" s="201">
        <f t="shared" si="2"/>
        <v>0</v>
      </c>
    </row>
    <row r="13" spans="2:13" ht="28.5">
      <c r="B13" s="26">
        <f t="shared" si="0"/>
        <v>4</v>
      </c>
      <c r="C13" s="92" t="s">
        <v>20</v>
      </c>
      <c r="D13" s="177"/>
      <c r="E13" s="47"/>
      <c r="F13" s="173"/>
      <c r="G13" s="47"/>
      <c r="H13" s="47"/>
      <c r="I13" s="170"/>
      <c r="J13" s="170"/>
      <c r="K13" s="47"/>
      <c r="L13" s="47"/>
      <c r="M13" s="47"/>
    </row>
    <row r="14" spans="2:13" s="39" customFormat="1" ht="15">
      <c r="B14" s="26">
        <f t="shared" si="0"/>
        <v>5</v>
      </c>
      <c r="C14" s="44" t="s">
        <v>21</v>
      </c>
      <c r="D14" s="178">
        <f>D10+D12-D13</f>
        <v>1130.3300452661999</v>
      </c>
      <c r="E14" s="178">
        <f t="shared" ref="E14:M14" si="3">E10+E12-E13</f>
        <v>1128.3800452661999</v>
      </c>
      <c r="F14" s="178">
        <f>F10+F12-F13</f>
        <v>1128.3800452661999</v>
      </c>
      <c r="G14" s="178">
        <f t="shared" si="3"/>
        <v>1130.3300452661999</v>
      </c>
      <c r="H14" s="178">
        <f t="shared" si="3"/>
        <v>1130.8370452662</v>
      </c>
      <c r="I14" s="178">
        <f t="shared" si="3"/>
        <v>1131.8420452662001</v>
      </c>
      <c r="J14" s="178">
        <f t="shared" si="3"/>
        <v>1132.1690452662001</v>
      </c>
      <c r="K14" s="178">
        <f t="shared" si="3"/>
        <v>1141.3670452662002</v>
      </c>
      <c r="L14" s="178">
        <f t="shared" si="3"/>
        <v>1141.3670452662002</v>
      </c>
      <c r="M14" s="178">
        <f t="shared" si="3"/>
        <v>1141.3670452662002</v>
      </c>
    </row>
    <row r="15" spans="2:13" s="39" customFormat="1" ht="15">
      <c r="B15" s="26"/>
      <c r="C15" s="94" t="s">
        <v>320</v>
      </c>
      <c r="D15" s="93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9" customFormat="1" ht="15">
      <c r="B16" s="26">
        <f>B14+1</f>
        <v>6</v>
      </c>
      <c r="C16" s="44" t="s">
        <v>321</v>
      </c>
      <c r="D16" s="158">
        <v>0.155</v>
      </c>
      <c r="E16" s="158">
        <v>0.155</v>
      </c>
      <c r="F16" s="158">
        <v>0.155</v>
      </c>
      <c r="G16" s="158">
        <v>0.155</v>
      </c>
      <c r="H16" s="158">
        <v>0.155</v>
      </c>
      <c r="I16" s="158">
        <v>0.155</v>
      </c>
      <c r="J16" s="158">
        <v>0.155</v>
      </c>
      <c r="K16" s="158">
        <v>0.155</v>
      </c>
      <c r="L16" s="158">
        <v>0.155</v>
      </c>
      <c r="M16" s="158">
        <v>0.155</v>
      </c>
    </row>
    <row r="17" spans="2:13" s="39" customFormat="1" ht="15">
      <c r="B17" s="26">
        <f>B16+1</f>
        <v>7</v>
      </c>
      <c r="C17" s="44" t="s">
        <v>322</v>
      </c>
      <c r="D17" s="159">
        <v>0.17471999999999999</v>
      </c>
      <c r="E17" s="194">
        <v>0.25168000000000001</v>
      </c>
      <c r="F17" s="194">
        <v>0.25168000000000001</v>
      </c>
      <c r="G17" s="194">
        <v>0.17471999999999999</v>
      </c>
      <c r="H17" s="194">
        <v>0.25168000000000001</v>
      </c>
      <c r="I17" s="194">
        <v>0.25168000000000001</v>
      </c>
      <c r="J17" s="194">
        <v>0.25168000000000001</v>
      </c>
      <c r="K17" s="194">
        <v>0.25168000000000001</v>
      </c>
      <c r="L17" s="194">
        <v>0.25168000000000001</v>
      </c>
      <c r="M17" s="194">
        <v>0.25168000000000001</v>
      </c>
    </row>
    <row r="18" spans="2:13" s="39" customFormat="1" ht="15">
      <c r="B18" s="26">
        <f>B17+1</f>
        <v>8</v>
      </c>
      <c r="C18" s="36" t="s">
        <v>320</v>
      </c>
      <c r="D18" s="160">
        <f>D16/(1-D17)</f>
        <v>0.18781504459092671</v>
      </c>
      <c r="E18" s="160">
        <f t="shared" ref="E18:M18" si="4">E16/(1-E17)</f>
        <v>0.20713063929869574</v>
      </c>
      <c r="F18" s="160">
        <f t="shared" si="4"/>
        <v>0.20713063929869574</v>
      </c>
      <c r="G18" s="160">
        <f t="shared" si="4"/>
        <v>0.18781504459092671</v>
      </c>
      <c r="H18" s="160">
        <f t="shared" si="4"/>
        <v>0.20713063929869574</v>
      </c>
      <c r="I18" s="160">
        <f t="shared" si="4"/>
        <v>0.20713063929869574</v>
      </c>
      <c r="J18" s="160">
        <f t="shared" si="4"/>
        <v>0.20713063929869574</v>
      </c>
      <c r="K18" s="160">
        <f t="shared" si="4"/>
        <v>0.20713063929869574</v>
      </c>
      <c r="L18" s="160">
        <f t="shared" si="4"/>
        <v>0.20713063929869574</v>
      </c>
      <c r="M18" s="160">
        <f t="shared" si="4"/>
        <v>0.20713063929869574</v>
      </c>
    </row>
    <row r="19" spans="2:13" ht="15">
      <c r="B19" s="26"/>
      <c r="C19" s="94" t="s">
        <v>194</v>
      </c>
      <c r="D19" s="141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92" t="s">
        <v>244</v>
      </c>
      <c r="D20" s="142">
        <f>D10*D18</f>
        <v>212.29298785413556</v>
      </c>
      <c r="E20" s="142">
        <f t="shared" ref="E20:M20" si="5">E10*E18</f>
        <v>234.12598489451167</v>
      </c>
      <c r="F20" s="142">
        <f t="shared" si="5"/>
        <v>234.12598489451167</v>
      </c>
      <c r="G20" s="142">
        <f t="shared" si="5"/>
        <v>212.29298785413556</v>
      </c>
      <c r="H20" s="142">
        <f t="shared" si="5"/>
        <v>233.72208014787921</v>
      </c>
      <c r="I20" s="142">
        <f t="shared" si="5"/>
        <v>234.23100012863614</v>
      </c>
      <c r="J20" s="142">
        <f t="shared" si="5"/>
        <v>234.43916642113135</v>
      </c>
      <c r="K20" s="142">
        <f t="shared" si="5"/>
        <v>234.50689814018202</v>
      </c>
      <c r="L20" s="142">
        <f t="shared" si="5"/>
        <v>236.41208576045145</v>
      </c>
      <c r="M20" s="142">
        <f t="shared" si="5"/>
        <v>236.41208576045145</v>
      </c>
    </row>
    <row r="21" spans="2:13" ht="18.75" customHeight="1">
      <c r="B21" s="26">
        <f t="shared" si="0"/>
        <v>10</v>
      </c>
      <c r="C21" s="92" t="s">
        <v>245</v>
      </c>
      <c r="D21" s="142">
        <f>AVERAGE(D10,D14)*D18-D20</f>
        <v>0</v>
      </c>
      <c r="E21" s="142">
        <f t="shared" ref="E21:M21" si="6">AVERAGE(E10,E14)*E18-E20</f>
        <v>-0.20195237331623161</v>
      </c>
      <c r="F21" s="142">
        <f t="shared" si="6"/>
        <v>-0.20195237331623161</v>
      </c>
      <c r="G21" s="142">
        <f t="shared" si="6"/>
        <v>0</v>
      </c>
      <c r="H21" s="142">
        <f t="shared" si="6"/>
        <v>0.25445999037847855</v>
      </c>
      <c r="I21" s="142">
        <f t="shared" si="6"/>
        <v>0.10408314624760351</v>
      </c>
      <c r="J21" s="142">
        <f t="shared" si="6"/>
        <v>3.386585952532073E-2</v>
      </c>
      <c r="K21" s="142">
        <f t="shared" si="6"/>
        <v>0.95259381013474353</v>
      </c>
      <c r="L21" s="142">
        <f t="shared" si="6"/>
        <v>0</v>
      </c>
      <c r="M21" s="142">
        <f t="shared" si="6"/>
        <v>0</v>
      </c>
    </row>
    <row r="22" spans="2:13" ht="15">
      <c r="B22" s="26">
        <f t="shared" si="0"/>
        <v>11</v>
      </c>
      <c r="C22" s="46" t="s">
        <v>195</v>
      </c>
      <c r="D22" s="142">
        <v>213.57</v>
      </c>
      <c r="E22" s="142">
        <f t="shared" ref="E22:M22" si="7">E20+E21</f>
        <v>233.92403252119544</v>
      </c>
      <c r="F22" s="142">
        <f t="shared" si="7"/>
        <v>233.92403252119544</v>
      </c>
      <c r="G22" s="142">
        <v>215.68</v>
      </c>
      <c r="H22" s="142">
        <f t="shared" si="7"/>
        <v>233.97654013825769</v>
      </c>
      <c r="I22" s="142">
        <f t="shared" si="7"/>
        <v>234.33508327488374</v>
      </c>
      <c r="J22" s="142">
        <f t="shared" si="7"/>
        <v>234.47303228065667</v>
      </c>
      <c r="K22" s="142">
        <f t="shared" si="7"/>
        <v>235.45949195031676</v>
      </c>
      <c r="L22" s="142">
        <f t="shared" si="7"/>
        <v>236.41208576045145</v>
      </c>
      <c r="M22" s="142">
        <f t="shared" si="7"/>
        <v>236.41208576045145</v>
      </c>
    </row>
    <row r="23" spans="2:13">
      <c r="C23" s="5" t="s">
        <v>269</v>
      </c>
    </row>
    <row r="24" spans="2:13">
      <c r="C24" s="5" t="s">
        <v>433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B4" sqref="B4:M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2:13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</row>
    <row r="4" spans="2:13" ht="15.75">
      <c r="B4" s="351" t="s">
        <v>552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317" t="s">
        <v>210</v>
      </c>
      <c r="C7" s="320" t="s">
        <v>18</v>
      </c>
      <c r="D7" s="324" t="s">
        <v>516</v>
      </c>
      <c r="E7" s="325"/>
      <c r="F7" s="326"/>
      <c r="G7" s="324" t="s">
        <v>517</v>
      </c>
      <c r="H7" s="325"/>
      <c r="I7" s="329" t="s">
        <v>252</v>
      </c>
      <c r="J7" s="329"/>
      <c r="K7" s="329"/>
      <c r="L7" s="329"/>
      <c r="M7" s="329"/>
    </row>
    <row r="8" spans="2:13" s="19" customFormat="1" ht="30">
      <c r="B8" s="318"/>
      <c r="C8" s="320"/>
      <c r="D8" s="21" t="s">
        <v>394</v>
      </c>
      <c r="E8" s="21" t="s">
        <v>267</v>
      </c>
      <c r="F8" s="21" t="s">
        <v>226</v>
      </c>
      <c r="G8" s="21" t="s">
        <v>394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15">
      <c r="B9" s="319"/>
      <c r="C9" s="321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323</v>
      </c>
      <c r="D10" s="2"/>
      <c r="E10" s="195">
        <v>1.8981166445654018E-2</v>
      </c>
      <c r="F10" s="195">
        <v>1.8981166445654018E-2</v>
      </c>
      <c r="G10" s="198"/>
      <c r="H10" s="198">
        <v>2.6434465255269608E-2</v>
      </c>
      <c r="I10" s="198">
        <v>1.8981166445654018E-2</v>
      </c>
      <c r="J10" s="198">
        <v>1.9740413103480178E-2</v>
      </c>
      <c r="K10" s="198">
        <v>2.0530029627619385E-2</v>
      </c>
      <c r="L10" s="198">
        <v>2.1351230812724161E-2</v>
      </c>
      <c r="M10" s="198">
        <v>2.2205280045233127E-2</v>
      </c>
    </row>
    <row r="11" spans="2:13">
      <c r="B11" s="69">
        <f>B10+1</f>
        <v>2</v>
      </c>
      <c r="C11" s="33" t="s">
        <v>324</v>
      </c>
      <c r="D11" s="2"/>
      <c r="E11" s="195">
        <v>0</v>
      </c>
      <c r="F11" s="195">
        <v>0</v>
      </c>
      <c r="G11" s="198"/>
      <c r="H11" s="198">
        <v>0</v>
      </c>
      <c r="I11" s="198">
        <v>0</v>
      </c>
      <c r="J11" s="198">
        <v>0</v>
      </c>
      <c r="K11" s="198">
        <v>0</v>
      </c>
      <c r="L11" s="198">
        <v>0</v>
      </c>
      <c r="M11" s="198">
        <v>0</v>
      </c>
    </row>
    <row r="12" spans="2:13">
      <c r="B12" s="69">
        <f>B11+1</f>
        <v>3</v>
      </c>
      <c r="C12" s="33" t="s">
        <v>325</v>
      </c>
      <c r="D12" s="2"/>
      <c r="E12" s="195">
        <v>5.174240204770789E-3</v>
      </c>
      <c r="F12" s="195">
        <v>5.174240204770789E-3</v>
      </c>
      <c r="G12" s="198"/>
      <c r="H12" s="198">
        <v>0</v>
      </c>
      <c r="I12" s="198">
        <v>5.174240204770789E-3</v>
      </c>
      <c r="J12" s="198">
        <v>5.3812098129616204E-3</v>
      </c>
      <c r="K12" s="198">
        <v>5.5964582054800855E-3</v>
      </c>
      <c r="L12" s="198">
        <v>5.8203165336992895E-3</v>
      </c>
      <c r="M12" s="198">
        <v>6.0531291950472613E-3</v>
      </c>
    </row>
    <row r="13" spans="2:13">
      <c r="B13" s="26">
        <f t="shared" ref="B13:B21" si="0">B12+1</f>
        <v>4</v>
      </c>
      <c r="C13" s="35" t="s">
        <v>326</v>
      </c>
      <c r="D13" s="2"/>
      <c r="E13" s="195">
        <v>0</v>
      </c>
      <c r="F13" s="195">
        <v>0</v>
      </c>
      <c r="G13" s="198"/>
      <c r="H13" s="198">
        <v>0</v>
      </c>
      <c r="I13" s="198">
        <v>0</v>
      </c>
      <c r="J13" s="198">
        <v>0</v>
      </c>
      <c r="K13" s="198">
        <v>0</v>
      </c>
      <c r="L13" s="198">
        <v>0</v>
      </c>
      <c r="M13" s="198">
        <v>0</v>
      </c>
    </row>
    <row r="14" spans="2:13" ht="15.75" customHeight="1">
      <c r="B14" s="26">
        <f t="shared" si="0"/>
        <v>5</v>
      </c>
      <c r="C14" s="92" t="s">
        <v>327</v>
      </c>
      <c r="D14" s="93"/>
      <c r="E14" s="199">
        <v>0</v>
      </c>
      <c r="F14" s="195">
        <v>0</v>
      </c>
      <c r="G14" s="199"/>
      <c r="H14" s="198">
        <v>0</v>
      </c>
      <c r="I14" s="199">
        <v>0</v>
      </c>
      <c r="J14" s="199">
        <v>0</v>
      </c>
      <c r="K14" s="199">
        <v>0</v>
      </c>
      <c r="L14" s="199">
        <v>0</v>
      </c>
      <c r="M14" s="199">
        <v>0</v>
      </c>
    </row>
    <row r="15" spans="2:13" s="39" customFormat="1" ht="15">
      <c r="B15" s="26">
        <f t="shared" si="0"/>
        <v>6</v>
      </c>
      <c r="C15" s="44" t="s">
        <v>328</v>
      </c>
      <c r="D15" s="93"/>
      <c r="E15" s="199">
        <v>3.1382096125082883E-3</v>
      </c>
      <c r="F15" s="195">
        <v>3.1382096125082883E-3</v>
      </c>
      <c r="G15" s="199"/>
      <c r="H15" s="198">
        <v>2.5316234561238494E-3</v>
      </c>
      <c r="I15" s="199">
        <v>3.1382096125082883E-3</v>
      </c>
      <c r="J15" s="199">
        <v>3.2637379970086198E-3</v>
      </c>
      <c r="K15" s="199">
        <v>3.3942875168889645E-3</v>
      </c>
      <c r="L15" s="199">
        <v>3.5300590175645231E-3</v>
      </c>
      <c r="M15" s="199">
        <v>3.6712613782671042E-3</v>
      </c>
    </row>
    <row r="16" spans="2:13" s="39" customFormat="1" ht="15">
      <c r="B16" s="26">
        <f t="shared" si="0"/>
        <v>7</v>
      </c>
      <c r="C16" s="92" t="s">
        <v>329</v>
      </c>
      <c r="D16" s="93"/>
      <c r="E16" s="199">
        <v>0</v>
      </c>
      <c r="F16" s="195">
        <v>0</v>
      </c>
      <c r="G16" s="199"/>
      <c r="H16" s="198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</row>
    <row r="17" spans="2:13" s="39" customFormat="1" ht="12.75" customHeight="1">
      <c r="B17" s="26">
        <f t="shared" si="0"/>
        <v>8</v>
      </c>
      <c r="C17" s="44" t="s">
        <v>330</v>
      </c>
      <c r="D17" s="93"/>
      <c r="E17" s="199">
        <v>3.3376721200252882E-3</v>
      </c>
      <c r="F17" s="195">
        <v>3.3376721200252882E-3</v>
      </c>
      <c r="G17" s="199"/>
      <c r="H17" s="198">
        <v>3.0872432732487317E-3</v>
      </c>
      <c r="I17" s="199">
        <v>3.3376721200252882E-3</v>
      </c>
      <c r="J17" s="199">
        <v>3.4711790048263E-3</v>
      </c>
      <c r="K17" s="199">
        <v>3.610026165019352E-3</v>
      </c>
      <c r="L17" s="199">
        <v>3.7544272116201262E-3</v>
      </c>
      <c r="M17" s="199">
        <v>3.9046043000849316E-3</v>
      </c>
    </row>
    <row r="18" spans="2:13" s="39" customFormat="1" ht="15">
      <c r="B18" s="26">
        <f t="shared" si="0"/>
        <v>9</v>
      </c>
      <c r="C18" s="44" t="s">
        <v>162</v>
      </c>
      <c r="D18" s="93"/>
      <c r="E18" s="199">
        <v>26.61</v>
      </c>
      <c r="F18" s="195">
        <v>26.61</v>
      </c>
      <c r="G18" s="199"/>
      <c r="H18" s="198">
        <v>28.3</v>
      </c>
      <c r="I18" s="199">
        <v>29.432000000000002</v>
      </c>
      <c r="J18" s="199">
        <v>30.609280000000002</v>
      </c>
      <c r="K18" s="199">
        <v>31.833651200000002</v>
      </c>
      <c r="L18" s="199">
        <v>33.106997248000006</v>
      </c>
      <c r="M18" s="199">
        <v>34.431277137920006</v>
      </c>
    </row>
    <row r="19" spans="2:13" s="39" customFormat="1" ht="15">
      <c r="B19" s="26">
        <f t="shared" si="0"/>
        <v>10</v>
      </c>
      <c r="C19" s="44" t="s">
        <v>331</v>
      </c>
      <c r="D19" s="93"/>
      <c r="E19" s="199">
        <v>0</v>
      </c>
      <c r="F19" s="195">
        <v>0</v>
      </c>
      <c r="G19" s="199"/>
      <c r="H19" s="198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</row>
    <row r="20" spans="2:13">
      <c r="B20" s="26">
        <f t="shared" si="0"/>
        <v>11</v>
      </c>
      <c r="C20" s="92" t="s">
        <v>173</v>
      </c>
      <c r="D20" s="93"/>
      <c r="E20" s="199">
        <v>1.3076804465483477E-2</v>
      </c>
      <c r="F20" s="195">
        <v>1.3076804465483477E-2</v>
      </c>
      <c r="G20" s="199"/>
      <c r="H20" s="198">
        <v>5.921083064777266E-4</v>
      </c>
      <c r="I20" s="199">
        <v>1.3076804465483477E-2</v>
      </c>
      <c r="J20" s="199">
        <v>1.3599876644102817E-2</v>
      </c>
      <c r="K20" s="199">
        <v>1.414387170986693E-2</v>
      </c>
      <c r="L20" s="199">
        <v>1.4709626578261607E-2</v>
      </c>
      <c r="M20" s="199">
        <v>1.5298011641392072E-2</v>
      </c>
    </row>
    <row r="21" spans="2:13">
      <c r="B21" s="26">
        <f t="shared" si="0"/>
        <v>12</v>
      </c>
      <c r="C21" s="92" t="s">
        <v>9</v>
      </c>
      <c r="D21" s="93"/>
      <c r="E21" s="199">
        <v>1.3585344363321354</v>
      </c>
      <c r="F21" s="195">
        <v>1.3585344363321354</v>
      </c>
      <c r="G21" s="199"/>
      <c r="H21" s="198">
        <v>0.32278061107948747</v>
      </c>
      <c r="I21" s="199">
        <v>0.41952651928897661</v>
      </c>
      <c r="J21" s="199">
        <v>0.43630758006053566</v>
      </c>
      <c r="K21" s="199">
        <v>0.45375988326295708</v>
      </c>
      <c r="L21" s="199">
        <v>0.4719102785934754</v>
      </c>
      <c r="M21" s="199">
        <v>0.49078668973721445</v>
      </c>
    </row>
    <row r="22" spans="2:13" ht="15">
      <c r="B22" s="26"/>
      <c r="C22" s="37" t="s">
        <v>139</v>
      </c>
      <c r="D22" s="142">
        <v>5.27</v>
      </c>
      <c r="E22" s="142">
        <f t="shared" ref="E22:M22" si="1">SUM(E10:E21)</f>
        <v>28.012242529180579</v>
      </c>
      <c r="F22" s="142">
        <f t="shared" si="1"/>
        <v>28.012242529180579</v>
      </c>
      <c r="G22" s="142">
        <v>5.27</v>
      </c>
      <c r="H22" s="142">
        <f t="shared" si="1"/>
        <v>28.655426051370608</v>
      </c>
      <c r="I22" s="142">
        <f t="shared" si="1"/>
        <v>29.895234612137422</v>
      </c>
      <c r="J22" s="142">
        <f t="shared" si="1"/>
        <v>31.091043996622918</v>
      </c>
      <c r="K22" s="142">
        <f t="shared" si="1"/>
        <v>32.334685756487829</v>
      </c>
      <c r="L22" s="142">
        <f t="shared" si="1"/>
        <v>33.628073186747351</v>
      </c>
      <c r="M22" s="142">
        <f t="shared" si="1"/>
        <v>34.973196114217245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zoomScale="80" zoomScaleNormal="80" zoomScaleSheetLayoutView="70" workbookViewId="0">
      <selection activeCell="G4" sqref="G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1.28515625" style="5" customWidth="1"/>
    <col min="4" max="4" width="15.140625" style="5" customWidth="1"/>
    <col min="5" max="5" width="12.28515625" style="5" customWidth="1"/>
    <col min="6" max="6" width="13.5703125" style="5" customWidth="1"/>
    <col min="7" max="7" width="15" style="5" customWidth="1"/>
    <col min="8" max="12" width="15.7109375" style="5" customWidth="1"/>
    <col min="13" max="16384" width="9.28515625" style="5"/>
  </cols>
  <sheetData>
    <row r="2" spans="2:12" ht="15">
      <c r="G2" s="40" t="s">
        <v>534</v>
      </c>
    </row>
    <row r="3" spans="2:12" ht="15">
      <c r="G3" s="40" t="s">
        <v>514</v>
      </c>
    </row>
    <row r="4" spans="2:12" ht="15">
      <c r="G4" s="42" t="s">
        <v>333</v>
      </c>
    </row>
    <row r="5" spans="2:12" ht="15">
      <c r="B5" s="30"/>
      <c r="C5" s="96"/>
      <c r="D5" s="97"/>
      <c r="E5" s="97"/>
      <c r="F5" s="97"/>
    </row>
    <row r="6" spans="2:12" ht="33.75" customHeight="1">
      <c r="B6" s="328" t="s">
        <v>2</v>
      </c>
      <c r="C6" s="329" t="s">
        <v>18</v>
      </c>
      <c r="D6" s="200" t="s">
        <v>516</v>
      </c>
      <c r="E6" s="325" t="s">
        <v>517</v>
      </c>
      <c r="F6" s="325"/>
      <c r="G6" s="325"/>
      <c r="H6" s="329" t="s">
        <v>252</v>
      </c>
      <c r="I6" s="329"/>
      <c r="J6" s="329"/>
      <c r="K6" s="329"/>
      <c r="L6" s="329"/>
    </row>
    <row r="7" spans="2:12" ht="15">
      <c r="B7" s="328"/>
      <c r="C7" s="329"/>
      <c r="D7" s="21" t="s">
        <v>332</v>
      </c>
      <c r="E7" s="21" t="s">
        <v>257</v>
      </c>
      <c r="F7" s="21" t="s">
        <v>258</v>
      </c>
      <c r="G7" s="21" t="s">
        <v>266</v>
      </c>
      <c r="H7" s="21" t="s">
        <v>484</v>
      </c>
      <c r="I7" s="21" t="s">
        <v>485</v>
      </c>
      <c r="J7" s="21" t="s">
        <v>486</v>
      </c>
      <c r="K7" s="21" t="s">
        <v>487</v>
      </c>
      <c r="L7" s="21" t="s">
        <v>488</v>
      </c>
    </row>
    <row r="8" spans="2:12" ht="24.75" customHeight="1">
      <c r="B8" s="361"/>
      <c r="C8" s="362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98">
        <v>1</v>
      </c>
      <c r="C9" s="99" t="s">
        <v>174</v>
      </c>
      <c r="D9" s="95"/>
      <c r="E9" s="95"/>
      <c r="F9" s="95"/>
      <c r="G9" s="95"/>
      <c r="H9" s="33"/>
      <c r="I9" s="33"/>
      <c r="J9" s="33"/>
      <c r="K9" s="33"/>
      <c r="L9" s="33"/>
    </row>
    <row r="10" spans="2:12" s="39" customFormat="1" ht="15">
      <c r="B10" s="100" t="s">
        <v>57</v>
      </c>
      <c r="C10" s="46" t="s">
        <v>58</v>
      </c>
      <c r="D10" s="101"/>
      <c r="E10" s="102"/>
      <c r="F10" s="102"/>
      <c r="G10" s="46"/>
      <c r="H10" s="46"/>
      <c r="I10" s="46"/>
      <c r="J10" s="46"/>
      <c r="K10" s="46"/>
      <c r="L10" s="46"/>
    </row>
    <row r="11" spans="2:12" s="39" customFormat="1" ht="15">
      <c r="B11" s="103"/>
      <c r="C11" s="35" t="s">
        <v>59</v>
      </c>
      <c r="D11" s="101"/>
      <c r="E11" s="102"/>
      <c r="F11" s="102"/>
      <c r="G11" s="46"/>
      <c r="H11" s="46"/>
      <c r="I11" s="46"/>
      <c r="J11" s="46"/>
      <c r="K11" s="46"/>
      <c r="L11" s="46"/>
    </row>
    <row r="12" spans="2:12" s="39" customFormat="1" ht="15">
      <c r="B12" s="103"/>
      <c r="C12" s="35" t="s">
        <v>60</v>
      </c>
      <c r="D12" s="101"/>
      <c r="E12" s="102"/>
      <c r="F12" s="102"/>
      <c r="G12" s="46"/>
      <c r="H12" s="46"/>
      <c r="I12" s="46"/>
      <c r="J12" s="46"/>
      <c r="K12" s="46"/>
      <c r="L12" s="46"/>
    </row>
    <row r="13" spans="2:12" s="39" customFormat="1" ht="15">
      <c r="B13" s="103"/>
      <c r="C13" s="35" t="s">
        <v>61</v>
      </c>
      <c r="D13" s="101"/>
      <c r="E13" s="102"/>
      <c r="F13" s="102"/>
      <c r="G13" s="46"/>
      <c r="H13" s="46"/>
      <c r="I13" s="46"/>
      <c r="J13" s="46"/>
      <c r="K13" s="46"/>
      <c r="L13" s="46"/>
    </row>
    <row r="14" spans="2:12" s="39" customFormat="1" ht="15">
      <c r="B14" s="103"/>
      <c r="C14" s="104"/>
      <c r="D14" s="101"/>
      <c r="E14" s="102"/>
      <c r="F14" s="102"/>
      <c r="G14" s="46"/>
      <c r="H14" s="46"/>
      <c r="I14" s="46"/>
      <c r="J14" s="46"/>
      <c r="K14" s="46"/>
      <c r="L14" s="46"/>
    </row>
    <row r="15" spans="2:12" s="39" customFormat="1" ht="15">
      <c r="B15" s="100" t="s">
        <v>62</v>
      </c>
      <c r="C15" s="105" t="s">
        <v>63</v>
      </c>
      <c r="D15" s="101"/>
      <c r="E15" s="102"/>
      <c r="F15" s="102"/>
      <c r="G15" s="46"/>
      <c r="H15" s="46"/>
      <c r="I15" s="46"/>
      <c r="J15" s="46"/>
      <c r="K15" s="46"/>
      <c r="L15" s="46"/>
    </row>
    <row r="16" spans="2:12" s="39" customFormat="1" ht="15">
      <c r="B16" s="103"/>
      <c r="C16" s="35" t="s">
        <v>59</v>
      </c>
      <c r="D16" s="101"/>
      <c r="E16" s="102"/>
      <c r="F16" s="102"/>
      <c r="G16" s="46"/>
      <c r="H16" s="46"/>
      <c r="I16" s="46"/>
      <c r="J16" s="46"/>
      <c r="K16" s="46"/>
      <c r="L16" s="46"/>
    </row>
    <row r="17" spans="2:12">
      <c r="B17" s="103"/>
      <c r="C17" s="35" t="s">
        <v>60</v>
      </c>
      <c r="D17" s="101"/>
      <c r="E17" s="102"/>
      <c r="F17" s="102"/>
      <c r="G17" s="33"/>
      <c r="H17" s="33"/>
      <c r="I17" s="33"/>
      <c r="J17" s="33"/>
      <c r="K17" s="33"/>
      <c r="L17" s="33"/>
    </row>
    <row r="18" spans="2:12">
      <c r="B18" s="106"/>
      <c r="C18" s="35" t="s">
        <v>64</v>
      </c>
      <c r="D18" s="101"/>
      <c r="E18" s="102"/>
      <c r="F18" s="102"/>
      <c r="G18" s="33"/>
      <c r="H18" s="33"/>
      <c r="I18" s="33"/>
      <c r="J18" s="33"/>
      <c r="K18" s="33"/>
      <c r="L18" s="33"/>
    </row>
    <row r="19" spans="2:12" ht="15">
      <c r="B19" s="106"/>
      <c r="C19" s="105"/>
      <c r="D19" s="101"/>
      <c r="E19" s="102"/>
      <c r="F19" s="102"/>
      <c r="G19" s="33"/>
      <c r="H19" s="33"/>
      <c r="I19" s="33"/>
      <c r="J19" s="33"/>
      <c r="K19" s="33"/>
      <c r="L19" s="33"/>
    </row>
    <row r="20" spans="2:12" ht="17.25" customHeight="1">
      <c r="B20" s="100">
        <v>2</v>
      </c>
      <c r="C20" s="99" t="s">
        <v>175</v>
      </c>
      <c r="D20" s="101"/>
      <c r="E20" s="102"/>
      <c r="F20" s="102"/>
      <c r="G20" s="33"/>
      <c r="H20" s="33"/>
      <c r="I20" s="33"/>
      <c r="J20" s="33"/>
      <c r="K20" s="33"/>
      <c r="L20" s="33"/>
    </row>
    <row r="21" spans="2:12" ht="17.25" customHeight="1">
      <c r="B21" s="100"/>
      <c r="C21" s="99" t="s">
        <v>65</v>
      </c>
      <c r="D21" s="101"/>
      <c r="E21" s="101"/>
      <c r="F21" s="101"/>
      <c r="G21" s="33"/>
      <c r="H21" s="33"/>
      <c r="I21" s="33"/>
      <c r="J21" s="33"/>
      <c r="K21" s="33"/>
      <c r="L21" s="33"/>
    </row>
    <row r="22" spans="2:12" ht="17.25" customHeight="1">
      <c r="B22" s="100"/>
      <c r="C22" s="99" t="s">
        <v>65</v>
      </c>
      <c r="D22" s="101"/>
      <c r="E22" s="101"/>
      <c r="F22" s="101"/>
      <c r="G22" s="33"/>
      <c r="H22" s="33"/>
      <c r="I22" s="33"/>
      <c r="J22" s="33"/>
      <c r="K22" s="33"/>
      <c r="L22" s="33"/>
    </row>
    <row r="23" spans="2:12" ht="15">
      <c r="B23" s="103"/>
      <c r="C23" s="105" t="s">
        <v>66</v>
      </c>
      <c r="D23" s="101"/>
      <c r="E23" s="101"/>
      <c r="F23" s="101"/>
      <c r="G23" s="33"/>
      <c r="H23" s="33"/>
      <c r="I23" s="33"/>
      <c r="J23" s="33"/>
      <c r="K23" s="33"/>
      <c r="L23" s="33"/>
    </row>
    <row r="25" spans="2:12" ht="15">
      <c r="B25" s="107" t="s">
        <v>54</v>
      </c>
      <c r="C25" s="108"/>
      <c r="D25" s="108"/>
      <c r="E25" s="108"/>
      <c r="F25" s="108"/>
      <c r="G25" s="108"/>
    </row>
    <row r="26" spans="2:12">
      <c r="B26" s="5" t="s">
        <v>228</v>
      </c>
      <c r="D26" s="109"/>
      <c r="G26" s="108"/>
    </row>
    <row r="27" spans="2:12" ht="18" customHeight="1">
      <c r="B27" s="108"/>
      <c r="G27" s="108"/>
    </row>
    <row r="28" spans="2:12">
      <c r="B28" s="108"/>
      <c r="C28" s="108"/>
      <c r="D28" s="108"/>
      <c r="E28" s="108"/>
      <c r="F28" s="108"/>
      <c r="G28" s="108"/>
    </row>
    <row r="29" spans="2:12">
      <c r="B29" s="108"/>
      <c r="C29" s="108"/>
      <c r="D29" s="108"/>
      <c r="E29" s="108"/>
      <c r="F29" s="108"/>
      <c r="G29" s="108"/>
    </row>
    <row r="30" spans="2:12">
      <c r="B30" s="108"/>
      <c r="C30" s="108"/>
      <c r="D30" s="108"/>
      <c r="E30" s="108"/>
      <c r="F30" s="110"/>
      <c r="G30" s="108"/>
    </row>
    <row r="31" spans="2:12">
      <c r="B31" s="108"/>
      <c r="C31" s="108"/>
      <c r="D31" s="108"/>
      <c r="E31" s="108"/>
      <c r="F31" s="108"/>
      <c r="G31" s="108"/>
    </row>
  </sheetData>
  <mergeCells count="4">
    <mergeCell ref="B6:B8"/>
    <mergeCell ref="C6:C8"/>
    <mergeCell ref="H6:L6"/>
    <mergeCell ref="E6:G6"/>
  </mergeCells>
  <pageMargins left="0.75" right="0.75" top="1" bottom="1" header="0.5" footer="0.5"/>
  <pageSetup paperSize="9" scale="7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1:O48"/>
  <sheetViews>
    <sheetView showGridLines="0" view="pageBreakPreview" topLeftCell="D1" zoomScale="70" zoomScaleNormal="60" zoomScaleSheetLayoutView="70" workbookViewId="0">
      <selection activeCell="L13" sqref="L13"/>
    </sheetView>
  </sheetViews>
  <sheetFormatPr defaultColWidth="9.28515625" defaultRowHeight="15"/>
  <cols>
    <col min="1" max="1" width="7.7109375" style="39" customWidth="1"/>
    <col min="2" max="2" width="6.28515625" style="39" customWidth="1"/>
    <col min="3" max="3" width="65.28515625" style="309" customWidth="1"/>
    <col min="4" max="4" width="18.7109375" style="268" customWidth="1"/>
    <col min="5" max="5" width="18.42578125" style="268" customWidth="1"/>
    <col min="6" max="6" width="18.42578125" style="39" customWidth="1"/>
    <col min="7" max="7" width="20.85546875" style="39" customWidth="1"/>
    <col min="8" max="15" width="18.42578125" style="39" customWidth="1"/>
    <col min="16" max="16384" width="9.28515625" style="39"/>
  </cols>
  <sheetData>
    <row r="1" spans="2:15" ht="20.25">
      <c r="B1" s="295"/>
      <c r="C1" s="307"/>
      <c r="D1" s="288"/>
      <c r="E1" s="288"/>
      <c r="F1" s="295"/>
      <c r="G1" s="295"/>
      <c r="H1" s="295"/>
      <c r="I1" s="295"/>
      <c r="J1" s="295"/>
      <c r="K1" s="295"/>
      <c r="L1" s="295"/>
      <c r="M1" s="295"/>
      <c r="N1" s="295"/>
      <c r="O1" s="295"/>
    </row>
    <row r="2" spans="2:15" ht="20.25">
      <c r="B2" s="363" t="s">
        <v>534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</row>
    <row r="3" spans="2:15" ht="20.25">
      <c r="B3" s="363" t="s">
        <v>514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</row>
    <row r="4" spans="2:15" s="43" customFormat="1" ht="20.25">
      <c r="B4" s="363" t="s">
        <v>553</v>
      </c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</row>
    <row r="5" spans="2:15" s="43" customFormat="1" ht="20.25">
      <c r="B5" s="296"/>
      <c r="C5" s="308"/>
      <c r="D5" s="288"/>
      <c r="E5" s="288"/>
      <c r="F5" s="297"/>
      <c r="G5" s="297"/>
      <c r="H5" s="297"/>
      <c r="I5" s="296"/>
      <c r="J5" s="296"/>
      <c r="K5" s="296"/>
      <c r="L5" s="296"/>
      <c r="M5" s="296"/>
      <c r="N5" s="296"/>
      <c r="O5" s="296"/>
    </row>
    <row r="6" spans="2:15" ht="33.75" customHeight="1">
      <c r="B6" s="364" t="s">
        <v>210</v>
      </c>
      <c r="C6" s="365" t="s">
        <v>18</v>
      </c>
      <c r="D6" s="365" t="s">
        <v>39</v>
      </c>
      <c r="E6" s="368" t="s">
        <v>516</v>
      </c>
      <c r="F6" s="369"/>
      <c r="G6" s="370"/>
      <c r="H6" s="368" t="s">
        <v>517</v>
      </c>
      <c r="I6" s="369"/>
      <c r="J6" s="366" t="s">
        <v>252</v>
      </c>
      <c r="K6" s="366"/>
      <c r="L6" s="366"/>
      <c r="M6" s="366"/>
      <c r="N6" s="366"/>
      <c r="O6" s="364" t="s">
        <v>11</v>
      </c>
    </row>
    <row r="7" spans="2:15" ht="54" customHeight="1">
      <c r="B7" s="365"/>
      <c r="C7" s="365"/>
      <c r="D7" s="365"/>
      <c r="E7" s="298" t="s">
        <v>394</v>
      </c>
      <c r="F7" s="298" t="s">
        <v>267</v>
      </c>
      <c r="G7" s="298" t="s">
        <v>226</v>
      </c>
      <c r="H7" s="298" t="s">
        <v>394</v>
      </c>
      <c r="I7" s="298" t="s">
        <v>266</v>
      </c>
      <c r="J7" s="298" t="s">
        <v>484</v>
      </c>
      <c r="K7" s="298" t="s">
        <v>485</v>
      </c>
      <c r="L7" s="298" t="s">
        <v>486</v>
      </c>
      <c r="M7" s="298" t="s">
        <v>487</v>
      </c>
      <c r="N7" s="298" t="s">
        <v>488</v>
      </c>
      <c r="O7" s="364"/>
    </row>
    <row r="8" spans="2:15" ht="33.75" customHeight="1">
      <c r="B8" s="365"/>
      <c r="C8" s="365"/>
      <c r="D8" s="365"/>
      <c r="E8" s="298" t="s">
        <v>10</v>
      </c>
      <c r="F8" s="298" t="s">
        <v>12</v>
      </c>
      <c r="G8" s="298" t="s">
        <v>256</v>
      </c>
      <c r="H8" s="298" t="s">
        <v>10</v>
      </c>
      <c r="I8" s="298" t="s">
        <v>5</v>
      </c>
      <c r="J8" s="298" t="s">
        <v>8</v>
      </c>
      <c r="K8" s="298" t="s">
        <v>8</v>
      </c>
      <c r="L8" s="298" t="s">
        <v>8</v>
      </c>
      <c r="M8" s="298" t="s">
        <v>8</v>
      </c>
      <c r="N8" s="298" t="s">
        <v>8</v>
      </c>
      <c r="O8" s="367"/>
    </row>
    <row r="9" spans="2:15" ht="42.75" customHeight="1">
      <c r="B9" s="298"/>
      <c r="C9" s="299"/>
      <c r="D9" s="300"/>
      <c r="E9" s="300"/>
      <c r="F9" s="301"/>
      <c r="G9" s="301"/>
      <c r="H9" s="301"/>
      <c r="I9" s="301"/>
      <c r="J9" s="301"/>
      <c r="K9" s="301"/>
      <c r="L9" s="301"/>
      <c r="M9" s="301"/>
      <c r="N9" s="301"/>
      <c r="O9" s="301"/>
    </row>
    <row r="10" spans="2:15" ht="42.75" customHeight="1">
      <c r="B10" s="298">
        <v>1</v>
      </c>
      <c r="C10" s="299" t="s">
        <v>230</v>
      </c>
      <c r="D10" s="298" t="s">
        <v>40</v>
      </c>
      <c r="E10" s="298">
        <v>600</v>
      </c>
      <c r="F10" s="302"/>
      <c r="G10" s="302"/>
      <c r="H10" s="302"/>
      <c r="I10" s="302"/>
      <c r="J10" s="301"/>
      <c r="K10" s="301"/>
      <c r="L10" s="301"/>
      <c r="M10" s="301"/>
      <c r="N10" s="301"/>
      <c r="O10" s="301"/>
    </row>
    <row r="11" spans="2:15" ht="42.75" customHeight="1">
      <c r="B11" s="298"/>
      <c r="C11" s="299" t="s">
        <v>364</v>
      </c>
      <c r="D11" s="298"/>
      <c r="E11" s="298" t="s">
        <v>510</v>
      </c>
      <c r="F11" s="302"/>
      <c r="G11" s="302"/>
      <c r="H11" s="302"/>
      <c r="I11" s="302"/>
      <c r="J11" s="301"/>
      <c r="K11" s="301"/>
      <c r="L11" s="301"/>
      <c r="M11" s="301"/>
      <c r="N11" s="301"/>
      <c r="O11" s="301"/>
    </row>
    <row r="12" spans="2:15" ht="42.75" customHeight="1">
      <c r="B12" s="298"/>
      <c r="C12" s="299" t="s">
        <v>239</v>
      </c>
      <c r="D12" s="298"/>
      <c r="E12" s="298" t="s">
        <v>511</v>
      </c>
      <c r="F12" s="302"/>
      <c r="G12" s="302"/>
      <c r="H12" s="302"/>
      <c r="I12" s="302"/>
      <c r="J12" s="301"/>
      <c r="K12" s="301"/>
      <c r="L12" s="301"/>
      <c r="M12" s="301"/>
      <c r="N12" s="301"/>
      <c r="O12" s="301"/>
    </row>
    <row r="13" spans="2:15" ht="42.75" customHeight="1">
      <c r="B13" s="298"/>
      <c r="C13" s="299"/>
      <c r="D13" s="298"/>
      <c r="E13" s="298"/>
      <c r="F13" s="302"/>
      <c r="G13" s="302"/>
      <c r="H13" s="302"/>
      <c r="I13" s="302"/>
      <c r="J13" s="301"/>
      <c r="K13" s="301"/>
      <c r="L13" s="301"/>
      <c r="M13" s="301"/>
      <c r="N13" s="301"/>
      <c r="O13" s="301"/>
    </row>
    <row r="14" spans="2:15" ht="42.75" customHeight="1">
      <c r="B14" s="298">
        <v>2</v>
      </c>
      <c r="C14" s="299" t="s">
        <v>185</v>
      </c>
      <c r="D14" s="298"/>
      <c r="E14" s="298"/>
      <c r="F14" s="302"/>
      <c r="G14" s="302"/>
      <c r="H14" s="302"/>
      <c r="I14" s="302"/>
      <c r="J14" s="301"/>
      <c r="K14" s="301"/>
      <c r="L14" s="301"/>
      <c r="M14" s="301"/>
      <c r="N14" s="301"/>
      <c r="O14" s="301"/>
    </row>
    <row r="15" spans="2:15" ht="42.75" customHeight="1">
      <c r="B15" s="298">
        <f>B14+0.1</f>
        <v>2.1</v>
      </c>
      <c r="C15" s="299" t="s">
        <v>41</v>
      </c>
      <c r="D15" s="298" t="s">
        <v>42</v>
      </c>
      <c r="E15" s="298">
        <v>80</v>
      </c>
      <c r="F15" s="298">
        <v>80</v>
      </c>
      <c r="G15" s="298">
        <v>80</v>
      </c>
      <c r="H15" s="298">
        <v>80</v>
      </c>
      <c r="I15" s="298">
        <v>80</v>
      </c>
      <c r="J15" s="298">
        <v>85</v>
      </c>
      <c r="K15" s="298">
        <v>85</v>
      </c>
      <c r="L15" s="298">
        <v>85</v>
      </c>
      <c r="M15" s="298">
        <v>85</v>
      </c>
      <c r="N15" s="298">
        <v>85</v>
      </c>
      <c r="O15" s="301"/>
    </row>
    <row r="16" spans="2:15" ht="42.75" customHeight="1">
      <c r="B16" s="298">
        <f>B15+0.1</f>
        <v>2.2000000000000002</v>
      </c>
      <c r="C16" s="299" t="s">
        <v>165</v>
      </c>
      <c r="D16" s="298" t="s">
        <v>42</v>
      </c>
      <c r="E16" s="298"/>
      <c r="F16" s="298">
        <v>87.52</v>
      </c>
      <c r="G16" s="298">
        <v>87.52</v>
      </c>
      <c r="H16" s="298"/>
      <c r="I16" s="298">
        <v>90.03</v>
      </c>
      <c r="J16" s="298">
        <v>85</v>
      </c>
      <c r="K16" s="298">
        <v>85</v>
      </c>
      <c r="L16" s="298">
        <v>85</v>
      </c>
      <c r="M16" s="298">
        <v>85</v>
      </c>
      <c r="N16" s="298">
        <v>85</v>
      </c>
      <c r="O16" s="301"/>
    </row>
    <row r="17" spans="2:15" ht="42.75" customHeight="1">
      <c r="B17" s="298"/>
      <c r="C17" s="299"/>
      <c r="D17" s="298"/>
      <c r="E17" s="298"/>
      <c r="F17" s="302"/>
      <c r="G17" s="302"/>
      <c r="H17" s="302"/>
      <c r="I17" s="302"/>
      <c r="J17" s="301"/>
      <c r="K17" s="301"/>
      <c r="L17" s="301"/>
      <c r="M17" s="301"/>
      <c r="N17" s="301"/>
      <c r="O17" s="301"/>
    </row>
    <row r="18" spans="2:15" ht="42.75" customHeight="1">
      <c r="B18" s="298">
        <v>3</v>
      </c>
      <c r="C18" s="299" t="s">
        <v>186</v>
      </c>
      <c r="D18" s="298"/>
      <c r="E18" s="298"/>
      <c r="F18" s="302"/>
      <c r="G18" s="302"/>
      <c r="H18" s="302"/>
      <c r="I18" s="302"/>
      <c r="J18" s="301"/>
      <c r="K18" s="301"/>
      <c r="L18" s="301"/>
      <c r="M18" s="301"/>
      <c r="N18" s="301"/>
      <c r="O18" s="301"/>
    </row>
    <row r="19" spans="2:15" ht="42.75" customHeight="1">
      <c r="B19" s="298">
        <f>B18+0.1</f>
        <v>3.1</v>
      </c>
      <c r="C19" s="299" t="s">
        <v>43</v>
      </c>
      <c r="D19" s="298" t="s">
        <v>42</v>
      </c>
      <c r="E19" s="298">
        <v>80</v>
      </c>
      <c r="F19" s="298">
        <v>80</v>
      </c>
      <c r="G19" s="298">
        <v>80</v>
      </c>
      <c r="H19" s="298">
        <v>80</v>
      </c>
      <c r="I19" s="298">
        <v>80</v>
      </c>
      <c r="J19" s="298">
        <v>85</v>
      </c>
      <c r="K19" s="298">
        <v>85</v>
      </c>
      <c r="L19" s="298">
        <v>85</v>
      </c>
      <c r="M19" s="298">
        <v>85</v>
      </c>
      <c r="N19" s="298">
        <v>85</v>
      </c>
      <c r="O19" s="301"/>
    </row>
    <row r="20" spans="2:15" ht="42.75" customHeight="1">
      <c r="B20" s="298">
        <f>B19+0.1</f>
        <v>3.2</v>
      </c>
      <c r="C20" s="299" t="s">
        <v>166</v>
      </c>
      <c r="D20" s="298" t="s">
        <v>42</v>
      </c>
      <c r="E20" s="298"/>
      <c r="F20" s="298">
        <v>83.79</v>
      </c>
      <c r="G20" s="298">
        <v>83.79</v>
      </c>
      <c r="H20" s="298"/>
      <c r="I20" s="298">
        <v>85.35</v>
      </c>
      <c r="J20" s="298">
        <v>85</v>
      </c>
      <c r="K20" s="298">
        <v>85</v>
      </c>
      <c r="L20" s="298">
        <v>85</v>
      </c>
      <c r="M20" s="298">
        <v>85</v>
      </c>
      <c r="N20" s="298">
        <v>85</v>
      </c>
      <c r="O20" s="301"/>
    </row>
    <row r="21" spans="2:15" ht="42.75" customHeight="1">
      <c r="B21" s="298"/>
      <c r="C21" s="299"/>
      <c r="D21" s="298"/>
      <c r="E21" s="298"/>
      <c r="F21" s="298"/>
      <c r="G21" s="298"/>
      <c r="H21" s="298"/>
      <c r="I21" s="298"/>
      <c r="J21" s="301"/>
      <c r="K21" s="301"/>
      <c r="L21" s="301"/>
      <c r="M21" s="301"/>
      <c r="N21" s="301"/>
      <c r="O21" s="301"/>
    </row>
    <row r="22" spans="2:15" ht="42.75" customHeight="1">
      <c r="B22" s="298">
        <v>4</v>
      </c>
      <c r="C22" s="299" t="s">
        <v>56</v>
      </c>
      <c r="D22" s="298"/>
      <c r="E22" s="298"/>
      <c r="F22" s="298"/>
      <c r="G22" s="298"/>
      <c r="H22" s="298"/>
      <c r="I22" s="298"/>
      <c r="J22" s="301"/>
      <c r="K22" s="301"/>
      <c r="L22" s="301"/>
      <c r="M22" s="301"/>
      <c r="N22" s="301"/>
      <c r="O22" s="301"/>
    </row>
    <row r="23" spans="2:15" ht="42.75" customHeight="1">
      <c r="B23" s="298">
        <f>B22+0.1</f>
        <v>4.0999999999999996</v>
      </c>
      <c r="C23" s="299" t="s">
        <v>44</v>
      </c>
      <c r="D23" s="298" t="s">
        <v>45</v>
      </c>
      <c r="E23" s="303">
        <f>F23</f>
        <v>4166.55</v>
      </c>
      <c r="F23" s="303">
        <f>F30</f>
        <v>4166.55</v>
      </c>
      <c r="G23" s="303">
        <f>F23</f>
        <v>4166.55</v>
      </c>
      <c r="H23" s="303">
        <f>I23</f>
        <v>4219.000728</v>
      </c>
      <c r="I23" s="303">
        <v>4219.000728</v>
      </c>
      <c r="J23" s="303">
        <f>J30</f>
        <v>4235.1000000000004</v>
      </c>
      <c r="K23" s="303">
        <f t="shared" ref="K23:N23" si="0">K30</f>
        <v>4233.05</v>
      </c>
      <c r="L23" s="303">
        <f t="shared" si="0"/>
        <v>4236.46</v>
      </c>
      <c r="M23" s="303">
        <f t="shared" si="0"/>
        <v>4244.6500000000005</v>
      </c>
      <c r="N23" s="303">
        <f t="shared" si="0"/>
        <v>4231.9299999999994</v>
      </c>
      <c r="O23" s="301"/>
    </row>
    <row r="24" spans="2:15" ht="42.75" customHeight="1">
      <c r="B24" s="298">
        <f>B23+0.1</f>
        <v>4.1999999999999993</v>
      </c>
      <c r="C24" s="304" t="s">
        <v>167</v>
      </c>
      <c r="D24" s="298" t="s">
        <v>45</v>
      </c>
      <c r="E24" s="303"/>
      <c r="F24" s="303">
        <v>4404.1000000000004</v>
      </c>
      <c r="G24" s="303">
        <v>4404.1000000000004</v>
      </c>
      <c r="H24" s="303"/>
      <c r="I24" s="303">
        <v>4479.1080000000002</v>
      </c>
      <c r="J24" s="303">
        <v>4469.76</v>
      </c>
      <c r="K24" s="303">
        <v>4467.6000000000004</v>
      </c>
      <c r="L24" s="303">
        <v>4471.2</v>
      </c>
      <c r="M24" s="303">
        <v>4479.84</v>
      </c>
      <c r="N24" s="303">
        <v>4471.2</v>
      </c>
      <c r="O24" s="301"/>
    </row>
    <row r="25" spans="2:15" ht="42.75" customHeight="1">
      <c r="B25" s="298"/>
      <c r="C25" s="304"/>
      <c r="D25" s="298"/>
      <c r="E25" s="298"/>
      <c r="F25" s="298"/>
      <c r="G25" s="298"/>
      <c r="H25" s="298"/>
      <c r="I25" s="298"/>
      <c r="J25" s="301"/>
      <c r="K25" s="301"/>
      <c r="L25" s="301"/>
      <c r="M25" s="301"/>
      <c r="N25" s="301"/>
      <c r="O25" s="301"/>
    </row>
    <row r="26" spans="2:15" ht="42.75" customHeight="1">
      <c r="B26" s="298">
        <v>5</v>
      </c>
      <c r="C26" s="304" t="s">
        <v>183</v>
      </c>
      <c r="D26" s="298"/>
      <c r="E26" s="298"/>
      <c r="F26" s="298"/>
      <c r="G26" s="298"/>
      <c r="H26" s="298"/>
      <c r="I26" s="298"/>
      <c r="J26" s="301"/>
      <c r="K26" s="301"/>
      <c r="L26" s="301"/>
      <c r="M26" s="301"/>
      <c r="N26" s="301"/>
      <c r="O26" s="301"/>
    </row>
    <row r="27" spans="2:15" ht="42.75" customHeight="1">
      <c r="B27" s="298">
        <f>B26+0.1</f>
        <v>5.0999999999999996</v>
      </c>
      <c r="C27" s="304" t="s">
        <v>46</v>
      </c>
      <c r="D27" s="298" t="s">
        <v>42</v>
      </c>
      <c r="E27" s="303">
        <v>7</v>
      </c>
      <c r="F27" s="303">
        <v>7</v>
      </c>
      <c r="G27" s="303">
        <v>7</v>
      </c>
      <c r="H27" s="303">
        <v>7</v>
      </c>
      <c r="I27" s="303">
        <v>7</v>
      </c>
      <c r="J27" s="303">
        <v>5.25</v>
      </c>
      <c r="K27" s="303">
        <v>5.25</v>
      </c>
      <c r="L27" s="303">
        <v>5.25</v>
      </c>
      <c r="M27" s="303">
        <v>5.25</v>
      </c>
      <c r="N27" s="303">
        <v>5.25</v>
      </c>
      <c r="O27" s="301"/>
    </row>
    <row r="28" spans="2:15" ht="42.75" customHeight="1">
      <c r="B28" s="298">
        <f>B27+0.1</f>
        <v>5.1999999999999993</v>
      </c>
      <c r="C28" s="304" t="s">
        <v>168</v>
      </c>
      <c r="D28" s="298" t="s">
        <v>42</v>
      </c>
      <c r="E28" s="303">
        <v>7</v>
      </c>
      <c r="F28" s="303">
        <v>5.39</v>
      </c>
      <c r="G28" s="303">
        <v>5.39</v>
      </c>
      <c r="H28" s="303"/>
      <c r="I28" s="303">
        <v>5.8070000000000004</v>
      </c>
      <c r="J28" s="303">
        <v>5.25</v>
      </c>
      <c r="K28" s="303">
        <v>5.25</v>
      </c>
      <c r="L28" s="303">
        <v>5.25</v>
      </c>
      <c r="M28" s="303">
        <v>5.25</v>
      </c>
      <c r="N28" s="303">
        <v>5.25</v>
      </c>
      <c r="O28" s="301"/>
    </row>
    <row r="29" spans="2:15" ht="42.75" customHeight="1">
      <c r="B29" s="298">
        <f>B28+0.1</f>
        <v>5.2999999999999989</v>
      </c>
      <c r="C29" s="304" t="s">
        <v>168</v>
      </c>
      <c r="D29" s="298" t="s">
        <v>45</v>
      </c>
      <c r="E29" s="303"/>
      <c r="F29" s="303">
        <v>237.56</v>
      </c>
      <c r="G29" s="303">
        <f>F29</f>
        <v>237.56</v>
      </c>
      <c r="H29" s="303"/>
      <c r="I29" s="303">
        <v>260.11</v>
      </c>
      <c r="J29" s="303">
        <v>234.66</v>
      </c>
      <c r="K29" s="303">
        <v>234.55</v>
      </c>
      <c r="L29" s="303">
        <v>234.74</v>
      </c>
      <c r="M29" s="303">
        <v>235.19</v>
      </c>
      <c r="N29" s="303">
        <v>239.27</v>
      </c>
      <c r="O29" s="301"/>
    </row>
    <row r="30" spans="2:15" ht="42.75" customHeight="1">
      <c r="B30" s="298">
        <f>B29+0.1</f>
        <v>5.3999999999999986</v>
      </c>
      <c r="C30" s="304" t="s">
        <v>47</v>
      </c>
      <c r="D30" s="298" t="s">
        <v>45</v>
      </c>
      <c r="E30" s="303"/>
      <c r="F30" s="303">
        <v>4166.55</v>
      </c>
      <c r="G30" s="303">
        <v>4166.55</v>
      </c>
      <c r="H30" s="303"/>
      <c r="I30" s="303">
        <v>4219.000728</v>
      </c>
      <c r="J30" s="303">
        <f>J24-J29</f>
        <v>4235.1000000000004</v>
      </c>
      <c r="K30" s="303">
        <f>K24-K29</f>
        <v>4233.05</v>
      </c>
      <c r="L30" s="303">
        <f t="shared" ref="L30:N30" si="1">L24-L29</f>
        <v>4236.46</v>
      </c>
      <c r="M30" s="303">
        <f t="shared" si="1"/>
        <v>4244.6500000000005</v>
      </c>
      <c r="N30" s="303">
        <f t="shared" si="1"/>
        <v>4231.9299999999994</v>
      </c>
      <c r="O30" s="301"/>
    </row>
    <row r="31" spans="2:15" ht="42.75" customHeight="1">
      <c r="B31" s="298"/>
      <c r="C31" s="304"/>
      <c r="D31" s="298"/>
      <c r="E31" s="298"/>
      <c r="F31" s="298"/>
      <c r="G31" s="298"/>
      <c r="H31" s="298"/>
      <c r="I31" s="298"/>
      <c r="J31" s="301"/>
      <c r="K31" s="301"/>
      <c r="L31" s="301"/>
      <c r="M31" s="301"/>
      <c r="N31" s="301"/>
      <c r="O31" s="301"/>
    </row>
    <row r="32" spans="2:15" ht="42.75" customHeight="1">
      <c r="B32" s="298">
        <v>6</v>
      </c>
      <c r="C32" s="304" t="s">
        <v>225</v>
      </c>
      <c r="D32" s="298"/>
      <c r="E32" s="298"/>
      <c r="F32" s="298"/>
      <c r="G32" s="298"/>
      <c r="H32" s="298"/>
      <c r="I32" s="298"/>
      <c r="J32" s="301"/>
      <c r="K32" s="301"/>
      <c r="L32" s="301"/>
      <c r="M32" s="301"/>
      <c r="N32" s="301"/>
      <c r="O32" s="301"/>
    </row>
    <row r="33" spans="2:15" ht="42.75" customHeight="1">
      <c r="B33" s="298">
        <f>B32+0.1</f>
        <v>6.1</v>
      </c>
      <c r="C33" s="304" t="s">
        <v>48</v>
      </c>
      <c r="D33" s="298" t="s">
        <v>49</v>
      </c>
      <c r="E33" s="298">
        <v>2400</v>
      </c>
      <c r="F33" s="298">
        <v>2400</v>
      </c>
      <c r="G33" s="298">
        <v>2400</v>
      </c>
      <c r="H33" s="298">
        <v>2400</v>
      </c>
      <c r="I33" s="298">
        <v>2400</v>
      </c>
      <c r="J33" s="305">
        <v>2300</v>
      </c>
      <c r="K33" s="305">
        <v>2300</v>
      </c>
      <c r="L33" s="305">
        <v>2300</v>
      </c>
      <c r="M33" s="305">
        <v>2300</v>
      </c>
      <c r="N33" s="305">
        <v>2300</v>
      </c>
      <c r="O33" s="301"/>
    </row>
    <row r="34" spans="2:15" ht="42.75" customHeight="1">
      <c r="B34" s="298">
        <f>B33+0.1</f>
        <v>6.1999999999999993</v>
      </c>
      <c r="C34" s="299" t="s">
        <v>169</v>
      </c>
      <c r="D34" s="298" t="s">
        <v>49</v>
      </c>
      <c r="E34" s="298"/>
      <c r="F34" s="298">
        <v>2333.77</v>
      </c>
      <c r="G34" s="298">
        <v>2333.77</v>
      </c>
      <c r="H34" s="298"/>
      <c r="I34" s="298">
        <v>2367</v>
      </c>
      <c r="J34" s="298">
        <f>J33</f>
        <v>2300</v>
      </c>
      <c r="K34" s="298">
        <f t="shared" ref="K34:N34" si="2">K33</f>
        <v>2300</v>
      </c>
      <c r="L34" s="298">
        <f t="shared" si="2"/>
        <v>2300</v>
      </c>
      <c r="M34" s="298">
        <f t="shared" si="2"/>
        <v>2300</v>
      </c>
      <c r="N34" s="298">
        <f t="shared" si="2"/>
        <v>2300</v>
      </c>
      <c r="O34" s="301"/>
    </row>
    <row r="35" spans="2:15" ht="42.75" customHeight="1">
      <c r="B35" s="298"/>
      <c r="C35" s="299"/>
      <c r="D35" s="298"/>
      <c r="E35" s="298"/>
      <c r="F35" s="298"/>
      <c r="G35" s="298"/>
      <c r="H35" s="298"/>
      <c r="I35" s="298"/>
      <c r="J35" s="301"/>
      <c r="K35" s="301"/>
      <c r="L35" s="301"/>
      <c r="M35" s="301"/>
      <c r="N35" s="301"/>
      <c r="O35" s="301"/>
    </row>
    <row r="36" spans="2:15" ht="42.75" customHeight="1">
      <c r="B36" s="298">
        <v>7</v>
      </c>
      <c r="C36" s="299" t="s">
        <v>187</v>
      </c>
      <c r="D36" s="298"/>
      <c r="E36" s="298"/>
      <c r="F36" s="298"/>
      <c r="G36" s="298"/>
      <c r="H36" s="298"/>
      <c r="I36" s="298"/>
      <c r="J36" s="301"/>
      <c r="K36" s="301"/>
      <c r="L36" s="301"/>
      <c r="M36" s="301"/>
      <c r="N36" s="301"/>
      <c r="O36" s="301"/>
    </row>
    <row r="37" spans="2:15" ht="42.75" customHeight="1">
      <c r="B37" s="298">
        <f>B36+0.1</f>
        <v>7.1</v>
      </c>
      <c r="C37" s="299" t="s">
        <v>50</v>
      </c>
      <c r="D37" s="298" t="s">
        <v>51</v>
      </c>
      <c r="E37" s="298">
        <v>2</v>
      </c>
      <c r="F37" s="298">
        <v>2</v>
      </c>
      <c r="G37" s="298">
        <v>2</v>
      </c>
      <c r="H37" s="298">
        <v>2</v>
      </c>
      <c r="I37" s="298">
        <v>2</v>
      </c>
      <c r="J37" s="298">
        <v>0.5</v>
      </c>
      <c r="K37" s="298">
        <v>0.5</v>
      </c>
      <c r="L37" s="298">
        <v>0.5</v>
      </c>
      <c r="M37" s="298">
        <v>0.5</v>
      </c>
      <c r="N37" s="298">
        <v>0.5</v>
      </c>
      <c r="O37" s="301"/>
    </row>
    <row r="38" spans="2:15" ht="42.75" customHeight="1">
      <c r="B38" s="298">
        <f>B37+0.1</f>
        <v>7.1999999999999993</v>
      </c>
      <c r="C38" s="299" t="s">
        <v>170</v>
      </c>
      <c r="D38" s="298" t="s">
        <v>51</v>
      </c>
      <c r="E38" s="298">
        <v>0</v>
      </c>
      <c r="F38" s="298">
        <v>0.42</v>
      </c>
      <c r="G38" s="298">
        <f>F38</f>
        <v>0.42</v>
      </c>
      <c r="H38" s="298">
        <v>2</v>
      </c>
      <c r="I38" s="306">
        <f>1323.54/4479.11</f>
        <v>0.29549173831408471</v>
      </c>
      <c r="J38" s="298">
        <v>0.5</v>
      </c>
      <c r="K38" s="298">
        <v>0.5</v>
      </c>
      <c r="L38" s="298">
        <v>0.5</v>
      </c>
      <c r="M38" s="298">
        <v>0.5</v>
      </c>
      <c r="N38" s="298">
        <v>0.5</v>
      </c>
      <c r="O38" s="301"/>
    </row>
    <row r="39" spans="2:15" ht="42.75" customHeight="1">
      <c r="B39" s="298"/>
      <c r="C39" s="299"/>
      <c r="D39" s="298"/>
      <c r="E39" s="298"/>
      <c r="F39" s="298"/>
      <c r="G39" s="298"/>
      <c r="H39" s="298"/>
      <c r="I39" s="298"/>
      <c r="J39" s="301"/>
      <c r="K39" s="301"/>
      <c r="L39" s="301"/>
      <c r="M39" s="301"/>
      <c r="N39" s="301"/>
      <c r="O39" s="301"/>
    </row>
    <row r="40" spans="2:15" ht="42.75" customHeight="1">
      <c r="B40" s="298">
        <v>8</v>
      </c>
      <c r="C40" s="299" t="s">
        <v>53</v>
      </c>
      <c r="D40" s="298"/>
      <c r="E40" s="298"/>
      <c r="F40" s="298"/>
      <c r="G40" s="298"/>
      <c r="H40" s="298"/>
      <c r="I40" s="298"/>
      <c r="J40" s="301"/>
      <c r="K40" s="301"/>
      <c r="L40" s="301"/>
      <c r="M40" s="301"/>
      <c r="N40" s="301"/>
      <c r="O40" s="301"/>
    </row>
    <row r="41" spans="2:15" ht="42.75" customHeight="1">
      <c r="B41" s="298">
        <f>B40+0.1</f>
        <v>8.1</v>
      </c>
      <c r="C41" s="299" t="s">
        <v>52</v>
      </c>
      <c r="D41" s="298" t="s">
        <v>42</v>
      </c>
      <c r="E41" s="298">
        <v>0.8</v>
      </c>
      <c r="F41" s="298">
        <v>0.8</v>
      </c>
      <c r="G41" s="298">
        <v>0.8</v>
      </c>
      <c r="H41" s="298">
        <v>0.8</v>
      </c>
      <c r="I41" s="298">
        <v>0.8</v>
      </c>
      <c r="J41" s="298">
        <v>0.8</v>
      </c>
      <c r="K41" s="298">
        <v>0.8</v>
      </c>
      <c r="L41" s="298">
        <v>0.8</v>
      </c>
      <c r="M41" s="298">
        <v>0.8</v>
      </c>
      <c r="N41" s="298">
        <v>0.8</v>
      </c>
      <c r="O41" s="301"/>
    </row>
    <row r="42" spans="2:15" ht="42.75" customHeight="1">
      <c r="B42" s="298">
        <f>B41+0.1</f>
        <v>8.1999999999999993</v>
      </c>
      <c r="C42" s="299" t="s">
        <v>171</v>
      </c>
      <c r="D42" s="298" t="s">
        <v>42</v>
      </c>
      <c r="E42" s="298">
        <v>0</v>
      </c>
      <c r="F42" s="298">
        <v>0.8</v>
      </c>
      <c r="G42" s="298">
        <v>0.8</v>
      </c>
      <c r="H42" s="298">
        <v>0.8</v>
      </c>
      <c r="I42" s="298">
        <v>0.8</v>
      </c>
      <c r="J42" s="298">
        <v>0.8</v>
      </c>
      <c r="K42" s="298">
        <v>0.8</v>
      </c>
      <c r="L42" s="298">
        <v>0.8</v>
      </c>
      <c r="M42" s="298">
        <v>0.8</v>
      </c>
      <c r="N42" s="298">
        <v>0.8</v>
      </c>
      <c r="O42" s="301"/>
    </row>
    <row r="43" spans="2:15" ht="20.25">
      <c r="B43" s="298"/>
      <c r="C43" s="299"/>
      <c r="D43" s="300"/>
      <c r="E43" s="298"/>
      <c r="F43" s="298"/>
      <c r="G43" s="298"/>
      <c r="H43" s="298"/>
      <c r="I43" s="298"/>
      <c r="J43" s="301"/>
      <c r="K43" s="301"/>
      <c r="L43" s="301"/>
      <c r="M43" s="301"/>
      <c r="N43" s="301"/>
      <c r="O43" s="301"/>
    </row>
    <row r="44" spans="2:15">
      <c r="B44" s="45"/>
      <c r="C44" s="111"/>
      <c r="D44" s="270"/>
      <c r="E44" s="270"/>
      <c r="F44" s="45"/>
      <c r="G44" s="45"/>
      <c r="H44" s="45"/>
      <c r="I44" s="45"/>
    </row>
    <row r="45" spans="2:15" ht="17.25">
      <c r="D45" s="68"/>
      <c r="E45" s="68"/>
      <c r="F45" s="271"/>
      <c r="G45" s="271"/>
      <c r="H45" s="271"/>
      <c r="I45" s="271"/>
    </row>
    <row r="46" spans="2:15" ht="17.25">
      <c r="B46" s="43"/>
      <c r="F46" s="271"/>
      <c r="G46" s="271"/>
      <c r="H46" s="271"/>
      <c r="I46" s="271"/>
    </row>
    <row r="47" spans="2:15" ht="17.25">
      <c r="C47" s="67"/>
      <c r="F47" s="271"/>
      <c r="G47" s="271"/>
      <c r="H47" s="271"/>
      <c r="I47" s="271"/>
    </row>
    <row r="48" spans="2:15">
      <c r="F48" s="272"/>
      <c r="G48" s="272"/>
      <c r="H48" s="272"/>
      <c r="I48" s="272"/>
    </row>
  </sheetData>
  <mergeCells count="10">
    <mergeCell ref="B2:O2"/>
    <mergeCell ref="B3:O3"/>
    <mergeCell ref="B4:O4"/>
    <mergeCell ref="B6:B8"/>
    <mergeCell ref="C6:C8"/>
    <mergeCell ref="D6:D8"/>
    <mergeCell ref="J6:N6"/>
    <mergeCell ref="O6:O8"/>
    <mergeCell ref="E6:G6"/>
    <mergeCell ref="H6:I6"/>
  </mergeCells>
  <pageMargins left="0.23622047244094491" right="0.19685039370078741" top="0.43307086614173229" bottom="0.62992125984251968" header="0.51181102362204722" footer="0.51181102362204722"/>
  <pageSetup paperSize="9" scale="4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2:V53"/>
  <sheetViews>
    <sheetView view="pageBreakPreview" topLeftCell="A19" zoomScale="60" workbookViewId="0">
      <selection activeCell="J45" sqref="J45"/>
    </sheetView>
  </sheetViews>
  <sheetFormatPr defaultColWidth="9.28515625" defaultRowHeight="14.25"/>
  <cols>
    <col min="1" max="1" width="2.28515625" style="113" customWidth="1"/>
    <col min="2" max="2" width="9.28515625" style="113"/>
    <col min="3" max="3" width="55.5703125" style="113" customWidth="1"/>
    <col min="4" max="4" width="15.140625" style="114" customWidth="1"/>
    <col min="5" max="22" width="15.85546875" style="114" customWidth="1"/>
    <col min="23" max="23" width="15.85546875" style="113" customWidth="1"/>
    <col min="24" max="16384" width="9.28515625" style="113"/>
  </cols>
  <sheetData>
    <row r="2" spans="2:22" ht="15">
      <c r="M2" s="269" t="s">
        <v>534</v>
      </c>
    </row>
    <row r="3" spans="2:22" ht="15">
      <c r="M3" s="269" t="s">
        <v>514</v>
      </c>
    </row>
    <row r="4" spans="2:22" ht="15">
      <c r="M4" s="268" t="s">
        <v>365</v>
      </c>
    </row>
    <row r="6" spans="2:22" s="275" customFormat="1" ht="51.75" customHeight="1">
      <c r="B6" s="371" t="s">
        <v>210</v>
      </c>
      <c r="C6" s="372" t="s">
        <v>18</v>
      </c>
      <c r="D6" s="373" t="s">
        <v>39</v>
      </c>
      <c r="E6" s="373" t="s">
        <v>516</v>
      </c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 t="s">
        <v>517</v>
      </c>
      <c r="R6" s="373"/>
      <c r="S6" s="373"/>
      <c r="T6" s="373"/>
      <c r="U6" s="373"/>
      <c r="V6" s="373"/>
    </row>
    <row r="7" spans="2:22" s="275" customFormat="1" ht="51.75" customHeight="1">
      <c r="B7" s="371"/>
      <c r="C7" s="372"/>
      <c r="D7" s="373"/>
      <c r="E7" s="277" t="s">
        <v>141</v>
      </c>
      <c r="F7" s="277" t="s">
        <v>142</v>
      </c>
      <c r="G7" s="277" t="s">
        <v>143</v>
      </c>
      <c r="H7" s="277" t="s">
        <v>144</v>
      </c>
      <c r="I7" s="277" t="s">
        <v>145</v>
      </c>
      <c r="J7" s="277" t="s">
        <v>146</v>
      </c>
      <c r="K7" s="277" t="s">
        <v>147</v>
      </c>
      <c r="L7" s="277" t="s">
        <v>148</v>
      </c>
      <c r="M7" s="277" t="s">
        <v>149</v>
      </c>
      <c r="N7" s="277" t="s">
        <v>150</v>
      </c>
      <c r="O7" s="277" t="s">
        <v>151</v>
      </c>
      <c r="P7" s="277" t="s">
        <v>152</v>
      </c>
      <c r="Q7" s="277" t="s">
        <v>141</v>
      </c>
      <c r="R7" s="277" t="s">
        <v>142</v>
      </c>
      <c r="S7" s="277" t="s">
        <v>143</v>
      </c>
      <c r="T7" s="277" t="s">
        <v>144</v>
      </c>
      <c r="U7" s="277" t="s">
        <v>145</v>
      </c>
      <c r="V7" s="277" t="s">
        <v>146</v>
      </c>
    </row>
    <row r="8" spans="2:22" s="275" customFormat="1" ht="51.75" customHeight="1">
      <c r="B8" s="274" t="s">
        <v>67</v>
      </c>
      <c r="C8" s="276" t="s">
        <v>338</v>
      </c>
      <c r="D8" s="278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</row>
    <row r="9" spans="2:22" s="275" customFormat="1" ht="51.75" customHeight="1">
      <c r="B9" s="274">
        <v>1</v>
      </c>
      <c r="C9" s="276" t="s">
        <v>456</v>
      </c>
      <c r="D9" s="277" t="s">
        <v>340</v>
      </c>
      <c r="E9" s="279">
        <v>100648.0013</v>
      </c>
      <c r="F9" s="279">
        <v>135112.53130000003</v>
      </c>
      <c r="G9" s="279">
        <v>179850.29130000039</v>
      </c>
      <c r="H9" s="277">
        <v>325482.83000000042</v>
      </c>
      <c r="I9" s="277">
        <v>300041.81000000052</v>
      </c>
      <c r="J9" s="277">
        <v>295350.47000000067</v>
      </c>
      <c r="K9" s="277">
        <v>199884.58000000147</v>
      </c>
      <c r="L9" s="277">
        <v>193785.48000000126</v>
      </c>
      <c r="M9" s="277">
        <v>322239.12000000197</v>
      </c>
      <c r="N9" s="277">
        <v>340589.00000000169</v>
      </c>
      <c r="O9" s="277">
        <v>358420.88000000129</v>
      </c>
      <c r="P9" s="277">
        <v>394663.71000000194</v>
      </c>
      <c r="Q9" s="280">
        <v>419344.62000000203</v>
      </c>
      <c r="R9" s="280">
        <v>383928.68000000168</v>
      </c>
      <c r="S9" s="280">
        <v>350921.50000000163</v>
      </c>
      <c r="T9" s="280">
        <v>313434.63000000134</v>
      </c>
      <c r="U9" s="280">
        <v>241377.9300000011</v>
      </c>
      <c r="V9" s="280">
        <v>185456.74000000115</v>
      </c>
    </row>
    <row r="10" spans="2:22" s="275" customFormat="1" ht="51.75" customHeight="1">
      <c r="B10" s="274">
        <f>B9+1</f>
        <v>2</v>
      </c>
      <c r="C10" s="276" t="s">
        <v>339</v>
      </c>
      <c r="D10" s="277" t="s">
        <v>489</v>
      </c>
      <c r="E10" s="279">
        <v>46.733567846581032</v>
      </c>
      <c r="F10" s="279">
        <v>66.764902291943216</v>
      </c>
      <c r="G10" s="279">
        <v>86.650624804231541</v>
      </c>
      <c r="H10" s="279">
        <v>157.97229946477364</v>
      </c>
      <c r="I10" s="279">
        <v>147.18677604203029</v>
      </c>
      <c r="J10" s="279">
        <v>146.6645851585543</v>
      </c>
      <c r="K10" s="279">
        <v>98.557806458654596</v>
      </c>
      <c r="L10" s="279">
        <v>100.48117983325758</v>
      </c>
      <c r="M10" s="279">
        <v>172.71668117210774</v>
      </c>
      <c r="N10" s="279">
        <v>185.42789790262731</v>
      </c>
      <c r="O10" s="279">
        <v>193.08398775722807</v>
      </c>
      <c r="P10" s="279">
        <v>212.41975225429599</v>
      </c>
      <c r="Q10" s="279">
        <v>223.73654778833441</v>
      </c>
      <c r="R10" s="279">
        <v>205.57214733886119</v>
      </c>
      <c r="S10" s="279">
        <v>171.97786801971461</v>
      </c>
      <c r="T10" s="279">
        <v>154.15349879643045</v>
      </c>
      <c r="U10" s="279">
        <v>120.96042657067036</v>
      </c>
      <c r="V10" s="279">
        <v>93.93726722542857</v>
      </c>
    </row>
    <row r="11" spans="2:22" s="275" customFormat="1" ht="51.75" customHeight="1">
      <c r="B11" s="274" t="s">
        <v>71</v>
      </c>
      <c r="C11" s="276" t="s">
        <v>341</v>
      </c>
      <c r="D11" s="277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</row>
    <row r="12" spans="2:22" s="275" customFormat="1" ht="51.75" customHeight="1">
      <c r="B12" s="274">
        <f>B10+1</f>
        <v>3</v>
      </c>
      <c r="C12" s="276" t="s">
        <v>457</v>
      </c>
      <c r="D12" s="277" t="s">
        <v>340</v>
      </c>
      <c r="E12" s="280">
        <v>405650.27</v>
      </c>
      <c r="F12" s="280">
        <v>421791.01</v>
      </c>
      <c r="G12" s="280">
        <v>382810.07</v>
      </c>
      <c r="H12" s="280">
        <v>243450.41</v>
      </c>
      <c r="I12" s="280">
        <v>369902.83</v>
      </c>
      <c r="J12" s="280">
        <v>346604.66</v>
      </c>
      <c r="K12" s="280">
        <v>412038.86999999901</v>
      </c>
      <c r="L12" s="280">
        <v>457554.10000000102</v>
      </c>
      <c r="M12" s="280">
        <v>438417.97</v>
      </c>
      <c r="N12" s="280">
        <v>418554.010000001</v>
      </c>
      <c r="O12" s="280">
        <v>414168.89</v>
      </c>
      <c r="P12" s="280">
        <v>451546.6</v>
      </c>
      <c r="Q12" s="280">
        <v>353229.38999999978</v>
      </c>
      <c r="R12" s="280">
        <v>374749.42000000027</v>
      </c>
      <c r="S12" s="280">
        <v>365524.06000000029</v>
      </c>
      <c r="T12" s="280">
        <v>299048.15000000008</v>
      </c>
      <c r="U12" s="280">
        <v>369795.9</v>
      </c>
      <c r="V12" s="280">
        <v>385553.2900000001</v>
      </c>
    </row>
    <row r="13" spans="2:22" s="275" customFormat="1" ht="51.75" customHeight="1">
      <c r="B13" s="274">
        <f>B12+1</f>
        <v>4</v>
      </c>
      <c r="C13" s="276" t="s">
        <v>458</v>
      </c>
      <c r="D13" s="277" t="s">
        <v>340</v>
      </c>
      <c r="E13" s="280"/>
      <c r="F13" s="280"/>
      <c r="G13" s="280"/>
      <c r="H13" s="280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</row>
    <row r="14" spans="2:22" s="275" customFormat="1" ht="51.75" customHeight="1">
      <c r="B14" s="274">
        <f>B13+1</f>
        <v>5</v>
      </c>
      <c r="C14" s="276" t="s">
        <v>459</v>
      </c>
      <c r="D14" s="277" t="s">
        <v>340</v>
      </c>
      <c r="E14" s="280">
        <v>405650.27</v>
      </c>
      <c r="F14" s="280">
        <v>421791.01</v>
      </c>
      <c r="G14" s="280">
        <v>382810.07</v>
      </c>
      <c r="H14" s="280">
        <v>243450.41</v>
      </c>
      <c r="I14" s="280">
        <v>369902.83</v>
      </c>
      <c r="J14" s="280">
        <v>346604.66</v>
      </c>
      <c r="K14" s="280">
        <v>412038.86999999901</v>
      </c>
      <c r="L14" s="280">
        <v>457554.10000000102</v>
      </c>
      <c r="M14" s="280">
        <v>438417.97</v>
      </c>
      <c r="N14" s="280">
        <v>418554.010000001</v>
      </c>
      <c r="O14" s="280">
        <v>414168.89</v>
      </c>
      <c r="P14" s="280">
        <v>451546.6</v>
      </c>
      <c r="Q14" s="280">
        <v>353229.38999999978</v>
      </c>
      <c r="R14" s="280">
        <v>374749.42000000027</v>
      </c>
      <c r="S14" s="280">
        <v>365524.06000000029</v>
      </c>
      <c r="T14" s="280">
        <v>299048.15000000008</v>
      </c>
      <c r="U14" s="280">
        <v>369795.9</v>
      </c>
      <c r="V14" s="280">
        <v>385553.2900000001</v>
      </c>
    </row>
    <row r="15" spans="2:22" s="275" customFormat="1" ht="51.75" customHeight="1">
      <c r="B15" s="274">
        <f>B14+1</f>
        <v>6</v>
      </c>
      <c r="C15" s="276" t="s">
        <v>342</v>
      </c>
      <c r="D15" s="277" t="s">
        <v>340</v>
      </c>
      <c r="E15" s="280">
        <v>3245.2021599999862</v>
      </c>
      <c r="F15" s="280">
        <v>3374.3280800000066</v>
      </c>
      <c r="G15" s="280">
        <v>3062.4805599999963</v>
      </c>
      <c r="H15" s="280">
        <v>1947.6032800000103</v>
      </c>
      <c r="I15" s="280">
        <v>2959.2226399999927</v>
      </c>
      <c r="J15" s="280">
        <v>2772.8372799999779</v>
      </c>
      <c r="K15" s="280">
        <v>3296.3109599999734</v>
      </c>
      <c r="L15" s="280">
        <v>3660.4328000000096</v>
      </c>
      <c r="M15" s="280">
        <v>3507.3437600000179</v>
      </c>
      <c r="N15" s="280">
        <v>3348.4320799999987</v>
      </c>
      <c r="O15" s="280">
        <v>3313.3511200000066</v>
      </c>
      <c r="P15" s="280">
        <v>3612.3728000000119</v>
      </c>
      <c r="Q15" s="280">
        <v>2825.8351200000034</v>
      </c>
      <c r="R15" s="280">
        <v>2997.9953600000008</v>
      </c>
      <c r="S15" s="280">
        <v>2924.192480000027</v>
      </c>
      <c r="T15" s="280">
        <v>2392.3852000000188</v>
      </c>
      <c r="U15" s="280">
        <v>2958.3671999999788</v>
      </c>
      <c r="V15" s="280">
        <v>3084.4263200000278</v>
      </c>
    </row>
    <row r="16" spans="2:22" s="275" customFormat="1" ht="51.75" customHeight="1">
      <c r="B16" s="274">
        <f>B15+1</f>
        <v>7</v>
      </c>
      <c r="C16" s="276" t="s">
        <v>460</v>
      </c>
      <c r="D16" s="277" t="s">
        <v>340</v>
      </c>
      <c r="E16" s="281">
        <f>E14-E15</f>
        <v>402405.06784000003</v>
      </c>
      <c r="F16" s="281">
        <f t="shared" ref="F16:V16" si="0">F14-F15</f>
        <v>418416.68192</v>
      </c>
      <c r="G16" s="281">
        <f t="shared" si="0"/>
        <v>379747.58944000001</v>
      </c>
      <c r="H16" s="281">
        <f t="shared" si="0"/>
        <v>241502.80671999999</v>
      </c>
      <c r="I16" s="281">
        <f t="shared" si="0"/>
        <v>366943.60736000002</v>
      </c>
      <c r="J16" s="281">
        <f t="shared" si="0"/>
        <v>343831.82272</v>
      </c>
      <c r="K16" s="281">
        <f t="shared" si="0"/>
        <v>408742.55903999903</v>
      </c>
      <c r="L16" s="281">
        <f t="shared" si="0"/>
        <v>453893.66720000101</v>
      </c>
      <c r="M16" s="281">
        <f t="shared" si="0"/>
        <v>434910.62623999995</v>
      </c>
      <c r="N16" s="281">
        <f t="shared" si="0"/>
        <v>415205.577920001</v>
      </c>
      <c r="O16" s="281">
        <f t="shared" si="0"/>
        <v>410855.53888000001</v>
      </c>
      <c r="P16" s="281">
        <f t="shared" si="0"/>
        <v>447934.22719999996</v>
      </c>
      <c r="Q16" s="281">
        <f t="shared" si="0"/>
        <v>350403.55487999978</v>
      </c>
      <c r="R16" s="281">
        <f t="shared" si="0"/>
        <v>371751.42464000027</v>
      </c>
      <c r="S16" s="281">
        <f t="shared" si="0"/>
        <v>362599.86752000026</v>
      </c>
      <c r="T16" s="281">
        <f t="shared" si="0"/>
        <v>296655.76480000006</v>
      </c>
      <c r="U16" s="281">
        <f t="shared" si="0"/>
        <v>366837.53280000004</v>
      </c>
      <c r="V16" s="281">
        <f t="shared" si="0"/>
        <v>382468.86368000007</v>
      </c>
    </row>
    <row r="17" spans="2:22" s="275" customFormat="1" ht="51.75" customHeight="1">
      <c r="B17" s="274" t="s">
        <v>72</v>
      </c>
      <c r="C17" s="276" t="s">
        <v>343</v>
      </c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277"/>
    </row>
    <row r="18" spans="2:22" s="275" customFormat="1" ht="51.75" customHeight="1">
      <c r="B18" s="274">
        <f>B16+1</f>
        <v>8</v>
      </c>
      <c r="C18" s="276" t="s">
        <v>461</v>
      </c>
      <c r="D18" s="277" t="s">
        <v>489</v>
      </c>
      <c r="E18" s="279">
        <v>193.23183790499999</v>
      </c>
      <c r="F18" s="279">
        <v>193.86014522899998</v>
      </c>
      <c r="G18" s="279">
        <v>183.53720026999974</v>
      </c>
      <c r="H18" s="279">
        <v>118.60331467299996</v>
      </c>
      <c r="I18" s="279">
        <v>184.40769582999965</v>
      </c>
      <c r="J18" s="279">
        <v>165.66655148600034</v>
      </c>
      <c r="K18" s="279">
        <v>208.28106104033324</v>
      </c>
      <c r="L18" s="279">
        <v>244.92760525933357</v>
      </c>
      <c r="M18" s="279">
        <v>233.5967484353331</v>
      </c>
      <c r="N18" s="279">
        <v>212.03547428900026</v>
      </c>
      <c r="O18" s="279">
        <v>212.46525175400006</v>
      </c>
      <c r="P18" s="279">
        <v>228.00372218299984</v>
      </c>
      <c r="Q18" s="279">
        <v>184.11515661900035</v>
      </c>
      <c r="R18" s="279">
        <v>164.53440654899975</v>
      </c>
      <c r="S18" s="279">
        <v>177.76111893799995</v>
      </c>
      <c r="T18" s="279">
        <v>147.0410428909999</v>
      </c>
      <c r="U18" s="279">
        <v>183.71341298599981</v>
      </c>
      <c r="V18" s="279">
        <v>194.61170495800027</v>
      </c>
    </row>
    <row r="19" spans="2:22" s="275" customFormat="1" ht="51.75" customHeight="1">
      <c r="B19" s="274">
        <f>B18+1</f>
        <v>9</v>
      </c>
      <c r="C19" s="276" t="s">
        <v>462</v>
      </c>
      <c r="D19" s="277" t="s">
        <v>489</v>
      </c>
      <c r="E19" s="279">
        <v>-0.83516510499998631</v>
      </c>
      <c r="F19" s="279">
        <v>-5.0506671270000094</v>
      </c>
      <c r="G19" s="279">
        <v>-9.0982244599999884</v>
      </c>
      <c r="H19" s="279">
        <v>-4.7220511269999923</v>
      </c>
      <c r="I19" s="279">
        <v>-9.3063879749999963</v>
      </c>
      <c r="J19" s="279">
        <v>-5.3913488449999916</v>
      </c>
      <c r="K19" s="279">
        <v>-2.8960677057151867</v>
      </c>
      <c r="L19" s="279">
        <v>-9.7002618649999999</v>
      </c>
      <c r="M19" s="279">
        <v>-4.6610092450000007</v>
      </c>
      <c r="N19" s="279">
        <v>-2.1359374819999801</v>
      </c>
      <c r="O19" s="279">
        <v>-2.4947205729999973</v>
      </c>
      <c r="P19" s="279">
        <v>-1.9981046470000021</v>
      </c>
      <c r="Q19" s="279">
        <v>-3.9877953100000174</v>
      </c>
      <c r="R19" s="279">
        <v>-9.9460530210000009</v>
      </c>
      <c r="S19" s="279">
        <v>-8.027760365999999</v>
      </c>
      <c r="T19" s="279">
        <v>-6.1236465810000089</v>
      </c>
      <c r="U19" s="279">
        <v>-7.501833371000008</v>
      </c>
      <c r="V19" s="279">
        <v>-5.8878228380000044</v>
      </c>
    </row>
    <row r="20" spans="2:22" s="275" customFormat="1" ht="51.75" customHeight="1">
      <c r="B20" s="274">
        <f>B19+1</f>
        <v>10</v>
      </c>
      <c r="C20" s="276" t="s">
        <v>344</v>
      </c>
      <c r="D20" s="277" t="s">
        <v>489</v>
      </c>
      <c r="E20" s="279">
        <v>0.69813317099999994</v>
      </c>
      <c r="F20" s="279">
        <v>0.70267827100000002</v>
      </c>
      <c r="G20" s="279">
        <v>0.86940595099999995</v>
      </c>
      <c r="H20" s="279">
        <v>0.88533460300000011</v>
      </c>
      <c r="I20" s="279">
        <v>0.71306572499999998</v>
      </c>
      <c r="J20" s="279">
        <v>0.72974251300000004</v>
      </c>
      <c r="K20" s="279">
        <v>0.70595548433333333</v>
      </c>
      <c r="L20" s="279">
        <v>0.78780898433333335</v>
      </c>
      <c r="M20" s="279">
        <v>0.71182621933333334</v>
      </c>
      <c r="N20" s="279">
        <v>2.1708245904959997</v>
      </c>
      <c r="O20" s="279">
        <v>1.097929309</v>
      </c>
      <c r="P20" s="279">
        <v>1.4348647889999999</v>
      </c>
      <c r="Q20" s="279">
        <v>0.74496517700000009</v>
      </c>
      <c r="R20" s="279">
        <v>2.5661117999999998</v>
      </c>
      <c r="S20" s="279">
        <v>1.6397645381112602</v>
      </c>
      <c r="T20" s="279">
        <v>3.9464664914629726</v>
      </c>
      <c r="U20" s="279">
        <v>3.065783117033519</v>
      </c>
      <c r="V20" s="279">
        <v>2.83593151937764</v>
      </c>
    </row>
    <row r="21" spans="2:22" s="275" customFormat="1" ht="51.75" customHeight="1">
      <c r="B21" s="274">
        <f>B20+1</f>
        <v>11</v>
      </c>
      <c r="C21" s="276" t="s">
        <v>345</v>
      </c>
      <c r="D21" s="277" t="s">
        <v>489</v>
      </c>
      <c r="E21" s="281">
        <f>E18+E19+E20</f>
        <v>193.094805971</v>
      </c>
      <c r="F21" s="281">
        <f t="shared" ref="F21:V21" si="1">F18+F19+F20</f>
        <v>189.51215637299998</v>
      </c>
      <c r="G21" s="281">
        <f t="shared" si="1"/>
        <v>175.30838176099977</v>
      </c>
      <c r="H21" s="281">
        <f t="shared" si="1"/>
        <v>114.76659814899998</v>
      </c>
      <c r="I21" s="281">
        <f t="shared" si="1"/>
        <v>175.81437357999965</v>
      </c>
      <c r="J21" s="281">
        <f t="shared" si="1"/>
        <v>161.00494515400035</v>
      </c>
      <c r="K21" s="281">
        <f t="shared" si="1"/>
        <v>206.0909488189514</v>
      </c>
      <c r="L21" s="281">
        <f t="shared" si="1"/>
        <v>236.01515237866693</v>
      </c>
      <c r="M21" s="281">
        <f t="shared" si="1"/>
        <v>229.64756540966644</v>
      </c>
      <c r="N21" s="281">
        <f t="shared" si="1"/>
        <v>212.0703613974963</v>
      </c>
      <c r="O21" s="281">
        <f t="shared" si="1"/>
        <v>211.06846049000006</v>
      </c>
      <c r="P21" s="281">
        <f t="shared" si="1"/>
        <v>227.44048232499983</v>
      </c>
      <c r="Q21" s="281">
        <f t="shared" si="1"/>
        <v>180.87232648600033</v>
      </c>
      <c r="R21" s="281">
        <f t="shared" si="1"/>
        <v>157.15446532799973</v>
      </c>
      <c r="S21" s="281">
        <f t="shared" si="1"/>
        <v>171.37312311011121</v>
      </c>
      <c r="T21" s="281">
        <f t="shared" si="1"/>
        <v>144.86386280146289</v>
      </c>
      <c r="U21" s="281">
        <f t="shared" si="1"/>
        <v>179.27736273203334</v>
      </c>
      <c r="V21" s="281">
        <f t="shared" si="1"/>
        <v>191.55981363937792</v>
      </c>
    </row>
    <row r="22" spans="2:22" s="275" customFormat="1" ht="51.75" customHeight="1">
      <c r="B22" s="274" t="s">
        <v>346</v>
      </c>
      <c r="C22" s="276" t="s">
        <v>347</v>
      </c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</row>
    <row r="23" spans="2:22" s="275" customFormat="1" ht="51.75" customHeight="1">
      <c r="B23" s="274">
        <f>B21+1</f>
        <v>12</v>
      </c>
      <c r="C23" s="276" t="s">
        <v>348</v>
      </c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</row>
    <row r="24" spans="2:22" s="275" customFormat="1" ht="51.75" customHeight="1">
      <c r="B24" s="274"/>
      <c r="C24" s="276" t="s">
        <v>349</v>
      </c>
      <c r="D24" s="277" t="s">
        <v>489</v>
      </c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</row>
    <row r="25" spans="2:22" s="275" customFormat="1" ht="51.75" customHeight="1">
      <c r="B25" s="274"/>
      <c r="C25" s="276" t="s">
        <v>350</v>
      </c>
      <c r="D25" s="277" t="s">
        <v>489</v>
      </c>
      <c r="E25" s="279">
        <v>8.7517444411780172</v>
      </c>
      <c r="F25" s="279">
        <v>10.409482825844005</v>
      </c>
      <c r="G25" s="279">
        <v>9.6404630476874988</v>
      </c>
      <c r="H25" s="279">
        <v>5.3982991000924994</v>
      </c>
      <c r="I25" s="279">
        <v>8.2092240872424984</v>
      </c>
      <c r="J25" s="279">
        <v>7.4943742652600038</v>
      </c>
      <c r="K25" s="279">
        <v>10.935121333165011</v>
      </c>
      <c r="L25" s="279">
        <v>10.652681752502502</v>
      </c>
      <c r="M25" s="279">
        <v>9.8530764756075051</v>
      </c>
      <c r="N25" s="279">
        <v>9.6538882814700049</v>
      </c>
      <c r="O25" s="279">
        <v>9.8950108251075033</v>
      </c>
      <c r="P25" s="279">
        <v>9.6983018881550009</v>
      </c>
      <c r="Q25" s="279">
        <v>7.5478450940924944</v>
      </c>
      <c r="R25" s="279">
        <v>7.6133445626099956</v>
      </c>
      <c r="S25" s="279">
        <v>7.5732678431584981</v>
      </c>
      <c r="T25" s="279">
        <v>6.7139635554729997</v>
      </c>
      <c r="U25" s="279">
        <v>7.8345862803084998</v>
      </c>
      <c r="V25" s="279">
        <v>8.3461683585765059</v>
      </c>
    </row>
    <row r="26" spans="2:22" s="275" customFormat="1" ht="51.75" customHeight="1">
      <c r="B26" s="274"/>
      <c r="C26" s="276" t="s">
        <v>351</v>
      </c>
      <c r="D26" s="277" t="s">
        <v>489</v>
      </c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</row>
    <row r="27" spans="2:22" s="283" customFormat="1" ht="57" customHeight="1">
      <c r="B27" s="277"/>
      <c r="C27" s="282" t="s">
        <v>9</v>
      </c>
      <c r="D27" s="277" t="s">
        <v>489</v>
      </c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Q27" s="277"/>
      <c r="R27" s="277"/>
      <c r="S27" s="277"/>
      <c r="T27" s="277"/>
      <c r="U27" s="277"/>
      <c r="V27" s="277"/>
    </row>
    <row r="28" spans="2:22" s="283" customFormat="1" ht="57" customHeight="1">
      <c r="B28" s="277">
        <f>B23+1</f>
        <v>13</v>
      </c>
      <c r="C28" s="282" t="s">
        <v>463</v>
      </c>
      <c r="D28" s="277" t="s">
        <v>489</v>
      </c>
      <c r="E28" s="277"/>
      <c r="F28" s="277"/>
      <c r="G28" s="277"/>
      <c r="H28" s="277"/>
      <c r="I28" s="277"/>
      <c r="J28" s="277"/>
      <c r="K28" s="277"/>
      <c r="L28" s="277"/>
      <c r="M28" s="277"/>
      <c r="N28" s="277"/>
      <c r="O28" s="277"/>
      <c r="P28" s="277"/>
      <c r="Q28" s="277"/>
      <c r="R28" s="277"/>
      <c r="S28" s="277"/>
      <c r="T28" s="277"/>
      <c r="U28" s="277"/>
      <c r="V28" s="277"/>
    </row>
    <row r="29" spans="2:22" s="283" customFormat="1" ht="57" customHeight="1">
      <c r="B29" s="277">
        <f>B28+1</f>
        <v>14</v>
      </c>
      <c r="C29" s="282" t="s">
        <v>352</v>
      </c>
      <c r="D29" s="277" t="s">
        <v>489</v>
      </c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277"/>
      <c r="S29" s="277"/>
      <c r="T29" s="277"/>
      <c r="U29" s="277"/>
      <c r="V29" s="277"/>
    </row>
    <row r="30" spans="2:22" s="283" customFormat="1" ht="57" customHeight="1">
      <c r="B30" s="277">
        <f>B29+1</f>
        <v>15</v>
      </c>
      <c r="C30" s="282" t="s">
        <v>464</v>
      </c>
      <c r="D30" s="277" t="s">
        <v>489</v>
      </c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/>
      <c r="S30" s="277"/>
      <c r="T30" s="277"/>
      <c r="U30" s="277"/>
      <c r="V30" s="277"/>
    </row>
    <row r="31" spans="2:22" s="283" customFormat="1" ht="57" customHeight="1">
      <c r="B31" s="277">
        <f>B30+1</f>
        <v>16</v>
      </c>
      <c r="C31" s="282" t="s">
        <v>353</v>
      </c>
      <c r="D31" s="277" t="s">
        <v>489</v>
      </c>
      <c r="E31" s="281">
        <f>SUM(E24:E30)</f>
        <v>8.7517444411780172</v>
      </c>
      <c r="F31" s="281">
        <f t="shared" ref="F31:V31" si="2">SUM(F24:F30)</f>
        <v>10.409482825844005</v>
      </c>
      <c r="G31" s="281">
        <f t="shared" si="2"/>
        <v>9.6404630476874988</v>
      </c>
      <c r="H31" s="281">
        <f t="shared" si="2"/>
        <v>5.3982991000924994</v>
      </c>
      <c r="I31" s="281">
        <f t="shared" si="2"/>
        <v>8.2092240872424984</v>
      </c>
      <c r="J31" s="281">
        <f t="shared" si="2"/>
        <v>7.4943742652600038</v>
      </c>
      <c r="K31" s="281">
        <f t="shared" si="2"/>
        <v>10.935121333165011</v>
      </c>
      <c r="L31" s="281">
        <f t="shared" si="2"/>
        <v>10.652681752502502</v>
      </c>
      <c r="M31" s="281">
        <f t="shared" si="2"/>
        <v>9.8530764756075051</v>
      </c>
      <c r="N31" s="281">
        <f t="shared" si="2"/>
        <v>9.6538882814700049</v>
      </c>
      <c r="O31" s="281">
        <f t="shared" si="2"/>
        <v>9.8950108251075033</v>
      </c>
      <c r="P31" s="281">
        <f t="shared" si="2"/>
        <v>9.6983018881550009</v>
      </c>
      <c r="Q31" s="281">
        <f t="shared" si="2"/>
        <v>7.5478450940924944</v>
      </c>
      <c r="R31" s="281">
        <f t="shared" si="2"/>
        <v>7.6133445626099956</v>
      </c>
      <c r="S31" s="281">
        <f t="shared" si="2"/>
        <v>7.5732678431584981</v>
      </c>
      <c r="T31" s="281">
        <f t="shared" si="2"/>
        <v>6.7139635554729997</v>
      </c>
      <c r="U31" s="281">
        <f t="shared" si="2"/>
        <v>7.8345862803084998</v>
      </c>
      <c r="V31" s="281">
        <f t="shared" si="2"/>
        <v>8.3461683585765059</v>
      </c>
    </row>
    <row r="32" spans="2:22" s="283" customFormat="1" ht="57" customHeight="1">
      <c r="B32" s="277">
        <f>B31+1</f>
        <v>17</v>
      </c>
      <c r="C32" s="282" t="s">
        <v>465</v>
      </c>
      <c r="D32" s="277" t="s">
        <v>489</v>
      </c>
      <c r="E32" s="281">
        <f>E21+E31</f>
        <v>201.846550412178</v>
      </c>
      <c r="F32" s="281">
        <f t="shared" ref="F32:V32" si="3">F21+F31</f>
        <v>199.92163919884399</v>
      </c>
      <c r="G32" s="281">
        <f t="shared" si="3"/>
        <v>184.94884480868726</v>
      </c>
      <c r="H32" s="281">
        <f t="shared" si="3"/>
        <v>120.16489724909248</v>
      </c>
      <c r="I32" s="281">
        <f t="shared" si="3"/>
        <v>184.02359766724214</v>
      </c>
      <c r="J32" s="281">
        <f t="shared" si="3"/>
        <v>168.49931941926036</v>
      </c>
      <c r="K32" s="281">
        <f t="shared" si="3"/>
        <v>217.0260701521164</v>
      </c>
      <c r="L32" s="281">
        <f t="shared" si="3"/>
        <v>246.66783413116943</v>
      </c>
      <c r="M32" s="281">
        <f t="shared" si="3"/>
        <v>239.50064188527395</v>
      </c>
      <c r="N32" s="281">
        <f t="shared" si="3"/>
        <v>221.72424967896632</v>
      </c>
      <c r="O32" s="281">
        <f t="shared" si="3"/>
        <v>220.96347131510757</v>
      </c>
      <c r="P32" s="281">
        <f t="shared" si="3"/>
        <v>237.13878421315485</v>
      </c>
      <c r="Q32" s="281">
        <f t="shared" si="3"/>
        <v>188.42017158009281</v>
      </c>
      <c r="R32" s="281">
        <f t="shared" si="3"/>
        <v>164.76780989060973</v>
      </c>
      <c r="S32" s="281">
        <f t="shared" si="3"/>
        <v>178.94639095326971</v>
      </c>
      <c r="T32" s="281">
        <f t="shared" si="3"/>
        <v>151.57782635693587</v>
      </c>
      <c r="U32" s="281">
        <f t="shared" si="3"/>
        <v>187.11194901234182</v>
      </c>
      <c r="V32" s="281">
        <f t="shared" si="3"/>
        <v>199.90598199795443</v>
      </c>
    </row>
    <row r="33" spans="2:22" s="283" customFormat="1" ht="57" customHeight="1">
      <c r="B33" s="277" t="s">
        <v>354</v>
      </c>
      <c r="C33" s="282" t="s">
        <v>201</v>
      </c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  <c r="P33" s="277"/>
      <c r="Q33" s="277"/>
      <c r="R33" s="277"/>
      <c r="S33" s="277"/>
      <c r="T33" s="277"/>
      <c r="U33" s="277"/>
      <c r="V33" s="277"/>
    </row>
    <row r="34" spans="2:22" s="283" customFormat="1" ht="57" customHeight="1">
      <c r="B34" s="277">
        <f>B32+1</f>
        <v>18</v>
      </c>
      <c r="C34" s="282" t="s">
        <v>466</v>
      </c>
      <c r="D34" s="277" t="s">
        <v>355</v>
      </c>
      <c r="E34" s="281">
        <f t="shared" ref="E34:V34" si="4">IFERROR((E10+E32)/(E9+E16),0)*10000000</f>
        <v>4941.4293144801186</v>
      </c>
      <c r="F34" s="281">
        <f t="shared" si="4"/>
        <v>4817.9307455050739</v>
      </c>
      <c r="G34" s="281">
        <f t="shared" si="4"/>
        <v>4853.4756645926072</v>
      </c>
      <c r="H34" s="281">
        <f t="shared" si="4"/>
        <v>4905.5421989679262</v>
      </c>
      <c r="I34" s="281">
        <f t="shared" si="4"/>
        <v>4965.7813362732632</v>
      </c>
      <c r="J34" s="281">
        <f t="shared" si="4"/>
        <v>4930.7358505920765</v>
      </c>
      <c r="K34" s="281">
        <f t="shared" si="4"/>
        <v>5185.1758879590489</v>
      </c>
      <c r="L34" s="281">
        <f t="shared" si="4"/>
        <v>5359.8917838438283</v>
      </c>
      <c r="M34" s="281">
        <f t="shared" si="4"/>
        <v>5444.3302015809795</v>
      </c>
      <c r="N34" s="281">
        <f t="shared" si="4"/>
        <v>5387.074206090545</v>
      </c>
      <c r="O34" s="281">
        <f t="shared" si="4"/>
        <v>5382.2975579461063</v>
      </c>
      <c r="P34" s="281">
        <f t="shared" si="4"/>
        <v>5335.3861506160101</v>
      </c>
      <c r="Q34" s="281">
        <f t="shared" si="4"/>
        <v>5354.435811850798</v>
      </c>
      <c r="R34" s="281">
        <f t="shared" si="4"/>
        <v>4900.7503963055497</v>
      </c>
      <c r="S34" s="281">
        <f t="shared" si="4"/>
        <v>4918.2025226896503</v>
      </c>
      <c r="T34" s="281">
        <f t="shared" si="4"/>
        <v>5011.2463293835435</v>
      </c>
      <c r="U34" s="281">
        <f t="shared" si="4"/>
        <v>5065.1848633502323</v>
      </c>
      <c r="V34" s="281">
        <f t="shared" si="4"/>
        <v>5173.9743254989698</v>
      </c>
    </row>
    <row r="35" spans="2:22" s="283" customFormat="1" ht="57" customHeight="1">
      <c r="B35" s="277">
        <f>B34+1</f>
        <v>19</v>
      </c>
      <c r="C35" s="282" t="s">
        <v>356</v>
      </c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</row>
    <row r="36" spans="2:22" s="283" customFormat="1" ht="57" customHeight="1">
      <c r="B36" s="277">
        <f>B35+1</f>
        <v>20</v>
      </c>
      <c r="C36" s="282" t="s">
        <v>467</v>
      </c>
      <c r="D36" s="277" t="s">
        <v>355</v>
      </c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  <c r="R36" s="277"/>
      <c r="S36" s="277"/>
      <c r="T36" s="277"/>
      <c r="U36" s="277"/>
      <c r="V36" s="277"/>
    </row>
    <row r="37" spans="2:22" s="283" customFormat="1" ht="57" customHeight="1">
      <c r="B37" s="277" t="s">
        <v>357</v>
      </c>
      <c r="C37" s="282" t="s">
        <v>358</v>
      </c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</row>
    <row r="38" spans="2:22" s="283" customFormat="1" ht="57" customHeight="1">
      <c r="B38" s="277">
        <f>B36+1</f>
        <v>21</v>
      </c>
      <c r="C38" s="282" t="s">
        <v>468</v>
      </c>
      <c r="D38" s="277" t="s">
        <v>359</v>
      </c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</row>
    <row r="39" spans="2:22" s="283" customFormat="1" ht="57" customHeight="1">
      <c r="B39" s="277">
        <f>B38+1</f>
        <v>22</v>
      </c>
      <c r="C39" s="282" t="s">
        <v>469</v>
      </c>
      <c r="D39" s="277" t="s">
        <v>359</v>
      </c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</row>
    <row r="40" spans="2:22" s="283" customFormat="1" ht="57" customHeight="1">
      <c r="B40" s="277">
        <f t="shared" ref="B40:B47" si="5">B39+1</f>
        <v>23</v>
      </c>
      <c r="C40" s="282" t="s">
        <v>470</v>
      </c>
      <c r="D40" s="277" t="s">
        <v>359</v>
      </c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</row>
    <row r="41" spans="2:22" s="283" customFormat="1" ht="57" customHeight="1">
      <c r="B41" s="277">
        <f t="shared" si="5"/>
        <v>24</v>
      </c>
      <c r="C41" s="282" t="s">
        <v>471</v>
      </c>
      <c r="D41" s="277" t="s">
        <v>359</v>
      </c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</row>
    <row r="42" spans="2:22" s="283" customFormat="1" ht="57" customHeight="1">
      <c r="B42" s="277">
        <f t="shared" si="5"/>
        <v>25</v>
      </c>
      <c r="C42" s="282" t="s">
        <v>472</v>
      </c>
      <c r="D42" s="277" t="s">
        <v>359</v>
      </c>
      <c r="E42" s="280">
        <v>4671.4390568898143</v>
      </c>
      <c r="F42" s="280">
        <v>4649.3029675990647</v>
      </c>
      <c r="G42" s="280">
        <v>4592.0411719545755</v>
      </c>
      <c r="H42" s="280">
        <v>4492.2607971299467</v>
      </c>
      <c r="I42" s="280">
        <v>4565.4026980090894</v>
      </c>
      <c r="J42" s="280">
        <v>4316.386847449271</v>
      </c>
      <c r="K42" s="280">
        <v>4363.8810775910106</v>
      </c>
      <c r="L42" s="280">
        <v>4435.2094798379412</v>
      </c>
      <c r="M42" s="280">
        <v>4455.6338769738268</v>
      </c>
      <c r="N42" s="280">
        <v>4423.4705616912042</v>
      </c>
      <c r="O42" s="280">
        <v>4412.9744177766497</v>
      </c>
      <c r="P42" s="280">
        <v>4295.8247580737652</v>
      </c>
      <c r="Q42" s="280">
        <v>4347</v>
      </c>
      <c r="R42" s="280">
        <v>4316</v>
      </c>
      <c r="S42" s="280">
        <v>4390</v>
      </c>
      <c r="T42" s="280">
        <v>4435</v>
      </c>
      <c r="U42" s="280">
        <v>4425</v>
      </c>
      <c r="V42" s="280">
        <v>4454</v>
      </c>
    </row>
    <row r="43" spans="2:22" s="283" customFormat="1" ht="57" customHeight="1">
      <c r="B43" s="277">
        <f t="shared" si="5"/>
        <v>26</v>
      </c>
      <c r="C43" s="282" t="s">
        <v>473</v>
      </c>
      <c r="D43" s="277" t="s">
        <v>359</v>
      </c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</row>
    <row r="44" spans="2:22" s="283" customFormat="1" ht="57" customHeight="1">
      <c r="B44" s="277">
        <f t="shared" si="5"/>
        <v>27</v>
      </c>
      <c r="C44" s="282" t="s">
        <v>474</v>
      </c>
      <c r="D44" s="277" t="s">
        <v>359</v>
      </c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277"/>
    </row>
    <row r="45" spans="2:22" s="283" customFormat="1" ht="57" customHeight="1">
      <c r="B45" s="277">
        <f t="shared" si="5"/>
        <v>28</v>
      </c>
      <c r="C45" s="282" t="s">
        <v>475</v>
      </c>
      <c r="D45" s="277" t="s">
        <v>359</v>
      </c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</row>
    <row r="46" spans="2:22" s="283" customFormat="1" ht="57" customHeight="1">
      <c r="B46" s="277">
        <f t="shared" si="5"/>
        <v>29</v>
      </c>
      <c r="C46" s="282" t="s">
        <v>475</v>
      </c>
      <c r="D46" s="277" t="s">
        <v>359</v>
      </c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7"/>
      <c r="Q46" s="277"/>
      <c r="R46" s="277"/>
      <c r="S46" s="277"/>
      <c r="T46" s="277"/>
      <c r="U46" s="277"/>
      <c r="V46" s="277"/>
    </row>
    <row r="47" spans="2:22" s="283" customFormat="1" ht="57" customHeight="1">
      <c r="B47" s="277">
        <f t="shared" si="5"/>
        <v>30</v>
      </c>
      <c r="C47" s="282" t="s">
        <v>476</v>
      </c>
      <c r="D47" s="277" t="s">
        <v>359</v>
      </c>
      <c r="E47" s="280">
        <v>4048</v>
      </c>
      <c r="F47" s="280">
        <v>4044</v>
      </c>
      <c r="G47" s="280">
        <v>3956</v>
      </c>
      <c r="H47" s="280">
        <v>3909</v>
      </c>
      <c r="I47" s="280">
        <v>3773</v>
      </c>
      <c r="J47" s="280">
        <v>3890</v>
      </c>
      <c r="K47" s="280">
        <v>4029</v>
      </c>
      <c r="L47" s="280">
        <v>3992</v>
      </c>
      <c r="M47" s="280">
        <v>4039</v>
      </c>
      <c r="N47" s="280">
        <v>4070</v>
      </c>
      <c r="O47" s="280">
        <v>4096</v>
      </c>
      <c r="P47" s="280">
        <v>4081.4703022956069</v>
      </c>
      <c r="Q47" s="280">
        <v>3988</v>
      </c>
      <c r="R47" s="280">
        <v>3942</v>
      </c>
      <c r="S47" s="280">
        <v>4143</v>
      </c>
      <c r="T47" s="280">
        <v>3990</v>
      </c>
      <c r="U47" s="280">
        <v>4048</v>
      </c>
      <c r="V47" s="280">
        <v>3907.2776069442589</v>
      </c>
    </row>
    <row r="49" spans="2:9" ht="20.25">
      <c r="B49" s="283" t="s">
        <v>269</v>
      </c>
      <c r="C49" s="284"/>
      <c r="D49" s="285"/>
      <c r="E49" s="285"/>
      <c r="F49" s="285"/>
      <c r="G49" s="285"/>
      <c r="H49" s="285"/>
      <c r="I49" s="285"/>
    </row>
    <row r="50" spans="2:9" ht="20.25">
      <c r="B50" s="285">
        <v>1</v>
      </c>
      <c r="C50" s="284" t="s">
        <v>360</v>
      </c>
      <c r="D50" s="285"/>
      <c r="E50" s="285"/>
      <c r="F50" s="285"/>
      <c r="G50" s="285"/>
      <c r="H50" s="285"/>
      <c r="I50" s="285"/>
    </row>
    <row r="51" spans="2:9" ht="20.25">
      <c r="B51" s="285">
        <f>B50+1</f>
        <v>2</v>
      </c>
      <c r="C51" s="284" t="s">
        <v>361</v>
      </c>
      <c r="D51" s="285"/>
      <c r="E51" s="285"/>
      <c r="F51" s="285"/>
      <c r="G51" s="285"/>
      <c r="H51" s="285"/>
      <c r="I51" s="285"/>
    </row>
    <row r="52" spans="2:9" ht="20.25">
      <c r="B52" s="285">
        <f>B51+1</f>
        <v>3</v>
      </c>
      <c r="C52" s="284" t="s">
        <v>362</v>
      </c>
      <c r="D52" s="285"/>
      <c r="E52" s="285"/>
      <c r="F52" s="285"/>
      <c r="G52" s="285"/>
      <c r="H52" s="285"/>
      <c r="I52" s="285"/>
    </row>
    <row r="53" spans="2:9" ht="20.25">
      <c r="B53" s="285">
        <f>B52+1</f>
        <v>4</v>
      </c>
      <c r="C53" s="284" t="s">
        <v>363</v>
      </c>
      <c r="D53" s="285"/>
      <c r="E53" s="285"/>
      <c r="F53" s="285"/>
      <c r="G53" s="285"/>
      <c r="H53" s="285"/>
      <c r="I53" s="285"/>
    </row>
  </sheetData>
  <mergeCells count="5">
    <mergeCell ref="B6:B7"/>
    <mergeCell ref="C6:C7"/>
    <mergeCell ref="D6:D7"/>
    <mergeCell ref="E6:P6"/>
    <mergeCell ref="Q6:V6"/>
  </mergeCells>
  <pageMargins left="0.43307086614173229" right="0.27559055118110237" top="0.88" bottom="0.43307086614173229" header="0.31496062992125984" footer="0.31496062992125984"/>
  <pageSetup paperSize="9" scale="38" orientation="landscape" r:id="rId1"/>
  <rowBreaks count="1" manualBreakCount="1">
    <brk id="2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B1:V54"/>
  <sheetViews>
    <sheetView showGridLines="0" view="pageBreakPreview" topLeftCell="A34" zoomScale="40" zoomScaleNormal="50" zoomScaleSheetLayoutView="40" workbookViewId="0">
      <selection activeCell="G4" sqref="G4"/>
    </sheetView>
  </sheetViews>
  <sheetFormatPr defaultColWidth="9.28515625" defaultRowHeight="14.25"/>
  <cols>
    <col min="1" max="1" width="2.28515625" style="113" customWidth="1"/>
    <col min="2" max="2" width="9.28515625" style="113"/>
    <col min="3" max="3" width="59.5703125" style="113" customWidth="1"/>
    <col min="4" max="4" width="16.42578125" style="114" customWidth="1"/>
    <col min="5" max="22" width="16.42578125" style="113" customWidth="1"/>
    <col min="23" max="16384" width="9.28515625" style="113"/>
  </cols>
  <sheetData>
    <row r="1" spans="2:22" s="284" customFormat="1" ht="26.25" customHeight="1">
      <c r="C1" s="286"/>
      <c r="D1" s="285"/>
    </row>
    <row r="2" spans="2:22" s="284" customFormat="1" ht="26.25" customHeight="1">
      <c r="C2" s="286"/>
      <c r="D2" s="285"/>
      <c r="M2" s="287" t="s">
        <v>534</v>
      </c>
    </row>
    <row r="3" spans="2:22" s="284" customFormat="1" ht="26.25" customHeight="1">
      <c r="C3" s="286"/>
      <c r="D3" s="285"/>
      <c r="M3" s="287" t="s">
        <v>514</v>
      </c>
    </row>
    <row r="4" spans="2:22" s="284" customFormat="1" ht="26.25" customHeight="1">
      <c r="C4" s="286"/>
      <c r="D4" s="285"/>
      <c r="M4" s="288" t="s">
        <v>554</v>
      </c>
    </row>
    <row r="5" spans="2:22" s="284" customFormat="1" ht="26.25" customHeight="1">
      <c r="C5" s="286"/>
      <c r="D5" s="285"/>
    </row>
    <row r="6" spans="2:22" s="285" customFormat="1" ht="47.25" customHeight="1">
      <c r="B6" s="373" t="s">
        <v>210</v>
      </c>
      <c r="C6" s="374" t="s">
        <v>18</v>
      </c>
      <c r="D6" s="373" t="s">
        <v>39</v>
      </c>
      <c r="E6" s="373" t="s">
        <v>516</v>
      </c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3"/>
      <c r="Q6" s="373" t="s">
        <v>517</v>
      </c>
      <c r="R6" s="373"/>
      <c r="S6" s="373"/>
      <c r="T6" s="373"/>
      <c r="U6" s="373"/>
      <c r="V6" s="373"/>
    </row>
    <row r="7" spans="2:22" s="285" customFormat="1" ht="47.25" customHeight="1">
      <c r="B7" s="373"/>
      <c r="C7" s="374"/>
      <c r="D7" s="373"/>
      <c r="E7" s="277" t="s">
        <v>141</v>
      </c>
      <c r="F7" s="277" t="s">
        <v>142</v>
      </c>
      <c r="G7" s="277" t="s">
        <v>143</v>
      </c>
      <c r="H7" s="277" t="s">
        <v>144</v>
      </c>
      <c r="I7" s="277" t="s">
        <v>145</v>
      </c>
      <c r="J7" s="277" t="s">
        <v>146</v>
      </c>
      <c r="K7" s="277" t="s">
        <v>147</v>
      </c>
      <c r="L7" s="277" t="s">
        <v>148</v>
      </c>
      <c r="M7" s="277" t="s">
        <v>149</v>
      </c>
      <c r="N7" s="277" t="s">
        <v>150</v>
      </c>
      <c r="O7" s="277" t="s">
        <v>151</v>
      </c>
      <c r="P7" s="277" t="s">
        <v>152</v>
      </c>
      <c r="Q7" s="277" t="s">
        <v>141</v>
      </c>
      <c r="R7" s="277" t="s">
        <v>142</v>
      </c>
      <c r="S7" s="277" t="s">
        <v>143</v>
      </c>
      <c r="T7" s="277" t="s">
        <v>144</v>
      </c>
      <c r="U7" s="277" t="s">
        <v>145</v>
      </c>
      <c r="V7" s="277" t="s">
        <v>146</v>
      </c>
    </row>
    <row r="8" spans="2:22" s="285" customFormat="1" ht="47.25" customHeight="1">
      <c r="B8" s="277" t="s">
        <v>67</v>
      </c>
      <c r="C8" s="290" t="s">
        <v>338</v>
      </c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</row>
    <row r="9" spans="2:22" s="285" customFormat="1" ht="47.25" customHeight="1">
      <c r="B9" s="289">
        <v>1</v>
      </c>
      <c r="C9" s="291" t="s">
        <v>434</v>
      </c>
      <c r="D9" s="289" t="s">
        <v>512</v>
      </c>
      <c r="E9" s="292">
        <v>1675.1260000000002</v>
      </c>
      <c r="F9" s="292">
        <v>1542.4880000000003</v>
      </c>
      <c r="G9" s="292">
        <v>1648.027</v>
      </c>
      <c r="H9" s="292">
        <v>1553.2540000000001</v>
      </c>
      <c r="I9" s="292">
        <v>1413.8150000000003</v>
      </c>
      <c r="J9" s="292">
        <v>1650.3940000000002</v>
      </c>
      <c r="K9" s="292">
        <v>1573.4180000000001</v>
      </c>
      <c r="L9" s="292">
        <v>1551.009</v>
      </c>
      <c r="M9" s="292">
        <v>1350.069</v>
      </c>
      <c r="N9" s="292">
        <v>1546.57</v>
      </c>
      <c r="O9" s="292">
        <v>1606.5340000000001</v>
      </c>
      <c r="P9" s="292">
        <v>1400.6740000000002</v>
      </c>
      <c r="Q9" s="292">
        <v>1509.74</v>
      </c>
      <c r="R9" s="292">
        <v>1623.1599999999999</v>
      </c>
      <c r="S9" s="292">
        <v>1636.4649999999999</v>
      </c>
      <c r="T9" s="292">
        <v>1619.895</v>
      </c>
      <c r="U9" s="292">
        <v>1461.623</v>
      </c>
      <c r="V9" s="292">
        <v>1993.9310000000003</v>
      </c>
    </row>
    <row r="10" spans="2:22" s="285" customFormat="1" ht="47.25" customHeight="1">
      <c r="B10" s="289">
        <f>B9+1</f>
        <v>2</v>
      </c>
      <c r="C10" s="291" t="s">
        <v>339</v>
      </c>
      <c r="D10" s="289" t="s">
        <v>489</v>
      </c>
      <c r="E10" s="292">
        <v>9.3683293954056044</v>
      </c>
      <c r="F10" s="292">
        <v>9.1597011893410709</v>
      </c>
      <c r="G10" s="292">
        <v>10.556621837757381</v>
      </c>
      <c r="H10" s="292">
        <v>9.9425376057547208</v>
      </c>
      <c r="I10" s="292">
        <v>9.2789274076716897</v>
      </c>
      <c r="J10" s="292">
        <v>11.041267153087055</v>
      </c>
      <c r="K10" s="292">
        <v>10.504146821922291</v>
      </c>
      <c r="L10" s="292">
        <v>10.478834477480062</v>
      </c>
      <c r="M10" s="292">
        <v>8.7164015227317844</v>
      </c>
      <c r="N10" s="292">
        <v>10.036739919127777</v>
      </c>
      <c r="O10" s="292">
        <v>10.326826155718427</v>
      </c>
      <c r="P10" s="292">
        <v>9.0895445143190301</v>
      </c>
      <c r="Q10" s="292">
        <v>9.7245682479794091</v>
      </c>
      <c r="R10" s="292">
        <v>10.411214579314539</v>
      </c>
      <c r="S10" s="292">
        <v>10.35212134212626</v>
      </c>
      <c r="T10" s="292">
        <v>10.245166741653044</v>
      </c>
      <c r="U10" s="292">
        <v>9.3416437450243137</v>
      </c>
      <c r="V10" s="292">
        <v>12.915014934794941</v>
      </c>
    </row>
    <row r="11" spans="2:22" s="285" customFormat="1" ht="47.25" customHeight="1">
      <c r="B11" s="277" t="s">
        <v>71</v>
      </c>
      <c r="C11" s="290" t="s">
        <v>341</v>
      </c>
      <c r="D11" s="289"/>
      <c r="E11" s="292"/>
      <c r="F11" s="292"/>
      <c r="G11" s="292"/>
      <c r="H11" s="292"/>
      <c r="I11" s="292"/>
      <c r="J11" s="292"/>
      <c r="K11" s="292"/>
      <c r="L11" s="292"/>
      <c r="M11" s="292"/>
      <c r="N11" s="292"/>
      <c r="O11" s="292"/>
      <c r="P11" s="292"/>
      <c r="Q11" s="292"/>
      <c r="R11" s="292"/>
      <c r="S11" s="292"/>
      <c r="T11" s="292"/>
      <c r="U11" s="292"/>
      <c r="V11" s="292"/>
    </row>
    <row r="12" spans="2:22" s="285" customFormat="1" ht="47.25" customHeight="1">
      <c r="B12" s="289">
        <f>B10+1</f>
        <v>3</v>
      </c>
      <c r="C12" s="291" t="s">
        <v>435</v>
      </c>
      <c r="D12" s="289" t="s">
        <v>512</v>
      </c>
      <c r="E12" s="292">
        <v>299.15899999999999</v>
      </c>
      <c r="F12" s="292">
        <v>250.524</v>
      </c>
      <c r="G12" s="292">
        <v>0</v>
      </c>
      <c r="H12" s="292">
        <v>390.42500000000001</v>
      </c>
      <c r="I12" s="292">
        <v>610.16599999999994</v>
      </c>
      <c r="J12" s="292">
        <v>0</v>
      </c>
      <c r="K12" s="292">
        <v>224.59100000000001</v>
      </c>
      <c r="L12" s="292">
        <v>192.96799999999999</v>
      </c>
      <c r="M12" s="292">
        <v>335.14100000000002</v>
      </c>
      <c r="N12" s="292">
        <v>349.73400000000004</v>
      </c>
      <c r="O12" s="292">
        <v>0</v>
      </c>
      <c r="P12" s="292">
        <v>354.52499999999998</v>
      </c>
      <c r="Q12" s="292">
        <v>224.09</v>
      </c>
      <c r="R12" s="292">
        <v>250.309</v>
      </c>
      <c r="S12" s="292">
        <v>0</v>
      </c>
      <c r="T12" s="292">
        <v>606.20399999999995</v>
      </c>
      <c r="U12" s="292">
        <v>722.71699999999987</v>
      </c>
      <c r="V12" s="292">
        <v>368.44499999999999</v>
      </c>
    </row>
    <row r="13" spans="2:22" s="285" customFormat="1" ht="47.25" customHeight="1">
      <c r="B13" s="289">
        <f>B12+1</f>
        <v>4</v>
      </c>
      <c r="C13" s="291" t="s">
        <v>436</v>
      </c>
      <c r="D13" s="289" t="s">
        <v>512</v>
      </c>
      <c r="E13" s="289"/>
      <c r="F13" s="289"/>
      <c r="G13" s="289"/>
      <c r="H13" s="289"/>
      <c r="I13" s="289"/>
      <c r="J13" s="289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</row>
    <row r="14" spans="2:22" s="285" customFormat="1" ht="47.25" customHeight="1">
      <c r="B14" s="289">
        <f>B13+1</f>
        <v>5</v>
      </c>
      <c r="C14" s="291" t="s">
        <v>437</v>
      </c>
      <c r="D14" s="289" t="s">
        <v>512</v>
      </c>
      <c r="E14" s="293">
        <f>E12+E13</f>
        <v>299.15899999999999</v>
      </c>
      <c r="F14" s="293">
        <f t="shared" ref="F14:V14" si="0">F12+F13</f>
        <v>250.524</v>
      </c>
      <c r="G14" s="293">
        <f t="shared" si="0"/>
        <v>0</v>
      </c>
      <c r="H14" s="293">
        <f t="shared" si="0"/>
        <v>390.42500000000001</v>
      </c>
      <c r="I14" s="293">
        <f t="shared" si="0"/>
        <v>610.16599999999994</v>
      </c>
      <c r="J14" s="293">
        <f t="shared" si="0"/>
        <v>0</v>
      </c>
      <c r="K14" s="293">
        <f t="shared" si="0"/>
        <v>224.59100000000001</v>
      </c>
      <c r="L14" s="293">
        <f t="shared" si="0"/>
        <v>192.96799999999999</v>
      </c>
      <c r="M14" s="293">
        <f t="shared" si="0"/>
        <v>335.14100000000002</v>
      </c>
      <c r="N14" s="293">
        <f t="shared" si="0"/>
        <v>349.73400000000004</v>
      </c>
      <c r="O14" s="293">
        <f t="shared" si="0"/>
        <v>0</v>
      </c>
      <c r="P14" s="293">
        <f t="shared" si="0"/>
        <v>354.52499999999998</v>
      </c>
      <c r="Q14" s="293">
        <f t="shared" si="0"/>
        <v>224.09</v>
      </c>
      <c r="R14" s="293">
        <f t="shared" si="0"/>
        <v>250.309</v>
      </c>
      <c r="S14" s="293">
        <f t="shared" si="0"/>
        <v>0</v>
      </c>
      <c r="T14" s="293">
        <f t="shared" si="0"/>
        <v>606.20399999999995</v>
      </c>
      <c r="U14" s="293">
        <f t="shared" si="0"/>
        <v>722.71699999999987</v>
      </c>
      <c r="V14" s="293">
        <f t="shared" si="0"/>
        <v>368.44499999999999</v>
      </c>
    </row>
    <row r="15" spans="2:22" s="285" customFormat="1" ht="47.25" customHeight="1">
      <c r="B15" s="289">
        <f>B14+1</f>
        <v>6</v>
      </c>
      <c r="C15" s="291" t="s">
        <v>342</v>
      </c>
      <c r="D15" s="289" t="s">
        <v>512</v>
      </c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</row>
    <row r="16" spans="2:22" s="285" customFormat="1" ht="47.25" customHeight="1">
      <c r="B16" s="289">
        <f>B15+1</f>
        <v>7</v>
      </c>
      <c r="C16" s="291" t="s">
        <v>438</v>
      </c>
      <c r="D16" s="289" t="s">
        <v>512</v>
      </c>
      <c r="E16" s="293">
        <f>E14-E15</f>
        <v>299.15899999999999</v>
      </c>
      <c r="F16" s="293">
        <f t="shared" ref="F16:V16" si="1">F14-F15</f>
        <v>250.524</v>
      </c>
      <c r="G16" s="293">
        <f t="shared" si="1"/>
        <v>0</v>
      </c>
      <c r="H16" s="293">
        <f t="shared" si="1"/>
        <v>390.42500000000001</v>
      </c>
      <c r="I16" s="293">
        <f t="shared" si="1"/>
        <v>610.16599999999994</v>
      </c>
      <c r="J16" s="293">
        <f t="shared" si="1"/>
        <v>0</v>
      </c>
      <c r="K16" s="293">
        <f t="shared" si="1"/>
        <v>224.59100000000001</v>
      </c>
      <c r="L16" s="293">
        <f t="shared" si="1"/>
        <v>192.96799999999999</v>
      </c>
      <c r="M16" s="293">
        <f t="shared" si="1"/>
        <v>335.14100000000002</v>
      </c>
      <c r="N16" s="293">
        <f t="shared" si="1"/>
        <v>349.73400000000004</v>
      </c>
      <c r="O16" s="293">
        <f t="shared" si="1"/>
        <v>0</v>
      </c>
      <c r="P16" s="293">
        <f t="shared" si="1"/>
        <v>354.52499999999998</v>
      </c>
      <c r="Q16" s="293">
        <f t="shared" si="1"/>
        <v>224.09</v>
      </c>
      <c r="R16" s="293">
        <f t="shared" si="1"/>
        <v>250.309</v>
      </c>
      <c r="S16" s="293">
        <f t="shared" si="1"/>
        <v>0</v>
      </c>
      <c r="T16" s="293">
        <f t="shared" si="1"/>
        <v>606.20399999999995</v>
      </c>
      <c r="U16" s="293">
        <f t="shared" si="1"/>
        <v>722.71699999999987</v>
      </c>
      <c r="V16" s="293">
        <f t="shared" si="1"/>
        <v>368.44499999999999</v>
      </c>
    </row>
    <row r="17" spans="2:22" s="285" customFormat="1" ht="47.25" customHeight="1">
      <c r="B17" s="277" t="s">
        <v>72</v>
      </c>
      <c r="C17" s="290" t="s">
        <v>343</v>
      </c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</row>
    <row r="18" spans="2:22" s="285" customFormat="1" ht="47.25" customHeight="1">
      <c r="B18" s="289">
        <f>B16+1</f>
        <v>8</v>
      </c>
      <c r="C18" s="291" t="s">
        <v>439</v>
      </c>
      <c r="D18" s="289" t="s">
        <v>489</v>
      </c>
      <c r="E18" s="292">
        <v>2.4292259999999999</v>
      </c>
      <c r="F18" s="292">
        <v>2.2762948000000001</v>
      </c>
      <c r="G18" s="292">
        <v>0</v>
      </c>
      <c r="H18" s="292">
        <v>2.8994477000000001</v>
      </c>
      <c r="I18" s="292">
        <v>4.3363094999999996</v>
      </c>
      <c r="J18" s="292">
        <v>0</v>
      </c>
      <c r="K18" s="292">
        <v>1.5786418</v>
      </c>
      <c r="L18" s="292">
        <v>1.0678806999999999</v>
      </c>
      <c r="M18" s="292">
        <v>2.2879725</v>
      </c>
      <c r="N18" s="292">
        <v>2.3393503999999998</v>
      </c>
      <c r="O18" s="292">
        <v>0</v>
      </c>
      <c r="P18" s="292">
        <v>2.292799</v>
      </c>
      <c r="Q18" s="292">
        <v>1.4407839</v>
      </c>
      <c r="R18" s="292">
        <v>1.4915972</v>
      </c>
      <c r="S18" s="292">
        <v>0</v>
      </c>
      <c r="T18" s="292">
        <v>3.8772250000000001</v>
      </c>
      <c r="U18" s="292">
        <v>4.7595647999999997</v>
      </c>
      <c r="V18" s="292">
        <v>2.7224032999999999</v>
      </c>
    </row>
    <row r="19" spans="2:22" s="285" customFormat="1" ht="47.25" customHeight="1">
      <c r="B19" s="289">
        <f>B18+1</f>
        <v>9</v>
      </c>
      <c r="C19" s="291" t="s">
        <v>440</v>
      </c>
      <c r="D19" s="289" t="s">
        <v>489</v>
      </c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89"/>
      <c r="V19" s="289"/>
    </row>
    <row r="20" spans="2:22" s="285" customFormat="1" ht="47.25" customHeight="1">
      <c r="B20" s="289">
        <f>B19+1</f>
        <v>10</v>
      </c>
      <c r="C20" s="291" t="s">
        <v>344</v>
      </c>
      <c r="D20" s="289" t="s">
        <v>489</v>
      </c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  <c r="S20" s="289"/>
      <c r="T20" s="289"/>
      <c r="U20" s="289"/>
      <c r="V20" s="289"/>
    </row>
    <row r="21" spans="2:22" s="285" customFormat="1" ht="47.25" customHeight="1">
      <c r="B21" s="289">
        <f>B20+1</f>
        <v>11</v>
      </c>
      <c r="C21" s="291" t="s">
        <v>345</v>
      </c>
      <c r="D21" s="289" t="s">
        <v>489</v>
      </c>
      <c r="E21" s="281">
        <f>E18+E19+E20</f>
        <v>2.4292259999999999</v>
      </c>
      <c r="F21" s="281">
        <f t="shared" ref="F21:V21" si="2">F18+F19+F20</f>
        <v>2.2762948000000001</v>
      </c>
      <c r="G21" s="281">
        <f t="shared" si="2"/>
        <v>0</v>
      </c>
      <c r="H21" s="281">
        <f t="shared" si="2"/>
        <v>2.8994477000000001</v>
      </c>
      <c r="I21" s="281">
        <f t="shared" si="2"/>
        <v>4.3363094999999996</v>
      </c>
      <c r="J21" s="281">
        <f t="shared" si="2"/>
        <v>0</v>
      </c>
      <c r="K21" s="281">
        <f t="shared" si="2"/>
        <v>1.5786418</v>
      </c>
      <c r="L21" s="281">
        <f t="shared" si="2"/>
        <v>1.0678806999999999</v>
      </c>
      <c r="M21" s="281">
        <f t="shared" si="2"/>
        <v>2.2879725</v>
      </c>
      <c r="N21" s="281">
        <f t="shared" si="2"/>
        <v>2.3393503999999998</v>
      </c>
      <c r="O21" s="281">
        <f t="shared" si="2"/>
        <v>0</v>
      </c>
      <c r="P21" s="281">
        <f t="shared" si="2"/>
        <v>2.292799</v>
      </c>
      <c r="Q21" s="281">
        <f t="shared" si="2"/>
        <v>1.4407839</v>
      </c>
      <c r="R21" s="281">
        <f t="shared" si="2"/>
        <v>1.4915972</v>
      </c>
      <c r="S21" s="281">
        <f t="shared" si="2"/>
        <v>0</v>
      </c>
      <c r="T21" s="281">
        <f t="shared" si="2"/>
        <v>3.8772250000000001</v>
      </c>
      <c r="U21" s="281">
        <f t="shared" si="2"/>
        <v>4.7595647999999997</v>
      </c>
      <c r="V21" s="281">
        <f t="shared" si="2"/>
        <v>2.7224032999999999</v>
      </c>
    </row>
    <row r="22" spans="2:22" s="285" customFormat="1" ht="47.25" customHeight="1">
      <c r="B22" s="277" t="s">
        <v>346</v>
      </c>
      <c r="C22" s="290" t="s">
        <v>347</v>
      </c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89"/>
      <c r="O22" s="289"/>
      <c r="P22" s="289"/>
      <c r="Q22" s="289"/>
      <c r="R22" s="289"/>
      <c r="S22" s="289"/>
      <c r="T22" s="289"/>
      <c r="U22" s="289"/>
      <c r="V22" s="289"/>
    </row>
    <row r="23" spans="2:22" s="285" customFormat="1" ht="47.25" customHeight="1">
      <c r="B23" s="289">
        <f>B21+1</f>
        <v>12</v>
      </c>
      <c r="C23" s="291" t="s">
        <v>348</v>
      </c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</row>
    <row r="24" spans="2:22" s="285" customFormat="1" ht="47.25" customHeight="1">
      <c r="B24" s="289"/>
      <c r="C24" s="291" t="s">
        <v>349</v>
      </c>
      <c r="D24" s="289" t="s">
        <v>489</v>
      </c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</row>
    <row r="25" spans="2:22" s="285" customFormat="1" ht="47.25" customHeight="1">
      <c r="B25" s="289"/>
      <c r="C25" s="291" t="s">
        <v>350</v>
      </c>
      <c r="D25" s="289" t="s">
        <v>489</v>
      </c>
      <c r="E25" s="289"/>
      <c r="F25" s="289"/>
      <c r="G25" s="289"/>
      <c r="H25" s="289"/>
      <c r="I25" s="289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</row>
    <row r="26" spans="2:22" s="285" customFormat="1" ht="47.25" customHeight="1">
      <c r="B26" s="289"/>
      <c r="C26" s="291" t="s">
        <v>351</v>
      </c>
      <c r="D26" s="289" t="s">
        <v>489</v>
      </c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</row>
    <row r="27" spans="2:22" s="285" customFormat="1" ht="47.25" customHeight="1">
      <c r="B27" s="289"/>
      <c r="C27" s="291" t="s">
        <v>9</v>
      </c>
      <c r="D27" s="289" t="s">
        <v>489</v>
      </c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</row>
    <row r="28" spans="2:22" s="285" customFormat="1" ht="47.25" customHeight="1">
      <c r="B28" s="289">
        <f>B23+1</f>
        <v>13</v>
      </c>
      <c r="C28" s="291" t="s">
        <v>441</v>
      </c>
      <c r="D28" s="289" t="s">
        <v>489</v>
      </c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</row>
    <row r="29" spans="2:22" s="285" customFormat="1" ht="47.25" customHeight="1">
      <c r="B29" s="289">
        <f>B28+1</f>
        <v>14</v>
      </c>
      <c r="C29" s="291" t="s">
        <v>352</v>
      </c>
      <c r="D29" s="289" t="s">
        <v>489</v>
      </c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</row>
    <row r="30" spans="2:22" s="285" customFormat="1" ht="47.25" customHeight="1">
      <c r="B30" s="289">
        <f>B29+1</f>
        <v>15</v>
      </c>
      <c r="C30" s="291" t="s">
        <v>442</v>
      </c>
      <c r="D30" s="289" t="s">
        <v>489</v>
      </c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</row>
    <row r="31" spans="2:22" s="285" customFormat="1" ht="47.25" customHeight="1">
      <c r="B31" s="289">
        <f>B30+1</f>
        <v>16</v>
      </c>
      <c r="C31" s="291" t="s">
        <v>353</v>
      </c>
      <c r="D31" s="289" t="s">
        <v>489</v>
      </c>
      <c r="E31" s="293">
        <f>SUM(E24:E30)</f>
        <v>0</v>
      </c>
      <c r="F31" s="293">
        <f t="shared" ref="F31:V31" si="3">SUM(F24:F30)</f>
        <v>0</v>
      </c>
      <c r="G31" s="293">
        <f t="shared" si="3"/>
        <v>0</v>
      </c>
      <c r="H31" s="293">
        <f t="shared" si="3"/>
        <v>0</v>
      </c>
      <c r="I31" s="293">
        <f t="shared" si="3"/>
        <v>0</v>
      </c>
      <c r="J31" s="293">
        <f t="shared" si="3"/>
        <v>0</v>
      </c>
      <c r="K31" s="293">
        <f t="shared" si="3"/>
        <v>0</v>
      </c>
      <c r="L31" s="293">
        <f t="shared" si="3"/>
        <v>0</v>
      </c>
      <c r="M31" s="293">
        <f t="shared" si="3"/>
        <v>0</v>
      </c>
      <c r="N31" s="293">
        <f t="shared" si="3"/>
        <v>0</v>
      </c>
      <c r="O31" s="293">
        <f t="shared" si="3"/>
        <v>0</v>
      </c>
      <c r="P31" s="293">
        <f t="shared" si="3"/>
        <v>0</v>
      </c>
      <c r="Q31" s="293">
        <f t="shared" si="3"/>
        <v>0</v>
      </c>
      <c r="R31" s="293">
        <f t="shared" si="3"/>
        <v>0</v>
      </c>
      <c r="S31" s="293">
        <f t="shared" si="3"/>
        <v>0</v>
      </c>
      <c r="T31" s="293">
        <f t="shared" si="3"/>
        <v>0</v>
      </c>
      <c r="U31" s="293">
        <f t="shared" si="3"/>
        <v>0</v>
      </c>
      <c r="V31" s="293">
        <f t="shared" si="3"/>
        <v>0</v>
      </c>
    </row>
    <row r="32" spans="2:22" s="285" customFormat="1" ht="47.25" customHeight="1">
      <c r="B32" s="289">
        <f>B31+1</f>
        <v>17</v>
      </c>
      <c r="C32" s="291" t="s">
        <v>443</v>
      </c>
      <c r="D32" s="289" t="s">
        <v>489</v>
      </c>
      <c r="E32" s="281">
        <f>E21+E31</f>
        <v>2.4292259999999999</v>
      </c>
      <c r="F32" s="281">
        <f t="shared" ref="F32:V32" si="4">F21+F31</f>
        <v>2.2762948000000001</v>
      </c>
      <c r="G32" s="281">
        <f t="shared" si="4"/>
        <v>0</v>
      </c>
      <c r="H32" s="281">
        <f t="shared" si="4"/>
        <v>2.8994477000000001</v>
      </c>
      <c r="I32" s="281">
        <f t="shared" si="4"/>
        <v>4.3363094999999996</v>
      </c>
      <c r="J32" s="281">
        <f t="shared" si="4"/>
        <v>0</v>
      </c>
      <c r="K32" s="281">
        <f t="shared" si="4"/>
        <v>1.5786418</v>
      </c>
      <c r="L32" s="281">
        <f t="shared" si="4"/>
        <v>1.0678806999999999</v>
      </c>
      <c r="M32" s="281">
        <f t="shared" si="4"/>
        <v>2.2879725</v>
      </c>
      <c r="N32" s="281">
        <f t="shared" si="4"/>
        <v>2.3393503999999998</v>
      </c>
      <c r="O32" s="281">
        <f t="shared" si="4"/>
        <v>0</v>
      </c>
      <c r="P32" s="281">
        <f t="shared" si="4"/>
        <v>2.292799</v>
      </c>
      <c r="Q32" s="281">
        <f t="shared" si="4"/>
        <v>1.4407839</v>
      </c>
      <c r="R32" s="281">
        <f t="shared" si="4"/>
        <v>1.4915972</v>
      </c>
      <c r="S32" s="281">
        <f t="shared" si="4"/>
        <v>0</v>
      </c>
      <c r="T32" s="281">
        <f t="shared" si="4"/>
        <v>3.8772250000000001</v>
      </c>
      <c r="U32" s="281">
        <f t="shared" si="4"/>
        <v>4.7595647999999997</v>
      </c>
      <c r="V32" s="281">
        <f t="shared" si="4"/>
        <v>2.7224032999999999</v>
      </c>
    </row>
    <row r="33" spans="2:22" s="285" customFormat="1" ht="47.25" customHeight="1">
      <c r="B33" s="277" t="s">
        <v>354</v>
      </c>
      <c r="C33" s="290" t="s">
        <v>201</v>
      </c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</row>
    <row r="34" spans="2:22" s="285" customFormat="1" ht="47.25" customHeight="1">
      <c r="B34" s="289">
        <f>B32+1</f>
        <v>18</v>
      </c>
      <c r="C34" s="291" t="s">
        <v>444</v>
      </c>
      <c r="D34" s="289" t="s">
        <v>513</v>
      </c>
      <c r="E34" s="293">
        <f t="shared" ref="E34:V34" si="5">IFERROR((E10+E32)/(E9+E16),0)*10000000</f>
        <v>59756.090915980232</v>
      </c>
      <c r="F34" s="293">
        <f t="shared" si="5"/>
        <v>63780.922767617121</v>
      </c>
      <c r="G34" s="293">
        <f t="shared" si="5"/>
        <v>64056.12188245327</v>
      </c>
      <c r="H34" s="293">
        <f t="shared" si="5"/>
        <v>66070.504984386411</v>
      </c>
      <c r="I34" s="293">
        <f t="shared" si="5"/>
        <v>67269.588537005475</v>
      </c>
      <c r="J34" s="293">
        <f t="shared" si="5"/>
        <v>66900.795525717214</v>
      </c>
      <c r="K34" s="293">
        <f t="shared" si="5"/>
        <v>67200.935156177147</v>
      </c>
      <c r="L34" s="293">
        <f t="shared" si="5"/>
        <v>66209.102399171898</v>
      </c>
      <c r="M34" s="293">
        <f t="shared" si="5"/>
        <v>65299.71945770429</v>
      </c>
      <c r="N34" s="293">
        <f t="shared" si="5"/>
        <v>65264.273656163648</v>
      </c>
      <c r="O34" s="293">
        <f t="shared" si="5"/>
        <v>64280.159372403112</v>
      </c>
      <c r="P34" s="293">
        <f t="shared" si="5"/>
        <v>64849.304918240217</v>
      </c>
      <c r="Q34" s="293">
        <f t="shared" si="5"/>
        <v>64397.040932383279</v>
      </c>
      <c r="R34" s="293">
        <f t="shared" si="5"/>
        <v>63533.540076267811</v>
      </c>
      <c r="S34" s="293">
        <f t="shared" si="5"/>
        <v>63259.045211026576</v>
      </c>
      <c r="T34" s="293">
        <f t="shared" si="5"/>
        <v>63440.088431166107</v>
      </c>
      <c r="U34" s="293">
        <f t="shared" si="5"/>
        <v>64555.923276707435</v>
      </c>
      <c r="V34" s="293">
        <f t="shared" si="5"/>
        <v>66193.604383023441</v>
      </c>
    </row>
    <row r="35" spans="2:22" s="285" customFormat="1" ht="47.25" customHeight="1">
      <c r="B35" s="289">
        <f>B34+1</f>
        <v>19</v>
      </c>
      <c r="C35" s="291" t="s">
        <v>356</v>
      </c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89"/>
      <c r="Q35" s="289"/>
      <c r="R35" s="289"/>
      <c r="S35" s="289"/>
      <c r="T35" s="289"/>
      <c r="U35" s="289"/>
      <c r="V35" s="289"/>
    </row>
    <row r="36" spans="2:22" s="285" customFormat="1" ht="47.25" customHeight="1">
      <c r="B36" s="289">
        <f>B35+1</f>
        <v>20</v>
      </c>
      <c r="C36" s="291" t="s">
        <v>445</v>
      </c>
      <c r="D36" s="289" t="s">
        <v>513</v>
      </c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</row>
    <row r="37" spans="2:22" s="285" customFormat="1" ht="47.25" customHeight="1">
      <c r="B37" s="277" t="s">
        <v>357</v>
      </c>
      <c r="C37" s="290" t="s">
        <v>358</v>
      </c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89"/>
      <c r="Q37" s="289"/>
      <c r="R37" s="289"/>
      <c r="S37" s="289"/>
      <c r="T37" s="289"/>
      <c r="U37" s="289"/>
      <c r="V37" s="289"/>
    </row>
    <row r="38" spans="2:22" s="285" customFormat="1" ht="47.25" customHeight="1">
      <c r="B38" s="289">
        <f>B36+1</f>
        <v>21</v>
      </c>
      <c r="C38" s="291" t="s">
        <v>446</v>
      </c>
      <c r="D38" s="289" t="s">
        <v>359</v>
      </c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89"/>
      <c r="Q38" s="289"/>
      <c r="R38" s="289"/>
      <c r="S38" s="289"/>
      <c r="T38" s="289"/>
      <c r="U38" s="289"/>
      <c r="V38" s="289"/>
    </row>
    <row r="39" spans="2:22" s="285" customFormat="1" ht="47.25" customHeight="1">
      <c r="B39" s="289">
        <f>B38+1</f>
        <v>22</v>
      </c>
      <c r="C39" s="291" t="s">
        <v>447</v>
      </c>
      <c r="D39" s="289" t="s">
        <v>359</v>
      </c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89"/>
      <c r="Q39" s="289"/>
      <c r="R39" s="289"/>
      <c r="S39" s="289"/>
      <c r="T39" s="289"/>
      <c r="U39" s="289"/>
      <c r="V39" s="289"/>
    </row>
    <row r="40" spans="2:22" s="285" customFormat="1" ht="47.25" customHeight="1">
      <c r="B40" s="289">
        <f t="shared" ref="B40:B47" si="6">B39+1</f>
        <v>23</v>
      </c>
      <c r="C40" s="291" t="s">
        <v>448</v>
      </c>
      <c r="D40" s="289" t="s">
        <v>359</v>
      </c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</row>
    <row r="41" spans="2:22" s="285" customFormat="1" ht="47.25" customHeight="1">
      <c r="B41" s="289">
        <f t="shared" si="6"/>
        <v>24</v>
      </c>
      <c r="C41" s="291" t="s">
        <v>449</v>
      </c>
      <c r="D41" s="289" t="s">
        <v>359</v>
      </c>
      <c r="E41" s="289"/>
      <c r="F41" s="289"/>
      <c r="G41" s="289"/>
      <c r="H41" s="289"/>
      <c r="I41" s="289"/>
      <c r="J41" s="289"/>
      <c r="K41" s="289"/>
      <c r="L41" s="289"/>
      <c r="M41" s="289"/>
      <c r="N41" s="289"/>
      <c r="O41" s="289"/>
      <c r="P41" s="289"/>
      <c r="Q41" s="289"/>
      <c r="R41" s="289"/>
      <c r="S41" s="289"/>
      <c r="T41" s="289"/>
      <c r="U41" s="289"/>
      <c r="V41" s="289"/>
    </row>
    <row r="42" spans="2:22" s="285" customFormat="1" ht="47.25" customHeight="1">
      <c r="B42" s="289">
        <f t="shared" si="6"/>
        <v>25</v>
      </c>
      <c r="C42" s="291" t="s">
        <v>450</v>
      </c>
      <c r="D42" s="289" t="s">
        <v>359</v>
      </c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</row>
    <row r="43" spans="2:22" s="285" customFormat="1" ht="47.25" customHeight="1">
      <c r="B43" s="289">
        <f t="shared" si="6"/>
        <v>26</v>
      </c>
      <c r="C43" s="291" t="s">
        <v>451</v>
      </c>
      <c r="D43" s="289" t="s">
        <v>359</v>
      </c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9"/>
      <c r="S43" s="289"/>
      <c r="T43" s="289"/>
      <c r="U43" s="289"/>
      <c r="V43" s="289"/>
    </row>
    <row r="44" spans="2:22" s="285" customFormat="1" ht="47.25" customHeight="1">
      <c r="B44" s="289">
        <f t="shared" si="6"/>
        <v>27</v>
      </c>
      <c r="C44" s="291" t="s">
        <v>452</v>
      </c>
      <c r="D44" s="289" t="s">
        <v>359</v>
      </c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T44" s="289"/>
      <c r="U44" s="289"/>
      <c r="V44" s="289"/>
    </row>
    <row r="45" spans="2:22" s="285" customFormat="1" ht="47.25" customHeight="1">
      <c r="B45" s="289">
        <f t="shared" si="6"/>
        <v>28</v>
      </c>
      <c r="C45" s="291" t="s">
        <v>453</v>
      </c>
      <c r="D45" s="289" t="s">
        <v>359</v>
      </c>
      <c r="E45" s="289"/>
      <c r="F45" s="289"/>
      <c r="G45" s="289"/>
      <c r="H45" s="289"/>
      <c r="I45" s="289"/>
      <c r="J45" s="289"/>
      <c r="K45" s="289"/>
      <c r="L45" s="289"/>
      <c r="M45" s="289"/>
      <c r="N45" s="289"/>
      <c r="O45" s="289"/>
      <c r="P45" s="289"/>
      <c r="Q45" s="289"/>
      <c r="R45" s="289"/>
      <c r="S45" s="289"/>
      <c r="T45" s="289"/>
      <c r="U45" s="289"/>
      <c r="V45" s="289"/>
    </row>
    <row r="46" spans="2:22" s="285" customFormat="1" ht="47.25" customHeight="1">
      <c r="B46" s="289">
        <f t="shared" si="6"/>
        <v>29</v>
      </c>
      <c r="C46" s="291" t="s">
        <v>454</v>
      </c>
      <c r="D46" s="289" t="s">
        <v>359</v>
      </c>
      <c r="E46" s="289"/>
      <c r="F46" s="289"/>
      <c r="G46" s="289"/>
      <c r="H46" s="289"/>
      <c r="I46" s="289"/>
      <c r="J46" s="289"/>
      <c r="K46" s="289"/>
      <c r="L46" s="289"/>
      <c r="M46" s="289"/>
      <c r="N46" s="289"/>
      <c r="O46" s="289"/>
      <c r="P46" s="289"/>
      <c r="Q46" s="289"/>
      <c r="R46" s="289"/>
      <c r="S46" s="289"/>
      <c r="T46" s="289"/>
      <c r="U46" s="289"/>
      <c r="V46" s="289"/>
    </row>
    <row r="47" spans="2:22" s="285" customFormat="1" ht="47.25" customHeight="1">
      <c r="B47" s="289">
        <f t="shared" si="6"/>
        <v>30</v>
      </c>
      <c r="C47" s="291" t="s">
        <v>455</v>
      </c>
      <c r="D47" s="289" t="s">
        <v>359</v>
      </c>
      <c r="E47" s="289"/>
      <c r="F47" s="289"/>
      <c r="G47" s="289"/>
      <c r="H47" s="289"/>
      <c r="I47" s="289"/>
      <c r="J47" s="289"/>
      <c r="K47" s="289"/>
      <c r="L47" s="289"/>
      <c r="M47" s="289"/>
      <c r="N47" s="289"/>
      <c r="O47" s="289"/>
      <c r="P47" s="289"/>
      <c r="Q47" s="289"/>
      <c r="R47" s="289"/>
      <c r="S47" s="289"/>
      <c r="T47" s="289"/>
      <c r="U47" s="289"/>
      <c r="V47" s="289"/>
    </row>
    <row r="48" spans="2:22" s="114" customFormat="1" ht="47.25" customHeight="1"/>
    <row r="49" spans="2:3" s="273" customFormat="1" ht="47.25" customHeight="1">
      <c r="B49" s="294" t="s">
        <v>269</v>
      </c>
    </row>
    <row r="50" spans="2:3" s="273" customFormat="1" ht="47.25" customHeight="1">
      <c r="B50" s="273">
        <v>1</v>
      </c>
      <c r="C50" s="273" t="s">
        <v>360</v>
      </c>
    </row>
    <row r="51" spans="2:3" s="273" customFormat="1" ht="47.25" customHeight="1">
      <c r="B51" s="273">
        <f>B50+1</f>
        <v>2</v>
      </c>
      <c r="C51" s="273" t="s">
        <v>361</v>
      </c>
    </row>
    <row r="52" spans="2:3" s="273" customFormat="1" ht="47.25" customHeight="1">
      <c r="B52" s="273">
        <f>B51+1</f>
        <v>3</v>
      </c>
      <c r="C52" s="273" t="s">
        <v>362</v>
      </c>
    </row>
    <row r="53" spans="2:3" s="273" customFormat="1" ht="47.25" customHeight="1">
      <c r="B53" s="273">
        <f>B52+1</f>
        <v>4</v>
      </c>
      <c r="C53" s="273" t="s">
        <v>363</v>
      </c>
    </row>
    <row r="54" spans="2:3" s="273" customFormat="1" ht="47.25" customHeight="1"/>
  </sheetData>
  <mergeCells count="5">
    <mergeCell ref="E6:P6"/>
    <mergeCell ref="Q6:V6"/>
    <mergeCell ref="B6:B7"/>
    <mergeCell ref="C6:C7"/>
    <mergeCell ref="D6:D7"/>
  </mergeCells>
  <phoneticPr fontId="12" type="noConversion"/>
  <pageMargins left="0.31496062992125984" right="0.19685039370078741" top="0.74803149606299213" bottom="0.74803149606299213" header="0.31496062992125984" footer="0.31496062992125984"/>
  <pageSetup paperSize="9" scale="3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O22"/>
  <sheetViews>
    <sheetView showGridLines="0" zoomScale="80" zoomScaleNormal="80" workbookViewId="0">
      <selection activeCell="B4" sqref="B4:N4"/>
    </sheetView>
  </sheetViews>
  <sheetFormatPr defaultColWidth="9.28515625" defaultRowHeight="18"/>
  <cols>
    <col min="1" max="1" width="2.42578125" style="226" customWidth="1"/>
    <col min="2" max="2" width="40.28515625" style="226" customWidth="1"/>
    <col min="3" max="3" width="11" style="226" customWidth="1"/>
    <col min="4" max="4" width="11.7109375" style="226" customWidth="1"/>
    <col min="5" max="5" width="13.85546875" style="226" customWidth="1"/>
    <col min="6" max="6" width="12" style="226" customWidth="1"/>
    <col min="7" max="7" width="15" style="226" customWidth="1"/>
    <col min="8" max="8" width="13.42578125" style="226" customWidth="1"/>
    <col min="9" max="9" width="14.28515625" style="226" customWidth="1"/>
    <col min="10" max="10" width="14.140625" style="226" customWidth="1"/>
    <col min="11" max="11" width="14.42578125" style="226" customWidth="1"/>
    <col min="12" max="12" width="13.7109375" style="226" customWidth="1"/>
    <col min="13" max="13" width="13.42578125" style="226" customWidth="1"/>
    <col min="14" max="14" width="13.85546875" style="226" customWidth="1"/>
    <col min="15" max="15" width="13" style="226" bestFit="1" customWidth="1"/>
    <col min="16" max="16384" width="9.28515625" style="226"/>
  </cols>
  <sheetData>
    <row r="2" spans="2:1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</row>
    <row r="3" spans="2:15">
      <c r="B3" s="310" t="s">
        <v>539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</row>
    <row r="4" spans="2:15">
      <c r="B4" s="310" t="s">
        <v>555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</row>
    <row r="6" spans="2:15" ht="46.5" customHeight="1">
      <c r="B6" s="378" t="s">
        <v>18</v>
      </c>
      <c r="C6" s="378" t="s">
        <v>227</v>
      </c>
      <c r="D6" s="378" t="s">
        <v>39</v>
      </c>
      <c r="E6" s="357" t="s">
        <v>518</v>
      </c>
      <c r="F6" s="358"/>
      <c r="G6" s="359"/>
      <c r="H6" s="357" t="s">
        <v>519</v>
      </c>
      <c r="I6" s="358"/>
      <c r="J6" s="360" t="s">
        <v>252</v>
      </c>
      <c r="K6" s="360"/>
      <c r="L6" s="360"/>
      <c r="M6" s="360"/>
      <c r="N6" s="360"/>
    </row>
    <row r="7" spans="2:15" ht="54">
      <c r="B7" s="378"/>
      <c r="C7" s="378"/>
      <c r="D7" s="378"/>
      <c r="E7" s="208" t="s">
        <v>394</v>
      </c>
      <c r="F7" s="208" t="s">
        <v>267</v>
      </c>
      <c r="G7" s="208" t="s">
        <v>226</v>
      </c>
      <c r="H7" s="208" t="s">
        <v>430</v>
      </c>
      <c r="I7" s="208" t="s">
        <v>266</v>
      </c>
      <c r="J7" s="208" t="s">
        <v>484</v>
      </c>
      <c r="K7" s="208" t="s">
        <v>485</v>
      </c>
      <c r="L7" s="208" t="s">
        <v>486</v>
      </c>
      <c r="M7" s="208" t="s">
        <v>487</v>
      </c>
      <c r="N7" s="208" t="s">
        <v>488</v>
      </c>
    </row>
    <row r="8" spans="2:15" ht="36">
      <c r="B8" s="378"/>
      <c r="C8" s="378"/>
      <c r="D8" s="378"/>
      <c r="E8" s="208" t="s">
        <v>10</v>
      </c>
      <c r="F8" s="208" t="s">
        <v>12</v>
      </c>
      <c r="G8" s="208" t="s">
        <v>256</v>
      </c>
      <c r="H8" s="208" t="s">
        <v>10</v>
      </c>
      <c r="I8" s="208" t="s">
        <v>5</v>
      </c>
      <c r="J8" s="208" t="s">
        <v>8</v>
      </c>
      <c r="K8" s="208" t="s">
        <v>8</v>
      </c>
      <c r="L8" s="208" t="s">
        <v>8</v>
      </c>
      <c r="M8" s="208" t="s">
        <v>8</v>
      </c>
      <c r="N8" s="208" t="s">
        <v>8</v>
      </c>
    </row>
    <row r="9" spans="2:15">
      <c r="B9" s="227" t="s">
        <v>183</v>
      </c>
      <c r="C9" s="228" t="s">
        <v>372</v>
      </c>
      <c r="D9" s="228" t="s">
        <v>42</v>
      </c>
      <c r="E9" s="247">
        <v>7</v>
      </c>
      <c r="F9" s="250">
        <v>5.3938944778140749</v>
      </c>
      <c r="G9" s="246">
        <f>F9</f>
        <v>5.3938944778140749</v>
      </c>
      <c r="H9" s="246">
        <v>7</v>
      </c>
      <c r="I9" s="250">
        <v>5.8071405126361757</v>
      </c>
      <c r="J9" s="245">
        <v>5.25</v>
      </c>
      <c r="K9" s="245">
        <v>5.25</v>
      </c>
      <c r="L9" s="245">
        <v>5.25</v>
      </c>
      <c r="M9" s="245">
        <v>5.25</v>
      </c>
      <c r="N9" s="245">
        <v>5.25</v>
      </c>
      <c r="O9" s="243"/>
    </row>
    <row r="10" spans="2:15" ht="18.75">
      <c r="B10" s="229" t="s">
        <v>225</v>
      </c>
      <c r="C10" s="230" t="s">
        <v>382</v>
      </c>
      <c r="D10" s="230" t="s">
        <v>49</v>
      </c>
      <c r="E10" s="245">
        <v>2400</v>
      </c>
      <c r="F10" s="253">
        <v>2334.1017330665213</v>
      </c>
      <c r="G10" s="246">
        <f t="shared" ref="G10:G15" si="0">F10</f>
        <v>2334.1017330665213</v>
      </c>
      <c r="H10" s="245">
        <v>2400</v>
      </c>
      <c r="I10" s="250">
        <v>2366.9636625417384</v>
      </c>
      <c r="J10" s="245">
        <v>2300</v>
      </c>
      <c r="K10" s="245">
        <v>2300</v>
      </c>
      <c r="L10" s="245">
        <v>2300</v>
      </c>
      <c r="M10" s="245">
        <v>2300</v>
      </c>
      <c r="N10" s="245">
        <v>2300</v>
      </c>
      <c r="O10" s="249"/>
    </row>
    <row r="11" spans="2:15">
      <c r="B11" s="227" t="s">
        <v>366</v>
      </c>
      <c r="C11" s="228" t="s">
        <v>373</v>
      </c>
      <c r="D11" s="228" t="s">
        <v>51</v>
      </c>
      <c r="E11" s="245">
        <v>2</v>
      </c>
      <c r="F11" s="245">
        <v>0.41918430117747074</v>
      </c>
      <c r="G11" s="246">
        <f t="shared" si="0"/>
        <v>0.41918430117747074</v>
      </c>
      <c r="H11" s="245">
        <v>2</v>
      </c>
      <c r="I11" s="251">
        <v>0.29549187025631002</v>
      </c>
      <c r="J11" s="245">
        <v>0.5</v>
      </c>
      <c r="K11" s="245">
        <v>0.5</v>
      </c>
      <c r="L11" s="245">
        <v>0.5</v>
      </c>
      <c r="M11" s="245">
        <v>0.5</v>
      </c>
      <c r="N11" s="245">
        <v>0.5</v>
      </c>
      <c r="O11" s="249"/>
    </row>
    <row r="12" spans="2:15">
      <c r="B12" s="227" t="s">
        <v>367</v>
      </c>
      <c r="C12" s="228" t="s">
        <v>374</v>
      </c>
      <c r="D12" s="228" t="s">
        <v>375</v>
      </c>
      <c r="E12" s="245">
        <v>9390</v>
      </c>
      <c r="F12" s="247">
        <v>9390</v>
      </c>
      <c r="G12" s="247">
        <f t="shared" si="0"/>
        <v>9390</v>
      </c>
      <c r="H12" s="247">
        <v>9390</v>
      </c>
      <c r="I12" s="247">
        <v>9390</v>
      </c>
      <c r="J12" s="245">
        <v>9390</v>
      </c>
      <c r="K12" s="245">
        <v>9390</v>
      </c>
      <c r="L12" s="245">
        <v>9390</v>
      </c>
      <c r="M12" s="245">
        <v>9390</v>
      </c>
      <c r="N12" s="245">
        <v>9390</v>
      </c>
      <c r="O12" s="249"/>
    </row>
    <row r="13" spans="2:15">
      <c r="B13" s="227" t="s">
        <v>368</v>
      </c>
      <c r="C13" s="228" t="s">
        <v>376</v>
      </c>
      <c r="D13" s="228" t="s">
        <v>377</v>
      </c>
      <c r="E13" s="246">
        <v>6.7171984582396704E-2</v>
      </c>
      <c r="F13" s="246">
        <v>6.7171984582396704E-2</v>
      </c>
      <c r="G13" s="246">
        <f t="shared" si="0"/>
        <v>6.7171984582396704E-2</v>
      </c>
      <c r="H13" s="246">
        <v>6.5924304135424702E-2</v>
      </c>
      <c r="I13" s="251">
        <f>65924.3041354247/1000000</f>
        <v>6.5924304135424702E-2</v>
      </c>
      <c r="J13" s="246">
        <v>6.3633132348890578E-2</v>
      </c>
      <c r="K13" s="246">
        <f>J13*1.02</f>
        <v>6.4905794995868391E-2</v>
      </c>
      <c r="L13" s="246">
        <f>K13*1.02</f>
        <v>6.6203910895785756E-2</v>
      </c>
      <c r="M13" s="246">
        <f>L13*1.02</f>
        <v>6.7527989113701475E-2</v>
      </c>
      <c r="N13" s="246">
        <f>M13*1.02</f>
        <v>6.88785488959755E-2</v>
      </c>
      <c r="O13" s="249"/>
    </row>
    <row r="14" spans="2:15" ht="18.75">
      <c r="B14" s="227" t="s">
        <v>383</v>
      </c>
      <c r="C14" s="228" t="s">
        <v>378</v>
      </c>
      <c r="D14" s="228" t="s">
        <v>359</v>
      </c>
      <c r="E14" s="247">
        <v>3992.1251334302228</v>
      </c>
      <c r="F14" s="254">
        <v>3992.1251334302228</v>
      </c>
      <c r="G14" s="247">
        <f t="shared" si="0"/>
        <v>3992.1251334302228</v>
      </c>
      <c r="H14" s="247">
        <v>4024.2966852766667</v>
      </c>
      <c r="I14" s="252">
        <v>4024.2966852766667</v>
      </c>
      <c r="J14" s="247">
        <v>4086.7505906833935</v>
      </c>
      <c r="K14" s="247">
        <v>4086.7505906833935</v>
      </c>
      <c r="L14" s="247">
        <v>4086.7505906833935</v>
      </c>
      <c r="M14" s="247">
        <v>4086.7505906833935</v>
      </c>
      <c r="N14" s="247">
        <v>4086.7505906833935</v>
      </c>
      <c r="O14" s="249"/>
    </row>
    <row r="15" spans="2:15" ht="18.75">
      <c r="B15" s="227" t="s">
        <v>369</v>
      </c>
      <c r="C15" s="228" t="s">
        <v>379</v>
      </c>
      <c r="D15" s="228" t="s">
        <v>380</v>
      </c>
      <c r="E15" s="246">
        <v>5.115345297187619</v>
      </c>
      <c r="F15" s="253">
        <v>5.115345297187619</v>
      </c>
      <c r="G15" s="246">
        <f t="shared" si="0"/>
        <v>5.115345297187619</v>
      </c>
      <c r="H15" s="246">
        <v>5.1612283675834094</v>
      </c>
      <c r="I15" s="251">
        <f>5161.22836758341/1000</f>
        <v>5.1612283675834094</v>
      </c>
      <c r="J15" s="246">
        <v>5.2799858451869799</v>
      </c>
      <c r="K15" s="246">
        <f>J15*1.02</f>
        <v>5.3855855620907196</v>
      </c>
      <c r="L15" s="246">
        <f>K15*1.02</f>
        <v>5.4932972733325345</v>
      </c>
      <c r="M15" s="246">
        <f>L15*1.02</f>
        <v>5.6031632187991853</v>
      </c>
      <c r="N15" s="246">
        <f>M15*1.02</f>
        <v>5.7152264831751696</v>
      </c>
      <c r="O15" s="249"/>
    </row>
    <row r="16" spans="2:15" ht="18.75">
      <c r="B16" s="227" t="s">
        <v>370</v>
      </c>
      <c r="C16" s="228"/>
      <c r="D16" s="228" t="s">
        <v>381</v>
      </c>
      <c r="E16" s="246">
        <f>F16</f>
        <v>0.58369051935911553</v>
      </c>
      <c r="F16" s="255">
        <v>0.58369051935911553</v>
      </c>
      <c r="G16" s="256">
        <v>0.58369051935911553</v>
      </c>
      <c r="H16" s="245">
        <v>0.57999999999999996</v>
      </c>
      <c r="I16" s="251">
        <v>0.58747880158281518</v>
      </c>
      <c r="J16" s="246">
        <f t="shared" ref="J16:N16" si="1">(J10-(J11*J12/1000))/J14</f>
        <v>0.5616454806986827</v>
      </c>
      <c r="K16" s="246">
        <f t="shared" si="1"/>
        <v>0.5616454806986827</v>
      </c>
      <c r="L16" s="246">
        <f t="shared" si="1"/>
        <v>0.5616454806986827</v>
      </c>
      <c r="M16" s="246">
        <f t="shared" si="1"/>
        <v>0.5616454806986827</v>
      </c>
      <c r="N16" s="246">
        <f t="shared" si="1"/>
        <v>0.5616454806986827</v>
      </c>
      <c r="O16" s="249"/>
    </row>
    <row r="17" spans="2:15">
      <c r="B17" s="227" t="s">
        <v>528</v>
      </c>
      <c r="C17" s="228"/>
      <c r="D17" s="228" t="s">
        <v>529</v>
      </c>
      <c r="E17" s="256">
        <f t="shared" ref="E17:H17" si="2">IFERROR(((E10-E11*E12/1000)*E15/E14)*100/(100-E9),0)</f>
        <v>3.2808576081599168</v>
      </c>
      <c r="F17" s="256">
        <f t="shared" si="2"/>
        <v>3.1560104252642129</v>
      </c>
      <c r="G17" s="256">
        <f t="shared" si="2"/>
        <v>3.1560104252642129</v>
      </c>
      <c r="H17" s="256">
        <f t="shared" si="2"/>
        <v>3.2838223748983602</v>
      </c>
      <c r="I17" s="246">
        <f t="shared" ref="I17" si="3">IFERROR(((I10-I11*I12/1000)*I15/I14)*100/(100-I9),0)</f>
        <v>3.2190468285867206</v>
      </c>
      <c r="J17" s="246">
        <f>IFERROR(((J10-J11*J12/1000)*J15/J14)*100/(100-J9),0)</f>
        <v>3.1297943937754948</v>
      </c>
      <c r="K17" s="246">
        <f t="shared" ref="K17:N17" si="4">IFERROR(((K10-K11*K12/1000)*K15/K14)*100/(100-K9),0)</f>
        <v>3.1923902816510048</v>
      </c>
      <c r="L17" s="246">
        <f t="shared" si="4"/>
        <v>3.2562380872840251</v>
      </c>
      <c r="M17" s="246">
        <f t="shared" si="4"/>
        <v>3.3213628490297062</v>
      </c>
      <c r="N17" s="246">
        <f t="shared" si="4"/>
        <v>3.3877901060103</v>
      </c>
      <c r="O17" s="249"/>
    </row>
    <row r="18" spans="2:15">
      <c r="B18" s="227" t="s">
        <v>530</v>
      </c>
      <c r="C18" s="228"/>
      <c r="D18" s="228" t="s">
        <v>529</v>
      </c>
      <c r="E18" s="256">
        <f t="shared" ref="E18:H18" si="5">(E11*E13)/(100-E9)*100</f>
        <v>0.14445588082235852</v>
      </c>
      <c r="F18" s="256">
        <f t="shared" si="5"/>
        <v>2.9762816321904979E-2</v>
      </c>
      <c r="G18" s="256">
        <f t="shared" si="5"/>
        <v>2.9762816321904979E-2</v>
      </c>
      <c r="H18" s="256">
        <f t="shared" si="5"/>
        <v>0.14177269706542947</v>
      </c>
      <c r="I18" s="246">
        <f t="shared" ref="I18:N18" si="6">(I11*I13)/(100-I9)*100</f>
        <v>2.06810750096569E-2</v>
      </c>
      <c r="J18" s="246">
        <f t="shared" si="6"/>
        <v>3.3579489366169175E-2</v>
      </c>
      <c r="K18" s="246">
        <f t="shared" si="6"/>
        <v>3.4251079153492549E-2</v>
      </c>
      <c r="L18" s="246">
        <f t="shared" si="6"/>
        <v>3.4936100736562406E-2</v>
      </c>
      <c r="M18" s="246">
        <f t="shared" si="6"/>
        <v>3.5634822751293656E-2</v>
      </c>
      <c r="N18" s="246">
        <f t="shared" si="6"/>
        <v>3.6347519206319526E-2</v>
      </c>
      <c r="O18" s="249"/>
    </row>
    <row r="19" spans="2:15">
      <c r="B19" s="231" t="s">
        <v>371</v>
      </c>
      <c r="C19" s="228"/>
      <c r="D19" s="231" t="s">
        <v>221</v>
      </c>
      <c r="E19" s="248">
        <f t="shared" ref="E19:N19" si="7">IFERROR(((E10-E11*E12/1000)*E15/E14+E11*E13)*100/(100-E9),0)</f>
        <v>3.4253134889822752</v>
      </c>
      <c r="F19" s="248">
        <f t="shared" si="7"/>
        <v>3.185773241586118</v>
      </c>
      <c r="G19" s="248">
        <f t="shared" si="7"/>
        <v>3.185773241586118</v>
      </c>
      <c r="H19" s="248">
        <f t="shared" si="7"/>
        <v>3.4255950719637895</v>
      </c>
      <c r="I19" s="248">
        <f t="shared" si="7"/>
        <v>3.2397279035963775</v>
      </c>
      <c r="J19" s="248">
        <f t="shared" si="7"/>
        <v>3.1633738831416638</v>
      </c>
      <c r="K19" s="248">
        <f t="shared" si="7"/>
        <v>3.2266413608044977</v>
      </c>
      <c r="L19" s="248">
        <f t="shared" si="7"/>
        <v>3.2911741880205878</v>
      </c>
      <c r="M19" s="248">
        <f t="shared" si="7"/>
        <v>3.3569976717809995</v>
      </c>
      <c r="N19" s="248">
        <f t="shared" si="7"/>
        <v>3.4241376252166202</v>
      </c>
      <c r="O19" s="249"/>
    </row>
    <row r="20" spans="2:15">
      <c r="E20" s="242"/>
      <c r="I20" s="243"/>
      <c r="J20" s="243"/>
      <c r="K20" s="243"/>
      <c r="L20" s="243"/>
      <c r="M20" s="243"/>
      <c r="N20" s="243"/>
    </row>
    <row r="21" spans="2:15">
      <c r="E21" s="242"/>
      <c r="F21" s="242"/>
      <c r="G21" s="242"/>
      <c r="H21" s="242"/>
      <c r="I21" s="242"/>
      <c r="J21" s="242"/>
      <c r="K21" s="242"/>
      <c r="L21" s="242"/>
      <c r="M21" s="242"/>
      <c r="N21" s="242"/>
    </row>
    <row r="22" spans="2:15" ht="48.75" customHeight="1">
      <c r="B22" s="375" t="s">
        <v>545</v>
      </c>
      <c r="C22" s="376"/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7"/>
    </row>
  </sheetData>
  <mergeCells count="10">
    <mergeCell ref="B2:N2"/>
    <mergeCell ref="B3:N3"/>
    <mergeCell ref="B4:N4"/>
    <mergeCell ref="B22:N22"/>
    <mergeCell ref="E6:G6"/>
    <mergeCell ref="H6:I6"/>
    <mergeCell ref="J6:N6"/>
    <mergeCell ref="B6:B8"/>
    <mergeCell ref="D6:D8"/>
    <mergeCell ref="C6:C8"/>
  </mergeCells>
  <pageMargins left="0.2" right="0.26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4"/>
  <sheetViews>
    <sheetView showGridLines="0" zoomScale="80" zoomScaleNormal="80" workbookViewId="0">
      <selection activeCell="F34" sqref="F34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7" width="0" style="19" hidden="1" customWidth="1"/>
    <col min="18" max="16384" width="9.28515625" style="19"/>
  </cols>
  <sheetData>
    <row r="2" spans="2:17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</row>
    <row r="3" spans="2:17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</row>
    <row r="4" spans="2:17" s="4" customFormat="1" ht="15.75">
      <c r="B4" s="310" t="s">
        <v>546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</row>
    <row r="7" spans="2:17" ht="12.75" customHeight="1">
      <c r="B7" s="317" t="s">
        <v>210</v>
      </c>
      <c r="C7" s="320" t="s">
        <v>18</v>
      </c>
      <c r="D7" s="314" t="s">
        <v>39</v>
      </c>
      <c r="E7" s="320" t="s">
        <v>1</v>
      </c>
      <c r="F7" s="324" t="s">
        <v>482</v>
      </c>
      <c r="G7" s="325"/>
      <c r="H7" s="326"/>
      <c r="I7" s="324" t="s">
        <v>483</v>
      </c>
      <c r="J7" s="325"/>
      <c r="K7" s="322" t="s">
        <v>252</v>
      </c>
      <c r="L7" s="322"/>
      <c r="M7" s="322"/>
      <c r="N7" s="322"/>
      <c r="O7" s="322"/>
      <c r="P7" s="322" t="s">
        <v>11</v>
      </c>
    </row>
    <row r="8" spans="2:17" ht="30" customHeight="1">
      <c r="B8" s="318"/>
      <c r="C8" s="320"/>
      <c r="D8" s="315"/>
      <c r="E8" s="320"/>
      <c r="F8" s="21" t="s">
        <v>394</v>
      </c>
      <c r="G8" s="21" t="s">
        <v>255</v>
      </c>
      <c r="H8" s="21" t="s">
        <v>226</v>
      </c>
      <c r="I8" s="21" t="s">
        <v>394</v>
      </c>
      <c r="J8" s="21" t="s">
        <v>259</v>
      </c>
      <c r="K8" s="21" t="s">
        <v>484</v>
      </c>
      <c r="L8" s="21" t="s">
        <v>485</v>
      </c>
      <c r="M8" s="21" t="s">
        <v>486</v>
      </c>
      <c r="N8" s="21" t="s">
        <v>487</v>
      </c>
      <c r="O8" s="21" t="s">
        <v>488</v>
      </c>
      <c r="P8" s="322"/>
    </row>
    <row r="9" spans="2:17" ht="15">
      <c r="B9" s="319"/>
      <c r="C9" s="321"/>
      <c r="D9" s="316"/>
      <c r="E9" s="321"/>
      <c r="F9" s="21" t="s">
        <v>10</v>
      </c>
      <c r="G9" s="21" t="s">
        <v>12</v>
      </c>
      <c r="H9" s="21" t="s">
        <v>256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323"/>
    </row>
    <row r="10" spans="2:17" ht="15">
      <c r="B10" s="28" t="s">
        <v>67</v>
      </c>
      <c r="C10" s="29" t="s">
        <v>262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7" ht="15">
      <c r="B11" s="2">
        <v>1</v>
      </c>
      <c r="C11" s="3" t="s">
        <v>36</v>
      </c>
      <c r="D11" s="2" t="s">
        <v>222</v>
      </c>
      <c r="E11" s="23" t="s">
        <v>301</v>
      </c>
      <c r="F11" s="165">
        <f>'F2'!E14</f>
        <v>180.47304000000003</v>
      </c>
      <c r="G11" s="165">
        <f>'F2'!F14</f>
        <v>249.98956286474152</v>
      </c>
      <c r="H11" s="165">
        <f>'F2'!G14</f>
        <v>249.98956286474152</v>
      </c>
      <c r="I11" s="165">
        <f>'F2'!H14</f>
        <v>189.93150000000003</v>
      </c>
      <c r="J11" s="165">
        <f>'F2'!I14</f>
        <v>258.68990586925543</v>
      </c>
      <c r="K11" s="165">
        <f>'F2'!J14</f>
        <v>252.96382639543856</v>
      </c>
      <c r="L11" s="165">
        <f>'F2'!K14</f>
        <v>265.30754525163792</v>
      </c>
      <c r="M11" s="165">
        <f>'F2'!L14</f>
        <v>278.33655884224532</v>
      </c>
      <c r="N11" s="165">
        <f>'F2'!M14</f>
        <v>292.41982064481704</v>
      </c>
      <c r="O11" s="165">
        <f>'F2'!N14</f>
        <v>306.97964710503237</v>
      </c>
      <c r="P11" s="171"/>
      <c r="Q11" s="190">
        <f>SUM(K11:O11)</f>
        <v>1396.0073982391712</v>
      </c>
    </row>
    <row r="12" spans="2:17" ht="15">
      <c r="B12" s="2">
        <f t="shared" ref="B12:B17" si="0">B11+1</f>
        <v>2</v>
      </c>
      <c r="C12" s="24" t="s">
        <v>176</v>
      </c>
      <c r="D12" s="2" t="s">
        <v>222</v>
      </c>
      <c r="E12" s="23" t="s">
        <v>23</v>
      </c>
      <c r="F12" s="172">
        <v>197.654</v>
      </c>
      <c r="G12" s="172">
        <f>H12</f>
        <v>194.37943745046041</v>
      </c>
      <c r="H12" s="165">
        <f>'F4'!K21-'F4'!L21</f>
        <v>194.37943745046041</v>
      </c>
      <c r="I12" s="171">
        <v>180.114</v>
      </c>
      <c r="J12" s="165">
        <f>'F4'!K38-'F4'!L38</f>
        <v>194.40595733818148</v>
      </c>
      <c r="K12" s="165">
        <f>'F4'!K55-'F4'!L55</f>
        <v>113.02408238323777</v>
      </c>
      <c r="L12" s="165">
        <f>'F4'!K72-'F4'!L72</f>
        <v>113.21251988323776</v>
      </c>
      <c r="M12" s="165">
        <f>'F4'!K89-'F4'!L89</f>
        <v>113.27791988323777</v>
      </c>
      <c r="N12" s="165">
        <f>'F4'!K106-'F4'!L106</f>
        <v>115.24891988323775</v>
      </c>
      <c r="O12" s="165">
        <f>'F4'!K123-'F4'!L123</f>
        <v>115.24891988323776</v>
      </c>
      <c r="P12" s="257"/>
      <c r="Q12" s="190">
        <f t="shared" ref="Q12:Q17" si="1">SUM(K12:O12)</f>
        <v>570.01236191618887</v>
      </c>
    </row>
    <row r="13" spans="2:17" ht="15">
      <c r="B13" s="2">
        <f t="shared" si="0"/>
        <v>3</v>
      </c>
      <c r="C13" s="3" t="s">
        <v>260</v>
      </c>
      <c r="D13" s="2" t="s">
        <v>222</v>
      </c>
      <c r="E13" s="22" t="s">
        <v>29</v>
      </c>
      <c r="F13" s="165">
        <f>'F5'!D22</f>
        <v>137.16</v>
      </c>
      <c r="G13" s="165">
        <f>'F5'!E22</f>
        <v>148.62218008851983</v>
      </c>
      <c r="H13" s="165">
        <f>'F5'!F22</f>
        <v>148.62218008851983</v>
      </c>
      <c r="I13" s="165">
        <f>'F5'!G22</f>
        <v>120.73</v>
      </c>
      <c r="J13" s="165">
        <f>'F5'!H22</f>
        <v>129.97089554948292</v>
      </c>
      <c r="K13" s="165">
        <f>'F5'!I22</f>
        <v>114.55426550382985</v>
      </c>
      <c r="L13" s="165">
        <f>'F5'!J22</f>
        <v>103.06314248710632</v>
      </c>
      <c r="M13" s="165">
        <f>'F5'!K22</f>
        <v>92.543472339132833</v>
      </c>
      <c r="N13" s="165">
        <f>'F5'!L22</f>
        <v>81.879633091159349</v>
      </c>
      <c r="O13" s="165">
        <f>'F5'!M22</f>
        <v>70.008994343185861</v>
      </c>
      <c r="P13" s="257"/>
      <c r="Q13" s="190">
        <f t="shared" si="1"/>
        <v>462.04950776441422</v>
      </c>
    </row>
    <row r="14" spans="2:17" ht="15">
      <c r="B14" s="2">
        <f t="shared" si="0"/>
        <v>4</v>
      </c>
      <c r="C14" s="24" t="s">
        <v>37</v>
      </c>
      <c r="D14" s="2" t="s">
        <v>222</v>
      </c>
      <c r="E14" s="22" t="s">
        <v>30</v>
      </c>
      <c r="F14" s="165">
        <f>'F6'!D20</f>
        <v>41.75</v>
      </c>
      <c r="G14" s="165">
        <f ca="1">'F6'!E20</f>
        <v>51.685478069138192</v>
      </c>
      <c r="H14" s="165">
        <f ca="1">'F6'!F20</f>
        <v>51.685478069138192</v>
      </c>
      <c r="I14" s="165">
        <f>'F6'!G20</f>
        <v>42.74</v>
      </c>
      <c r="J14" s="165">
        <f ca="1">'F6'!H20</f>
        <v>56.350328540086629</v>
      </c>
      <c r="K14" s="165">
        <f ca="1">'F6'!I20</f>
        <v>39.541109449856073</v>
      </c>
      <c r="L14" s="165">
        <f ca="1">'F6'!J20</f>
        <v>40.145656066203003</v>
      </c>
      <c r="M14" s="165">
        <f ca="1">'F6'!K20</f>
        <v>40.816150623346822</v>
      </c>
      <c r="N14" s="165">
        <f ca="1">'F6'!L20</f>
        <v>41.592193007831504</v>
      </c>
      <c r="O14" s="165">
        <f ca="1">'F6'!M20</f>
        <v>42.215336126138709</v>
      </c>
      <c r="P14" s="257"/>
      <c r="Q14" s="190">
        <f t="shared" ca="1" si="1"/>
        <v>204.3104452733761</v>
      </c>
    </row>
    <row r="15" spans="2:17" ht="15">
      <c r="B15" s="2">
        <f t="shared" si="0"/>
        <v>5</v>
      </c>
      <c r="C15" s="3" t="s">
        <v>261</v>
      </c>
      <c r="D15" s="2" t="s">
        <v>222</v>
      </c>
      <c r="E15" s="22" t="s">
        <v>31</v>
      </c>
      <c r="F15" s="165">
        <f>'F7'!D22</f>
        <v>213.57</v>
      </c>
      <c r="G15" s="165">
        <f>'F7'!E22</f>
        <v>233.92403252119544</v>
      </c>
      <c r="H15" s="165">
        <f>'F7'!F22</f>
        <v>233.92403252119544</v>
      </c>
      <c r="I15" s="165">
        <f>'F7'!G22</f>
        <v>215.68</v>
      </c>
      <c r="J15" s="165">
        <f>'F7'!H22</f>
        <v>233.97654013825769</v>
      </c>
      <c r="K15" s="165">
        <f>'F7'!I22</f>
        <v>234.33508327488374</v>
      </c>
      <c r="L15" s="165">
        <f>'F7'!J22</f>
        <v>234.47303228065667</v>
      </c>
      <c r="M15" s="165">
        <f>'F7'!K22</f>
        <v>235.45949195031676</v>
      </c>
      <c r="N15" s="165">
        <f>'F7'!L22</f>
        <v>236.41208576045145</v>
      </c>
      <c r="O15" s="165">
        <f>'F7'!M22</f>
        <v>236.41208576045145</v>
      </c>
      <c r="P15" s="257"/>
      <c r="Q15" s="190">
        <f t="shared" si="1"/>
        <v>1177.0917790267602</v>
      </c>
    </row>
    <row r="16" spans="2:17" ht="15">
      <c r="B16" s="2">
        <f t="shared" si="0"/>
        <v>6</v>
      </c>
      <c r="C16" s="3" t="s">
        <v>38</v>
      </c>
      <c r="D16" s="2" t="s">
        <v>222</v>
      </c>
      <c r="E16" s="22" t="s">
        <v>32</v>
      </c>
      <c r="F16" s="165"/>
      <c r="G16" s="165">
        <f>'F8'!E22</f>
        <v>28.012242529180579</v>
      </c>
      <c r="H16" s="165">
        <f>'F8'!F22</f>
        <v>28.012242529180579</v>
      </c>
      <c r="I16" s="165"/>
      <c r="J16" s="165">
        <f>'F8'!H22</f>
        <v>28.655426051370608</v>
      </c>
      <c r="K16" s="165">
        <f>'F8'!I22</f>
        <v>29.895234612137422</v>
      </c>
      <c r="L16" s="165">
        <f>'F8'!J22</f>
        <v>31.091043996622918</v>
      </c>
      <c r="M16" s="165">
        <f>'F8'!K22</f>
        <v>32.334685756487829</v>
      </c>
      <c r="N16" s="165">
        <f>'F8'!L22</f>
        <v>33.628073186747351</v>
      </c>
      <c r="O16" s="165">
        <f>'F8'!M22</f>
        <v>34.973196114217245</v>
      </c>
      <c r="P16" s="257"/>
      <c r="Q16" s="190">
        <f t="shared" si="1"/>
        <v>161.92223366621278</v>
      </c>
    </row>
    <row r="17" spans="2:17" ht="15">
      <c r="B17" s="20">
        <f t="shared" si="0"/>
        <v>7</v>
      </c>
      <c r="C17" s="25" t="s">
        <v>262</v>
      </c>
      <c r="D17" s="20" t="s">
        <v>222</v>
      </c>
      <c r="E17" s="22"/>
      <c r="F17" s="165">
        <f>SUM(F11:F16)</f>
        <v>770.6070400000001</v>
      </c>
      <c r="G17" s="165">
        <f ca="1">SUM(G11:G15)-G16</f>
        <v>850.58844846487489</v>
      </c>
      <c r="H17" s="165">
        <f t="shared" ref="H17:O17" ca="1" si="2">SUM(H11:H15)-H16</f>
        <v>850.58844846487489</v>
      </c>
      <c r="I17" s="165">
        <f t="shared" si="2"/>
        <v>749.19550000000004</v>
      </c>
      <c r="J17" s="165">
        <f t="shared" ca="1" si="2"/>
        <v>844.73820138389351</v>
      </c>
      <c r="K17" s="165">
        <f t="shared" ca="1" si="2"/>
        <v>724.52313239510852</v>
      </c>
      <c r="L17" s="165">
        <f t="shared" ca="1" si="2"/>
        <v>725.1108519722186</v>
      </c>
      <c r="M17" s="165">
        <f t="shared" ca="1" si="2"/>
        <v>728.09890788179166</v>
      </c>
      <c r="N17" s="165">
        <f t="shared" ca="1" si="2"/>
        <v>733.9245792007498</v>
      </c>
      <c r="O17" s="165">
        <f t="shared" ca="1" si="2"/>
        <v>735.89178710382885</v>
      </c>
      <c r="P17" s="257"/>
      <c r="Q17" s="190">
        <f t="shared" ca="1" si="1"/>
        <v>3647.5492585536972</v>
      </c>
    </row>
    <row r="18" spans="2:17" ht="15">
      <c r="B18" s="20" t="s">
        <v>71</v>
      </c>
      <c r="C18" s="20" t="s">
        <v>263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258"/>
    </row>
    <row r="19" spans="2:17" ht="15">
      <c r="B19" s="2">
        <v>1</v>
      </c>
      <c r="C19" s="22" t="s">
        <v>264</v>
      </c>
      <c r="D19" s="2" t="s">
        <v>221</v>
      </c>
      <c r="E19" s="22" t="s">
        <v>172</v>
      </c>
      <c r="F19" s="165">
        <f>'F12'!E19</f>
        <v>3.4253134889822752</v>
      </c>
      <c r="G19" s="165">
        <f>'F12'!F19</f>
        <v>3.185773241586118</v>
      </c>
      <c r="H19" s="165">
        <f>'F12'!G19</f>
        <v>3.185773241586118</v>
      </c>
      <c r="I19" s="165">
        <f>'F12'!H19</f>
        <v>3.4255950719637895</v>
      </c>
      <c r="J19" s="165">
        <f>'F12'!I19</f>
        <v>3.2397279035963775</v>
      </c>
      <c r="K19" s="165">
        <f>'F12'!J19</f>
        <v>3.1633738831416638</v>
      </c>
      <c r="L19" s="165">
        <f>'F12'!K19</f>
        <v>3.2266413608044977</v>
      </c>
      <c r="M19" s="165">
        <f>'F12'!L19</f>
        <v>3.2911741880205878</v>
      </c>
      <c r="N19" s="165">
        <f>'F12'!M19</f>
        <v>3.3569976717809995</v>
      </c>
      <c r="O19" s="165">
        <f>'F12'!N19</f>
        <v>3.4241376252166202</v>
      </c>
      <c r="P19" s="258"/>
    </row>
    <row r="20" spans="2:17" ht="15">
      <c r="B20" s="2">
        <f>B19+1</f>
        <v>2</v>
      </c>
      <c r="C20" s="22" t="s">
        <v>265</v>
      </c>
      <c r="D20" s="2" t="s">
        <v>45</v>
      </c>
      <c r="E20" s="22" t="s">
        <v>34</v>
      </c>
      <c r="F20" s="165">
        <f>G20</f>
        <v>4166.55</v>
      </c>
      <c r="G20" s="165">
        <f>'F10'!F30</f>
        <v>4166.55</v>
      </c>
      <c r="H20" s="165">
        <f>'F10'!G30</f>
        <v>4166.55</v>
      </c>
      <c r="I20" s="165">
        <f>J20</f>
        <v>4219.000728</v>
      </c>
      <c r="J20" s="165">
        <f>'F10'!I30</f>
        <v>4219.000728</v>
      </c>
      <c r="K20" s="165">
        <f>'F10'!J30</f>
        <v>4235.1000000000004</v>
      </c>
      <c r="L20" s="165">
        <f>'F10'!K30</f>
        <v>4233.05</v>
      </c>
      <c r="M20" s="165">
        <f>'F10'!L30</f>
        <v>4236.46</v>
      </c>
      <c r="N20" s="165">
        <f>'F10'!M30</f>
        <v>4244.6500000000005</v>
      </c>
      <c r="O20" s="165">
        <f>'F10'!N30</f>
        <v>4231.9299999999994</v>
      </c>
      <c r="P20" s="258"/>
    </row>
    <row r="21" spans="2:17" ht="15">
      <c r="B21" s="2">
        <f>B20+1</f>
        <v>3</v>
      </c>
      <c r="C21" s="22" t="s">
        <v>263</v>
      </c>
      <c r="D21" s="2" t="s">
        <v>222</v>
      </c>
      <c r="E21" s="22"/>
      <c r="F21" s="165">
        <f>F19*F20/10</f>
        <v>1427.1739917519099</v>
      </c>
      <c r="G21" s="165">
        <f t="shared" ref="G21:O21" si="3">G19*G20/10</f>
        <v>1327.3683499730639</v>
      </c>
      <c r="H21" s="165">
        <f t="shared" si="3"/>
        <v>1327.3683499730639</v>
      </c>
      <c r="I21" s="165">
        <f t="shared" si="3"/>
        <v>1445.258810244844</v>
      </c>
      <c r="J21" s="165">
        <f t="shared" si="3"/>
        <v>1366.841438379503</v>
      </c>
      <c r="K21" s="165">
        <f t="shared" si="3"/>
        <v>1339.720473249326</v>
      </c>
      <c r="L21" s="165">
        <f t="shared" si="3"/>
        <v>1365.8534212353479</v>
      </c>
      <c r="M21" s="165">
        <f t="shared" si="3"/>
        <v>1394.2927800581699</v>
      </c>
      <c r="N21" s="165">
        <f t="shared" si="3"/>
        <v>1424.9280167525221</v>
      </c>
      <c r="O21" s="165">
        <f t="shared" si="3"/>
        <v>1449.0710740282971</v>
      </c>
      <c r="P21" s="258"/>
    </row>
    <row r="22" spans="2:17" ht="15">
      <c r="B22" s="20" t="s">
        <v>72</v>
      </c>
      <c r="C22" s="20" t="s">
        <v>429</v>
      </c>
      <c r="D22" s="2" t="s">
        <v>222</v>
      </c>
      <c r="E22" s="3"/>
      <c r="F22" s="165">
        <f>F17+F21</f>
        <v>2197.7810317519097</v>
      </c>
      <c r="G22" s="165">
        <f t="shared" ref="G22:O22" ca="1" si="4">G17+G21</f>
        <v>2177.9567984379387</v>
      </c>
      <c r="H22" s="165">
        <f t="shared" ca="1" si="4"/>
        <v>2177.9567984379387</v>
      </c>
      <c r="I22" s="165">
        <f t="shared" si="4"/>
        <v>2194.4543102448442</v>
      </c>
      <c r="J22" s="165">
        <f t="shared" ca="1" si="4"/>
        <v>2211.5796397633967</v>
      </c>
      <c r="K22" s="165">
        <f t="shared" ca="1" si="4"/>
        <v>2064.2436056444344</v>
      </c>
      <c r="L22" s="165">
        <f t="shared" ca="1" si="4"/>
        <v>2090.9642732075663</v>
      </c>
      <c r="M22" s="165">
        <f t="shared" ca="1" si="4"/>
        <v>2122.3916879399617</v>
      </c>
      <c r="N22" s="165">
        <f t="shared" ca="1" si="4"/>
        <v>2158.8525959532717</v>
      </c>
      <c r="O22" s="165">
        <f t="shared" ca="1" si="4"/>
        <v>2184.9628611321259</v>
      </c>
      <c r="P22" s="258"/>
    </row>
    <row r="23" spans="2:17" hidden="1">
      <c r="F23" s="190">
        <f>SUM(F17+F16)</f>
        <v>770.6070400000001</v>
      </c>
      <c r="G23" s="190">
        <f t="shared" ref="G23:O23" ca="1" si="5">SUM(G17+G16)</f>
        <v>878.60069099405541</v>
      </c>
      <c r="H23" s="190">
        <f t="shared" ca="1" si="5"/>
        <v>878.60069099405541</v>
      </c>
      <c r="I23" s="190">
        <f t="shared" si="5"/>
        <v>749.19550000000004</v>
      </c>
      <c r="J23" s="190">
        <f t="shared" ca="1" si="5"/>
        <v>873.39362743526408</v>
      </c>
      <c r="K23" s="190">
        <f t="shared" ca="1" si="5"/>
        <v>754.41836700724593</v>
      </c>
      <c r="L23" s="190">
        <f t="shared" ca="1" si="5"/>
        <v>756.20189596884154</v>
      </c>
      <c r="M23" s="190">
        <f t="shared" ca="1" si="5"/>
        <v>760.43359363827949</v>
      </c>
      <c r="N23" s="190">
        <f t="shared" ca="1" si="5"/>
        <v>767.55265238749712</v>
      </c>
      <c r="O23" s="190">
        <f t="shared" ca="1" si="5"/>
        <v>770.86498321804606</v>
      </c>
      <c r="Q23" s="190">
        <f ca="1">Q17+Q16</f>
        <v>3809.47149221991</v>
      </c>
    </row>
    <row r="24" spans="2:17">
      <c r="G24" s="263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71"/>
  <sheetViews>
    <sheetView showGridLines="0" view="pageBreakPreview" topLeftCell="A16" zoomScale="60" zoomScaleNormal="80" workbookViewId="0">
      <selection activeCell="B2" sqref="B2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>
      <c r="B1" s="119"/>
    </row>
    <row r="2" spans="1:17" ht="14.25" customHeight="1">
      <c r="B2" s="335" t="s">
        <v>534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</row>
    <row r="3" spans="1:17" ht="14.25" customHeight="1">
      <c r="B3" s="335" t="s">
        <v>514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</row>
    <row r="4" spans="1:17" ht="15">
      <c r="B4" s="333" t="s">
        <v>385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</row>
    <row r="5" spans="1:17" ht="15">
      <c r="B5" s="30" t="s">
        <v>482</v>
      </c>
      <c r="C5" s="96"/>
      <c r="D5" s="96"/>
      <c r="E5" s="96"/>
      <c r="F5" s="96"/>
      <c r="G5" s="96"/>
      <c r="H5" s="96"/>
      <c r="I5" s="42"/>
    </row>
    <row r="6" spans="1:17" ht="15">
      <c r="B6" s="30" t="s">
        <v>12</v>
      </c>
      <c r="C6" s="31"/>
      <c r="D6" s="31"/>
      <c r="O6" s="31" t="s">
        <v>140</v>
      </c>
    </row>
    <row r="7" spans="1:17" s="39" customFormat="1" ht="15" customHeight="1">
      <c r="B7" s="37" t="s">
        <v>386</v>
      </c>
      <c r="C7" s="37" t="s">
        <v>141</v>
      </c>
      <c r="D7" s="37" t="s">
        <v>142</v>
      </c>
      <c r="E7" s="120" t="s">
        <v>143</v>
      </c>
      <c r="F7" s="120" t="s">
        <v>144</v>
      </c>
      <c r="G7" s="120" t="s">
        <v>145</v>
      </c>
      <c r="H7" s="120" t="s">
        <v>146</v>
      </c>
      <c r="I7" s="120" t="s">
        <v>147</v>
      </c>
      <c r="J7" s="120" t="s">
        <v>148</v>
      </c>
      <c r="K7" s="120" t="s">
        <v>149</v>
      </c>
      <c r="L7" s="120" t="s">
        <v>150</v>
      </c>
      <c r="M7" s="120" t="s">
        <v>151</v>
      </c>
      <c r="N7" s="120" t="s">
        <v>152</v>
      </c>
      <c r="O7" s="120" t="s">
        <v>139</v>
      </c>
    </row>
    <row r="8" spans="1:17" s="39" customFormat="1" ht="15">
      <c r="B8" s="94" t="s">
        <v>480</v>
      </c>
      <c r="C8" s="174">
        <v>229.78966643400003</v>
      </c>
      <c r="D8" s="174">
        <v>281.51986343050004</v>
      </c>
      <c r="E8" s="174">
        <v>266.28487947999997</v>
      </c>
      <c r="F8" s="174">
        <v>259.13508708900002</v>
      </c>
      <c r="G8" s="174">
        <v>207.50664365200001</v>
      </c>
      <c r="H8" s="174">
        <v>250.61076340400001</v>
      </c>
      <c r="I8" s="174">
        <v>252.47926745500001</v>
      </c>
      <c r="J8" s="174">
        <v>158.59447962900001</v>
      </c>
      <c r="K8" s="174">
        <v>262.51740647700001</v>
      </c>
      <c r="L8" s="174">
        <v>247.21455836500002</v>
      </c>
      <c r="M8" s="174">
        <v>254.246597162</v>
      </c>
      <c r="N8" s="174">
        <v>269.59886978200001</v>
      </c>
      <c r="O8" s="174">
        <f>SUM(C8:N8)</f>
        <v>2939.4980823594997</v>
      </c>
    </row>
    <row r="9" spans="1:17" s="39" customFormat="1" ht="15">
      <c r="B9" s="9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</row>
    <row r="10" spans="1:17" s="39" customFormat="1" ht="15">
      <c r="B10" s="94" t="s">
        <v>481</v>
      </c>
      <c r="C10" s="174">
        <v>95.922121565999987</v>
      </c>
      <c r="D10" s="174">
        <v>117.51608756949997</v>
      </c>
      <c r="E10" s="174">
        <v>111.15648052</v>
      </c>
      <c r="F10" s="174">
        <v>108.171910911</v>
      </c>
      <c r="G10" s="174">
        <v>86.62042034800001</v>
      </c>
      <c r="H10" s="174">
        <v>104.613564596</v>
      </c>
      <c r="I10" s="174">
        <v>105.393542545</v>
      </c>
      <c r="J10" s="174">
        <v>66.202798371</v>
      </c>
      <c r="K10" s="174">
        <v>109.58380752300002</v>
      </c>
      <c r="L10" s="174">
        <v>103.195871635</v>
      </c>
      <c r="M10" s="174">
        <v>106.13128683799999</v>
      </c>
      <c r="N10" s="174">
        <v>112.53985421800002</v>
      </c>
      <c r="O10" s="174">
        <f>SUM(C10:N10)</f>
        <v>1227.0477466405</v>
      </c>
    </row>
    <row r="11" spans="1:17" s="39" customFormat="1" ht="15">
      <c r="B11" s="44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7" ht="15">
      <c r="B12" s="46" t="s">
        <v>139</v>
      </c>
      <c r="C12" s="140">
        <f>C8+C10</f>
        <v>325.71178800000001</v>
      </c>
      <c r="D12" s="140">
        <f t="shared" ref="D12:N12" si="0">D8+D10</f>
        <v>399.03595100000001</v>
      </c>
      <c r="E12" s="140">
        <f t="shared" si="0"/>
        <v>377.44135999999997</v>
      </c>
      <c r="F12" s="140">
        <f t="shared" si="0"/>
        <v>367.30699800000002</v>
      </c>
      <c r="G12" s="140">
        <f t="shared" si="0"/>
        <v>294.12706400000002</v>
      </c>
      <c r="H12" s="140">
        <f t="shared" si="0"/>
        <v>355.22432800000001</v>
      </c>
      <c r="I12" s="140">
        <f t="shared" si="0"/>
        <v>357.87281000000002</v>
      </c>
      <c r="J12" s="140">
        <f t="shared" si="0"/>
        <v>224.79727800000001</v>
      </c>
      <c r="K12" s="140">
        <f t="shared" si="0"/>
        <v>372.10121400000003</v>
      </c>
      <c r="L12" s="140">
        <f t="shared" si="0"/>
        <v>350.41043000000002</v>
      </c>
      <c r="M12" s="140">
        <f t="shared" si="0"/>
        <v>360.37788399999999</v>
      </c>
      <c r="N12" s="140">
        <f t="shared" si="0"/>
        <v>382.13872400000002</v>
      </c>
      <c r="O12" s="140">
        <f>O8+O10</f>
        <v>4166.5458289999997</v>
      </c>
    </row>
    <row r="13" spans="1:17" ht="16.5">
      <c r="B13" s="30"/>
      <c r="C13" s="96"/>
      <c r="D13" s="96"/>
      <c r="E13" s="96"/>
      <c r="F13" s="96"/>
      <c r="G13" s="96"/>
      <c r="H13" s="96"/>
      <c r="I13" s="112"/>
    </row>
    <row r="14" spans="1:17" ht="16.5">
      <c r="B14" s="30" t="s">
        <v>483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42"/>
      <c r="P14" s="112"/>
    </row>
    <row r="15" spans="1:17" ht="16.5">
      <c r="A15" s="5" t="s">
        <v>384</v>
      </c>
      <c r="B15" s="30" t="s">
        <v>5</v>
      </c>
      <c r="C15" s="31"/>
      <c r="D15" s="31"/>
      <c r="O15" s="31" t="s">
        <v>140</v>
      </c>
      <c r="P15" s="112"/>
    </row>
    <row r="16" spans="1:17" ht="18.75" customHeight="1">
      <c r="B16" s="330" t="s">
        <v>386</v>
      </c>
      <c r="C16" s="379" t="s">
        <v>153</v>
      </c>
      <c r="D16" s="349"/>
      <c r="E16" s="349"/>
      <c r="F16" s="349"/>
      <c r="G16" s="349"/>
      <c r="H16" s="350"/>
      <c r="I16" s="379" t="s">
        <v>5</v>
      </c>
      <c r="J16" s="349"/>
      <c r="K16" s="349"/>
      <c r="L16" s="349"/>
      <c r="M16" s="349"/>
      <c r="N16" s="350"/>
      <c r="O16" s="37" t="s">
        <v>154</v>
      </c>
      <c r="P16" s="112"/>
      <c r="Q16" s="112"/>
    </row>
    <row r="17" spans="2:15" ht="15">
      <c r="B17" s="332"/>
      <c r="C17" s="37" t="s">
        <v>141</v>
      </c>
      <c r="D17" s="37" t="s">
        <v>142</v>
      </c>
      <c r="E17" s="120" t="s">
        <v>143</v>
      </c>
      <c r="F17" s="120" t="s">
        <v>144</v>
      </c>
      <c r="G17" s="120" t="s">
        <v>145</v>
      </c>
      <c r="H17" s="120" t="s">
        <v>146</v>
      </c>
      <c r="I17" s="120" t="s">
        <v>147</v>
      </c>
      <c r="J17" s="120" t="s">
        <v>148</v>
      </c>
      <c r="K17" s="120" t="s">
        <v>149</v>
      </c>
      <c r="L17" s="120" t="s">
        <v>150</v>
      </c>
      <c r="M17" s="120" t="s">
        <v>151</v>
      </c>
      <c r="N17" s="120" t="s">
        <v>152</v>
      </c>
      <c r="O17" s="27"/>
    </row>
    <row r="18" spans="2:15" s="39" customFormat="1" ht="15">
      <c r="B18" s="94" t="s">
        <v>480</v>
      </c>
      <c r="C18" s="174">
        <v>262.91868500000004</v>
      </c>
      <c r="D18" s="174">
        <v>247.94797499999999</v>
      </c>
      <c r="E18" s="174">
        <v>254.16343000000001</v>
      </c>
      <c r="F18" s="188">
        <v>192.94719500000002</v>
      </c>
      <c r="G18" s="174">
        <v>268.56974000000002</v>
      </c>
      <c r="H18" s="174">
        <v>233.79564500000001</v>
      </c>
      <c r="I18" s="174">
        <v>248.71697000000003</v>
      </c>
      <c r="J18" s="174">
        <v>239.96877000000001</v>
      </c>
      <c r="K18" s="174">
        <v>248.89334500000001</v>
      </c>
      <c r="L18" s="174">
        <f>380.15*0.7055</f>
        <v>268.19582500000001</v>
      </c>
      <c r="M18" s="174">
        <f>343.04*0.7055</f>
        <v>242.01472000000001</v>
      </c>
      <c r="N18" s="174">
        <f>380.409831*0.7055</f>
        <v>268.3791357705</v>
      </c>
      <c r="O18" s="188">
        <f>SUM(C18:N18)</f>
        <v>2976.5114357705002</v>
      </c>
    </row>
    <row r="19" spans="2:15" s="39" customFormat="1" ht="15">
      <c r="B19" s="9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46"/>
      <c r="N19" s="46"/>
      <c r="O19" s="188"/>
    </row>
    <row r="20" spans="2:15" s="39" customFormat="1" ht="15">
      <c r="B20" s="94" t="s">
        <v>481</v>
      </c>
      <c r="C20" s="174">
        <v>109.75131499999998</v>
      </c>
      <c r="D20" s="174">
        <v>103.502025</v>
      </c>
      <c r="E20" s="174">
        <v>106.09656999999999</v>
      </c>
      <c r="F20" s="174">
        <v>80.542804999999987</v>
      </c>
      <c r="G20" s="174">
        <v>112.11025999999998</v>
      </c>
      <c r="H20" s="174">
        <v>97.594354999999979</v>
      </c>
      <c r="I20" s="174">
        <v>103.82302999999999</v>
      </c>
      <c r="J20" s="174">
        <v>100.17122999999998</v>
      </c>
      <c r="K20" s="174">
        <v>103.896655</v>
      </c>
      <c r="L20" s="174">
        <f>380.15*0.2945</f>
        <v>111.95417499999999</v>
      </c>
      <c r="M20" s="174">
        <f>343.04*0.2945</f>
        <v>101.02528</v>
      </c>
      <c r="N20" s="174">
        <f>380.409831*0.2945</f>
        <v>112.0306952295</v>
      </c>
      <c r="O20" s="188">
        <f>SUM(C20:N20)</f>
        <v>1242.4983952294999</v>
      </c>
    </row>
    <row r="21" spans="2:15" s="39" customFormat="1" ht="15">
      <c r="B21" s="44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</row>
    <row r="22" spans="2:15" ht="15">
      <c r="B22" s="46" t="s">
        <v>139</v>
      </c>
      <c r="C22" s="140">
        <f>C18+C20</f>
        <v>372.67</v>
      </c>
      <c r="D22" s="140">
        <f t="shared" ref="D22:N22" si="1">D18+D20</f>
        <v>351.45</v>
      </c>
      <c r="E22" s="140">
        <f t="shared" si="1"/>
        <v>360.26</v>
      </c>
      <c r="F22" s="140">
        <f t="shared" si="1"/>
        <v>273.49</v>
      </c>
      <c r="G22" s="140">
        <f t="shared" si="1"/>
        <v>380.68</v>
      </c>
      <c r="H22" s="140">
        <f t="shared" si="1"/>
        <v>331.39</v>
      </c>
      <c r="I22" s="140">
        <f t="shared" si="1"/>
        <v>352.54</v>
      </c>
      <c r="J22" s="140">
        <f t="shared" si="1"/>
        <v>340.14</v>
      </c>
      <c r="K22" s="140">
        <f t="shared" si="1"/>
        <v>352.79</v>
      </c>
      <c r="L22" s="140">
        <f t="shared" si="1"/>
        <v>380.15</v>
      </c>
      <c r="M22" s="140">
        <f t="shared" si="1"/>
        <v>343.04</v>
      </c>
      <c r="N22" s="140">
        <f t="shared" si="1"/>
        <v>380.409831</v>
      </c>
      <c r="O22" s="140">
        <f>O18+O20</f>
        <v>4219.0098310000003</v>
      </c>
    </row>
    <row r="24" spans="2:15" ht="15">
      <c r="B24" s="30" t="s">
        <v>484</v>
      </c>
      <c r="C24" s="96"/>
      <c r="D24" s="96"/>
      <c r="E24" s="96"/>
      <c r="F24" s="96"/>
      <c r="G24" s="96"/>
      <c r="H24" s="96"/>
      <c r="I24" s="42"/>
    </row>
    <row r="25" spans="2:15" ht="15">
      <c r="B25" s="30" t="s">
        <v>8</v>
      </c>
      <c r="C25" s="31"/>
      <c r="D25" s="31"/>
      <c r="O25" s="31" t="s">
        <v>140</v>
      </c>
    </row>
    <row r="26" spans="2:15" ht="15">
      <c r="B26" s="37" t="s">
        <v>386</v>
      </c>
      <c r="C26" s="37" t="s">
        <v>141</v>
      </c>
      <c r="D26" s="37" t="s">
        <v>142</v>
      </c>
      <c r="E26" s="120" t="s">
        <v>143</v>
      </c>
      <c r="F26" s="120" t="s">
        <v>144</v>
      </c>
      <c r="G26" s="120" t="s">
        <v>145</v>
      </c>
      <c r="H26" s="120" t="s">
        <v>146</v>
      </c>
      <c r="I26" s="120" t="s">
        <v>147</v>
      </c>
      <c r="J26" s="120" t="s">
        <v>148</v>
      </c>
      <c r="K26" s="120" t="s">
        <v>149</v>
      </c>
      <c r="L26" s="120" t="s">
        <v>150</v>
      </c>
      <c r="M26" s="120" t="s">
        <v>151</v>
      </c>
      <c r="N26" s="120" t="s">
        <v>152</v>
      </c>
      <c r="O26" s="120" t="s">
        <v>139</v>
      </c>
    </row>
    <row r="27" spans="2:15" ht="15">
      <c r="B27" s="94" t="s">
        <v>480</v>
      </c>
      <c r="C27" s="174">
        <v>280.11172000000005</v>
      </c>
      <c r="D27" s="174">
        <v>289.45254</v>
      </c>
      <c r="E27" s="174">
        <v>0</v>
      </c>
      <c r="F27" s="174">
        <v>149.389625</v>
      </c>
      <c r="G27" s="174">
        <v>289.45254</v>
      </c>
      <c r="H27" s="174">
        <v>280.11172000000005</v>
      </c>
      <c r="I27" s="174">
        <v>289.45254</v>
      </c>
      <c r="J27" s="174">
        <v>280.11172000000005</v>
      </c>
      <c r="K27" s="174">
        <v>289.45254</v>
      </c>
      <c r="L27" s="174">
        <v>289.45254</v>
      </c>
      <c r="M27" s="174">
        <v>261.43713500000001</v>
      </c>
      <c r="N27" s="174">
        <v>289.45254</v>
      </c>
      <c r="O27" s="174">
        <f>SUM(C27:N27)</f>
        <v>2987.8771600000009</v>
      </c>
    </row>
    <row r="28" spans="2:15" ht="15">
      <c r="B28" s="9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</row>
    <row r="29" spans="2:15" ht="15">
      <c r="B29" s="94" t="s">
        <v>481</v>
      </c>
      <c r="C29" s="174">
        <v>116.92828</v>
      </c>
      <c r="D29" s="174">
        <v>120.82745999999999</v>
      </c>
      <c r="E29" s="174">
        <v>0</v>
      </c>
      <c r="F29" s="174">
        <v>62.360374999999998</v>
      </c>
      <c r="G29" s="174">
        <v>120.82745999999999</v>
      </c>
      <c r="H29" s="174">
        <v>116.92828</v>
      </c>
      <c r="I29" s="174">
        <v>120.82745999999999</v>
      </c>
      <c r="J29" s="174">
        <v>116.92828</v>
      </c>
      <c r="K29" s="174">
        <v>120.82745999999999</v>
      </c>
      <c r="L29" s="174">
        <v>120.82745999999999</v>
      </c>
      <c r="M29" s="174">
        <v>109.132865</v>
      </c>
      <c r="N29" s="174">
        <v>120.82745999999999</v>
      </c>
      <c r="O29" s="174">
        <f t="shared" ref="O29" si="2">SUM(C29:N29)</f>
        <v>1247.2428399999999</v>
      </c>
    </row>
    <row r="30" spans="2:15" ht="15">
      <c r="B30" s="44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2:15" ht="15">
      <c r="B31" s="46" t="s">
        <v>139</v>
      </c>
      <c r="C31" s="140">
        <f>C27+C29</f>
        <v>397.04000000000008</v>
      </c>
      <c r="D31" s="140">
        <f t="shared" ref="D31:O31" si="3">D27+D29</f>
        <v>410.28</v>
      </c>
      <c r="E31" s="140">
        <f t="shared" si="3"/>
        <v>0</v>
      </c>
      <c r="F31" s="140">
        <f t="shared" si="3"/>
        <v>211.75</v>
      </c>
      <c r="G31" s="140">
        <f t="shared" si="3"/>
        <v>410.28</v>
      </c>
      <c r="H31" s="140">
        <f t="shared" si="3"/>
        <v>397.04000000000008</v>
      </c>
      <c r="I31" s="140">
        <f t="shared" si="3"/>
        <v>410.28</v>
      </c>
      <c r="J31" s="140">
        <f t="shared" si="3"/>
        <v>397.04000000000008</v>
      </c>
      <c r="K31" s="140">
        <f t="shared" si="3"/>
        <v>410.28</v>
      </c>
      <c r="L31" s="140">
        <f t="shared" si="3"/>
        <v>410.28</v>
      </c>
      <c r="M31" s="140">
        <f t="shared" si="3"/>
        <v>370.57</v>
      </c>
      <c r="N31" s="140">
        <f t="shared" si="3"/>
        <v>410.28</v>
      </c>
      <c r="O31" s="140">
        <f t="shared" si="3"/>
        <v>4235.1200000000008</v>
      </c>
    </row>
    <row r="34" spans="2:15" ht="15">
      <c r="B34" s="30" t="s">
        <v>485</v>
      </c>
      <c r="C34" s="96"/>
      <c r="D34" s="96"/>
      <c r="E34" s="96"/>
      <c r="F34" s="96"/>
      <c r="G34" s="96"/>
      <c r="H34" s="96"/>
      <c r="I34" s="42"/>
    </row>
    <row r="35" spans="2:15" ht="15">
      <c r="B35" s="30" t="s">
        <v>8</v>
      </c>
      <c r="C35" s="31"/>
      <c r="D35" s="31"/>
      <c r="O35" s="31" t="s">
        <v>140</v>
      </c>
    </row>
    <row r="36" spans="2:15" ht="15">
      <c r="B36" s="37" t="s">
        <v>386</v>
      </c>
      <c r="C36" s="37" t="s">
        <v>141</v>
      </c>
      <c r="D36" s="37" t="s">
        <v>142</v>
      </c>
      <c r="E36" s="120" t="s">
        <v>143</v>
      </c>
      <c r="F36" s="120" t="s">
        <v>144</v>
      </c>
      <c r="G36" s="120" t="s">
        <v>145</v>
      </c>
      <c r="H36" s="120" t="s">
        <v>146</v>
      </c>
      <c r="I36" s="120" t="s">
        <v>147</v>
      </c>
      <c r="J36" s="120" t="s">
        <v>148</v>
      </c>
      <c r="K36" s="120" t="s">
        <v>149</v>
      </c>
      <c r="L36" s="120" t="s">
        <v>150</v>
      </c>
      <c r="M36" s="120" t="s">
        <v>151</v>
      </c>
      <c r="N36" s="120" t="s">
        <v>152</v>
      </c>
      <c r="O36" s="120" t="s">
        <v>139</v>
      </c>
    </row>
    <row r="37" spans="2:15" ht="15">
      <c r="B37" s="94" t="s">
        <v>480</v>
      </c>
      <c r="C37" s="174">
        <v>245.45756000000003</v>
      </c>
      <c r="D37" s="174">
        <v>253.64135999999999</v>
      </c>
      <c r="E37" s="174">
        <v>245.45756000000003</v>
      </c>
      <c r="F37" s="174">
        <v>253.64135999999999</v>
      </c>
      <c r="G37" s="174">
        <v>253.64135999999999</v>
      </c>
      <c r="H37" s="174">
        <v>245.45756000000003</v>
      </c>
      <c r="I37" s="174">
        <v>253.64135999999999</v>
      </c>
      <c r="J37" s="174">
        <v>245.45756000000003</v>
      </c>
      <c r="K37" s="174">
        <v>253.64135999999999</v>
      </c>
      <c r="L37" s="174">
        <v>253.64135999999999</v>
      </c>
      <c r="M37" s="174">
        <v>229.09701500000003</v>
      </c>
      <c r="N37" s="174">
        <v>253.64135999999999</v>
      </c>
      <c r="O37" s="174">
        <f>SUM(C37:N37)</f>
        <v>2986.4167750000001</v>
      </c>
    </row>
    <row r="38" spans="2:15" ht="15">
      <c r="B38" s="9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</row>
    <row r="39" spans="2:15" ht="15">
      <c r="B39" s="94" t="s">
        <v>481</v>
      </c>
      <c r="C39" s="174">
        <v>102.46244</v>
      </c>
      <c r="D39" s="174">
        <v>105.87863999999999</v>
      </c>
      <c r="E39" s="174">
        <v>102.46244</v>
      </c>
      <c r="F39" s="174">
        <v>105.87863999999999</v>
      </c>
      <c r="G39" s="174">
        <v>105.87863999999999</v>
      </c>
      <c r="H39" s="174">
        <v>102.46244</v>
      </c>
      <c r="I39" s="174">
        <v>105.87863999999999</v>
      </c>
      <c r="J39" s="174">
        <v>102.46244</v>
      </c>
      <c r="K39" s="174">
        <v>105.87863999999999</v>
      </c>
      <c r="L39" s="174">
        <v>105.87863999999999</v>
      </c>
      <c r="M39" s="174">
        <v>95.632985000000005</v>
      </c>
      <c r="N39" s="174">
        <v>105.87863999999999</v>
      </c>
      <c r="O39" s="174">
        <f t="shared" ref="O39" si="4">SUM(C39:N39)</f>
        <v>1246.6332249999998</v>
      </c>
    </row>
    <row r="40" spans="2:15" ht="15">
      <c r="B40" s="44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</row>
    <row r="41" spans="2:15" ht="15">
      <c r="B41" s="46" t="s">
        <v>139</v>
      </c>
      <c r="C41" s="140">
        <f>C37+C39</f>
        <v>347.92</v>
      </c>
      <c r="D41" s="140">
        <f t="shared" ref="D41:O41" si="5">D37+D39</f>
        <v>359.52</v>
      </c>
      <c r="E41" s="140">
        <f t="shared" si="5"/>
        <v>347.92</v>
      </c>
      <c r="F41" s="140">
        <f t="shared" si="5"/>
        <v>359.52</v>
      </c>
      <c r="G41" s="140">
        <f t="shared" si="5"/>
        <v>359.52</v>
      </c>
      <c r="H41" s="140">
        <f t="shared" si="5"/>
        <v>347.92</v>
      </c>
      <c r="I41" s="140">
        <f t="shared" si="5"/>
        <v>359.52</v>
      </c>
      <c r="J41" s="140">
        <f t="shared" si="5"/>
        <v>347.92</v>
      </c>
      <c r="K41" s="140">
        <f t="shared" si="5"/>
        <v>359.52</v>
      </c>
      <c r="L41" s="140">
        <f t="shared" si="5"/>
        <v>359.52</v>
      </c>
      <c r="M41" s="140">
        <f t="shared" si="5"/>
        <v>324.73</v>
      </c>
      <c r="N41" s="140">
        <f t="shared" si="5"/>
        <v>359.52</v>
      </c>
      <c r="O41" s="140">
        <f t="shared" si="5"/>
        <v>4233.05</v>
      </c>
    </row>
    <row r="44" spans="2:15" ht="15">
      <c r="B44" s="30" t="s">
        <v>486</v>
      </c>
      <c r="C44" s="96"/>
      <c r="D44" s="96"/>
      <c r="E44" s="96"/>
      <c r="F44" s="96"/>
      <c r="G44" s="96"/>
      <c r="H44" s="96"/>
      <c r="I44" s="42"/>
    </row>
    <row r="45" spans="2:15" ht="15">
      <c r="B45" s="30" t="s">
        <v>8</v>
      </c>
      <c r="C45" s="31"/>
      <c r="D45" s="31"/>
      <c r="O45" s="31" t="s">
        <v>140</v>
      </c>
    </row>
    <row r="46" spans="2:15" ht="15">
      <c r="B46" s="37" t="s">
        <v>386</v>
      </c>
      <c r="C46" s="37" t="s">
        <v>141</v>
      </c>
      <c r="D46" s="37" t="s">
        <v>142</v>
      </c>
      <c r="E46" s="120" t="s">
        <v>143</v>
      </c>
      <c r="F46" s="120" t="s">
        <v>144</v>
      </c>
      <c r="G46" s="120" t="s">
        <v>145</v>
      </c>
      <c r="H46" s="120" t="s">
        <v>146</v>
      </c>
      <c r="I46" s="120" t="s">
        <v>147</v>
      </c>
      <c r="J46" s="120" t="s">
        <v>148</v>
      </c>
      <c r="K46" s="120" t="s">
        <v>149</v>
      </c>
      <c r="L46" s="120" t="s">
        <v>150</v>
      </c>
      <c r="M46" s="120" t="s">
        <v>151</v>
      </c>
      <c r="N46" s="120" t="s">
        <v>152</v>
      </c>
      <c r="O46" s="120" t="s">
        <v>139</v>
      </c>
    </row>
    <row r="47" spans="2:15" ht="15">
      <c r="B47" s="94" t="s">
        <v>480</v>
      </c>
      <c r="C47" s="174">
        <v>259.89914499999998</v>
      </c>
      <c r="D47" s="174">
        <v>268.56268500000004</v>
      </c>
      <c r="E47" s="174">
        <v>86.635400000000004</v>
      </c>
      <c r="F47" s="174">
        <v>268.56268500000004</v>
      </c>
      <c r="G47" s="174">
        <v>268.56268500000004</v>
      </c>
      <c r="H47" s="174">
        <v>259.89914499999998</v>
      </c>
      <c r="I47" s="174">
        <v>268.56268500000004</v>
      </c>
      <c r="J47" s="174">
        <v>259.89914499999998</v>
      </c>
      <c r="K47" s="174">
        <v>268.56268500000004</v>
      </c>
      <c r="L47" s="174">
        <v>268.56268500000004</v>
      </c>
      <c r="M47" s="174">
        <v>242.57206499999998</v>
      </c>
      <c r="N47" s="174">
        <v>268.56268500000004</v>
      </c>
      <c r="O47" s="174">
        <f>SUM(C47:N47)</f>
        <v>2988.8436949999996</v>
      </c>
    </row>
    <row r="48" spans="2:15" ht="15">
      <c r="B48" s="9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</row>
    <row r="49" spans="2:15" ht="15">
      <c r="B49" s="94" t="s">
        <v>481</v>
      </c>
      <c r="C49" s="174">
        <v>108.490855</v>
      </c>
      <c r="D49" s="174">
        <v>112.107315</v>
      </c>
      <c r="E49" s="174">
        <v>36.1646</v>
      </c>
      <c r="F49" s="174">
        <v>112.107315</v>
      </c>
      <c r="G49" s="174">
        <v>112.107315</v>
      </c>
      <c r="H49" s="174">
        <v>108.490855</v>
      </c>
      <c r="I49" s="174">
        <v>112.107315</v>
      </c>
      <c r="J49" s="174">
        <v>108.490855</v>
      </c>
      <c r="K49" s="174">
        <v>112.107315</v>
      </c>
      <c r="L49" s="174">
        <v>112.107315</v>
      </c>
      <c r="M49" s="174">
        <v>101.25793499999999</v>
      </c>
      <c r="N49" s="174">
        <v>112.107315</v>
      </c>
      <c r="O49" s="174">
        <f t="shared" ref="O49" si="6">SUM(C49:N49)</f>
        <v>1247.646305</v>
      </c>
    </row>
    <row r="50" spans="2:15" ht="15">
      <c r="B50" s="44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</row>
    <row r="51" spans="2:15" ht="15">
      <c r="B51" s="46" t="s">
        <v>139</v>
      </c>
      <c r="C51" s="140">
        <f>C47+C49</f>
        <v>368.39</v>
      </c>
      <c r="D51" s="140">
        <f t="shared" ref="D51:O51" si="7">D47+D49</f>
        <v>380.67000000000007</v>
      </c>
      <c r="E51" s="140">
        <f t="shared" si="7"/>
        <v>122.80000000000001</v>
      </c>
      <c r="F51" s="140">
        <f t="shared" si="7"/>
        <v>380.67000000000007</v>
      </c>
      <c r="G51" s="140">
        <f t="shared" si="7"/>
        <v>380.67000000000007</v>
      </c>
      <c r="H51" s="140">
        <f t="shared" si="7"/>
        <v>368.39</v>
      </c>
      <c r="I51" s="140">
        <f t="shared" si="7"/>
        <v>380.67000000000007</v>
      </c>
      <c r="J51" s="140">
        <f t="shared" si="7"/>
        <v>368.39</v>
      </c>
      <c r="K51" s="140">
        <f t="shared" si="7"/>
        <v>380.67000000000007</v>
      </c>
      <c r="L51" s="140">
        <f t="shared" si="7"/>
        <v>380.67000000000007</v>
      </c>
      <c r="M51" s="140">
        <f t="shared" si="7"/>
        <v>343.83</v>
      </c>
      <c r="N51" s="140">
        <f t="shared" si="7"/>
        <v>380.67000000000007</v>
      </c>
      <c r="O51" s="140">
        <f t="shared" si="7"/>
        <v>4236.49</v>
      </c>
    </row>
    <row r="54" spans="2:15" ht="15">
      <c r="B54" s="30" t="s">
        <v>487</v>
      </c>
      <c r="C54" s="96"/>
      <c r="D54" s="96"/>
      <c r="E54" s="96"/>
      <c r="F54" s="96"/>
      <c r="G54" s="96"/>
      <c r="H54" s="96"/>
      <c r="I54" s="42"/>
    </row>
    <row r="55" spans="2:15" ht="15">
      <c r="B55" s="30" t="s">
        <v>8</v>
      </c>
      <c r="C55" s="31"/>
      <c r="D55" s="31"/>
      <c r="O55" s="31" t="s">
        <v>140</v>
      </c>
    </row>
    <row r="56" spans="2:15" ht="15">
      <c r="B56" s="37" t="s">
        <v>386</v>
      </c>
      <c r="C56" s="37" t="s">
        <v>141</v>
      </c>
      <c r="D56" s="37" t="s">
        <v>142</v>
      </c>
      <c r="E56" s="120" t="s">
        <v>143</v>
      </c>
      <c r="F56" s="120" t="s">
        <v>144</v>
      </c>
      <c r="G56" s="120" t="s">
        <v>145</v>
      </c>
      <c r="H56" s="120" t="s">
        <v>146</v>
      </c>
      <c r="I56" s="120" t="s">
        <v>147</v>
      </c>
      <c r="J56" s="120" t="s">
        <v>148</v>
      </c>
      <c r="K56" s="120" t="s">
        <v>149</v>
      </c>
      <c r="L56" s="120" t="s">
        <v>150</v>
      </c>
      <c r="M56" s="120" t="s">
        <v>151</v>
      </c>
      <c r="N56" s="120" t="s">
        <v>152</v>
      </c>
      <c r="O56" s="120" t="s">
        <v>139</v>
      </c>
    </row>
    <row r="57" spans="2:15" ht="15">
      <c r="B57" s="94" t="s">
        <v>480</v>
      </c>
      <c r="C57" s="174">
        <v>245.45756000000003</v>
      </c>
      <c r="D57" s="174">
        <v>253.64135999999999</v>
      </c>
      <c r="E57" s="174">
        <v>245.45756000000003</v>
      </c>
      <c r="F57" s="174">
        <v>253.64135999999999</v>
      </c>
      <c r="G57" s="174">
        <v>253.64135999999999</v>
      </c>
      <c r="H57" s="174">
        <v>245.45756000000003</v>
      </c>
      <c r="I57" s="174">
        <v>253.64135999999999</v>
      </c>
      <c r="J57" s="174">
        <v>245.45756000000003</v>
      </c>
      <c r="K57" s="174">
        <v>253.64135999999999</v>
      </c>
      <c r="L57" s="174">
        <v>253.64135999999999</v>
      </c>
      <c r="M57" s="174">
        <v>237.27376000000001</v>
      </c>
      <c r="N57" s="174">
        <v>253.64135999999999</v>
      </c>
      <c r="O57" s="174">
        <f>SUM(C57:N57)</f>
        <v>2994.5935200000004</v>
      </c>
    </row>
    <row r="58" spans="2:15" ht="15">
      <c r="B58" s="9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</row>
    <row r="59" spans="2:15" ht="15">
      <c r="B59" s="94" t="s">
        <v>481</v>
      </c>
      <c r="C59" s="174">
        <v>102.46244</v>
      </c>
      <c r="D59" s="174">
        <v>105.87863999999999</v>
      </c>
      <c r="E59" s="174">
        <v>102.46244</v>
      </c>
      <c r="F59" s="174">
        <v>105.87863999999999</v>
      </c>
      <c r="G59" s="174">
        <v>105.87863999999999</v>
      </c>
      <c r="H59" s="174">
        <v>102.46244</v>
      </c>
      <c r="I59" s="174">
        <v>105.87863999999999</v>
      </c>
      <c r="J59" s="174">
        <v>102.46244</v>
      </c>
      <c r="K59" s="174">
        <v>105.87863999999999</v>
      </c>
      <c r="L59" s="174">
        <v>105.87863999999999</v>
      </c>
      <c r="M59" s="174">
        <v>99.046239999999997</v>
      </c>
      <c r="N59" s="174">
        <v>105.87863999999999</v>
      </c>
      <c r="O59" s="174">
        <f t="shared" ref="O59" si="8">SUM(C59:N59)</f>
        <v>1250.0464799999997</v>
      </c>
    </row>
    <row r="60" spans="2:15" ht="15">
      <c r="B60" s="44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</row>
    <row r="61" spans="2:15" ht="15">
      <c r="B61" s="46" t="s">
        <v>139</v>
      </c>
      <c r="C61" s="140">
        <f>C57+C59</f>
        <v>347.92</v>
      </c>
      <c r="D61" s="140">
        <f t="shared" ref="D61:N61" si="9">D57+D59</f>
        <v>359.52</v>
      </c>
      <c r="E61" s="140">
        <f t="shared" si="9"/>
        <v>347.92</v>
      </c>
      <c r="F61" s="140">
        <f t="shared" si="9"/>
        <v>359.52</v>
      </c>
      <c r="G61" s="140">
        <f t="shared" si="9"/>
        <v>359.52</v>
      </c>
      <c r="H61" s="140">
        <f t="shared" si="9"/>
        <v>347.92</v>
      </c>
      <c r="I61" s="140">
        <f t="shared" si="9"/>
        <v>359.52</v>
      </c>
      <c r="J61" s="140">
        <f t="shared" si="9"/>
        <v>347.92</v>
      </c>
      <c r="K61" s="140">
        <f t="shared" si="9"/>
        <v>359.52</v>
      </c>
      <c r="L61" s="140">
        <f t="shared" si="9"/>
        <v>359.52</v>
      </c>
      <c r="M61" s="140">
        <f t="shared" si="9"/>
        <v>336.32</v>
      </c>
      <c r="N61" s="140">
        <f t="shared" si="9"/>
        <v>359.52</v>
      </c>
      <c r="O61" s="140">
        <f>O57+O59</f>
        <v>4244.6400000000003</v>
      </c>
    </row>
    <row r="64" spans="2:15" ht="15">
      <c r="B64" s="30" t="s">
        <v>488</v>
      </c>
      <c r="C64" s="96"/>
      <c r="D64" s="96"/>
      <c r="E64" s="96"/>
      <c r="F64" s="96"/>
      <c r="G64" s="96"/>
      <c r="H64" s="96"/>
      <c r="I64" s="42"/>
    </row>
    <row r="65" spans="2:15" ht="15">
      <c r="B65" s="30" t="s">
        <v>8</v>
      </c>
      <c r="C65" s="31"/>
      <c r="D65" s="31"/>
      <c r="O65" s="31" t="s">
        <v>140</v>
      </c>
    </row>
    <row r="66" spans="2:15" ht="15">
      <c r="B66" s="37" t="s">
        <v>386</v>
      </c>
      <c r="C66" s="37" t="s">
        <v>141</v>
      </c>
      <c r="D66" s="37" t="s">
        <v>142</v>
      </c>
      <c r="E66" s="120" t="s">
        <v>143</v>
      </c>
      <c r="F66" s="120" t="s">
        <v>144</v>
      </c>
      <c r="G66" s="120" t="s">
        <v>145</v>
      </c>
      <c r="H66" s="120" t="s">
        <v>146</v>
      </c>
      <c r="I66" s="120" t="s">
        <v>147</v>
      </c>
      <c r="J66" s="120" t="s">
        <v>148</v>
      </c>
      <c r="K66" s="120" t="s">
        <v>149</v>
      </c>
      <c r="L66" s="120" t="s">
        <v>150</v>
      </c>
      <c r="M66" s="120" t="s">
        <v>151</v>
      </c>
      <c r="N66" s="120" t="s">
        <v>152</v>
      </c>
      <c r="O66" s="120" t="s">
        <v>139</v>
      </c>
    </row>
    <row r="67" spans="2:15" ht="15">
      <c r="B67" s="94" t="s">
        <v>480</v>
      </c>
      <c r="C67" s="174">
        <v>259.89914499999998</v>
      </c>
      <c r="D67" s="174">
        <v>268.56268500000004</v>
      </c>
      <c r="E67" s="174">
        <v>170.06783000000001</v>
      </c>
      <c r="F67" s="174">
        <v>181.92728500000001</v>
      </c>
      <c r="G67" s="174">
        <v>268.56268500000004</v>
      </c>
      <c r="H67" s="174">
        <v>259.89914499999998</v>
      </c>
      <c r="I67" s="174">
        <v>268.56268500000004</v>
      </c>
      <c r="J67" s="174">
        <v>259.89914499999998</v>
      </c>
      <c r="K67" s="174">
        <v>268.56268500000004</v>
      </c>
      <c r="L67" s="174">
        <v>268.56268500000004</v>
      </c>
      <c r="M67" s="174">
        <v>242.57206499999998</v>
      </c>
      <c r="N67" s="174">
        <v>268.56268500000004</v>
      </c>
      <c r="O67" s="174">
        <f>SUM(C67:N67)</f>
        <v>2985.6407249999997</v>
      </c>
    </row>
    <row r="68" spans="2:15" ht="15">
      <c r="B68" s="94"/>
      <c r="C68" s="174"/>
      <c r="D68" s="174"/>
      <c r="E68" s="174"/>
      <c r="F68" s="174"/>
      <c r="G68" s="174"/>
      <c r="H68" s="174"/>
      <c r="I68" s="174"/>
      <c r="J68" s="174"/>
      <c r="K68" s="174"/>
      <c r="L68" s="174"/>
      <c r="M68" s="174"/>
      <c r="N68" s="174"/>
      <c r="O68" s="174"/>
    </row>
    <row r="69" spans="2:15" ht="15">
      <c r="B69" s="94" t="s">
        <v>481</v>
      </c>
      <c r="C69" s="174">
        <v>108.490855</v>
      </c>
      <c r="D69" s="174">
        <v>112.107315</v>
      </c>
      <c r="E69" s="174">
        <v>70.992170000000002</v>
      </c>
      <c r="F69" s="174">
        <v>75.942714999999993</v>
      </c>
      <c r="G69" s="174">
        <v>112.107315</v>
      </c>
      <c r="H69" s="174">
        <v>108.490855</v>
      </c>
      <c r="I69" s="174">
        <v>112.107315</v>
      </c>
      <c r="J69" s="174">
        <v>108.490855</v>
      </c>
      <c r="K69" s="174">
        <v>112.107315</v>
      </c>
      <c r="L69" s="174">
        <v>112.107315</v>
      </c>
      <c r="M69" s="174">
        <v>101.25793499999999</v>
      </c>
      <c r="N69" s="174">
        <v>112.107315</v>
      </c>
      <c r="O69" s="174">
        <f t="shared" ref="O69" si="10">SUM(C69:N69)</f>
        <v>1246.3092750000001</v>
      </c>
    </row>
    <row r="70" spans="2:15" ht="15">
      <c r="B70" s="44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</row>
    <row r="71" spans="2:15" ht="15">
      <c r="B71" s="46" t="s">
        <v>139</v>
      </c>
      <c r="C71" s="140">
        <f>C67+C69</f>
        <v>368.39</v>
      </c>
      <c r="D71" s="140">
        <f t="shared" ref="D71:O71" si="11">D67+D69</f>
        <v>380.67000000000007</v>
      </c>
      <c r="E71" s="140">
        <f t="shared" si="11"/>
        <v>241.06</v>
      </c>
      <c r="F71" s="140">
        <f t="shared" si="11"/>
        <v>257.87</v>
      </c>
      <c r="G71" s="140">
        <f t="shared" si="11"/>
        <v>380.67000000000007</v>
      </c>
      <c r="H71" s="140">
        <f t="shared" si="11"/>
        <v>368.39</v>
      </c>
      <c r="I71" s="140">
        <f t="shared" si="11"/>
        <v>380.67000000000007</v>
      </c>
      <c r="J71" s="140">
        <f t="shared" si="11"/>
        <v>368.39</v>
      </c>
      <c r="K71" s="140">
        <f t="shared" si="11"/>
        <v>380.67000000000007</v>
      </c>
      <c r="L71" s="140">
        <f t="shared" si="11"/>
        <v>380.67000000000007</v>
      </c>
      <c r="M71" s="140">
        <f t="shared" si="11"/>
        <v>343.83</v>
      </c>
      <c r="N71" s="140">
        <f t="shared" si="11"/>
        <v>380.67000000000007</v>
      </c>
      <c r="O71" s="140">
        <f t="shared" si="11"/>
        <v>4231.95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0.98425196850393704" right="0.43307086614173229" top="0.98425196850393704" bottom="0.8" header="0.51181102362204722" footer="0.81"/>
  <pageSetup paperSize="9" scale="7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9"/>
    </row>
    <row r="2" spans="2:14" s="5" customFormat="1" ht="15" customHeight="1">
      <c r="B2" s="335" t="s">
        <v>534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</row>
    <row r="3" spans="2:14" s="5" customFormat="1" ht="15" customHeight="1">
      <c r="B3" s="335" t="s">
        <v>514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</row>
    <row r="4" spans="2:14" ht="15" customHeight="1">
      <c r="B4" s="333" t="s">
        <v>390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</row>
    <row r="5" spans="2:14" ht="15">
      <c r="B5" s="30" t="s">
        <v>520</v>
      </c>
    </row>
    <row r="6" spans="2:14" ht="15">
      <c r="B6" s="30" t="s">
        <v>12</v>
      </c>
      <c r="N6" s="43" t="s">
        <v>4</v>
      </c>
    </row>
    <row r="7" spans="2:14" s="63" customFormat="1" ht="45.75" customHeight="1">
      <c r="B7" s="320" t="s">
        <v>386</v>
      </c>
      <c r="C7" s="329" t="s">
        <v>155</v>
      </c>
      <c r="D7" s="329"/>
      <c r="E7" s="329"/>
      <c r="F7" s="329"/>
      <c r="G7" s="328" t="s">
        <v>156</v>
      </c>
      <c r="H7" s="328"/>
      <c r="I7" s="328"/>
      <c r="J7" s="328" t="s">
        <v>157</v>
      </c>
      <c r="K7" s="328"/>
      <c r="L7" s="328"/>
      <c r="M7" s="328"/>
      <c r="N7" s="328"/>
    </row>
    <row r="8" spans="2:14" ht="45">
      <c r="B8" s="334"/>
      <c r="C8" s="37" t="s">
        <v>180</v>
      </c>
      <c r="D8" s="37" t="s">
        <v>178</v>
      </c>
      <c r="E8" s="37" t="s">
        <v>248</v>
      </c>
      <c r="F8" s="37" t="s">
        <v>179</v>
      </c>
      <c r="G8" s="37" t="s">
        <v>158</v>
      </c>
      <c r="H8" s="37" t="s">
        <v>249</v>
      </c>
      <c r="I8" s="37" t="s">
        <v>159</v>
      </c>
      <c r="J8" s="37" t="s">
        <v>160</v>
      </c>
      <c r="K8" s="37" t="s">
        <v>161</v>
      </c>
      <c r="L8" s="37" t="s">
        <v>250</v>
      </c>
      <c r="M8" s="37" t="s">
        <v>251</v>
      </c>
      <c r="N8" s="29" t="s">
        <v>139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94" t="s">
        <v>387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9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94" t="s">
        <v>388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94" t="s">
        <v>389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9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94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94" t="s">
        <v>139</v>
      </c>
      <c r="C18" s="139">
        <f>C10+C12+C14</f>
        <v>0</v>
      </c>
      <c r="D18" s="139">
        <f>D10+D12+D14</f>
        <v>0</v>
      </c>
      <c r="E18" s="139">
        <f>E10+E12+E14</f>
        <v>0</v>
      </c>
      <c r="F18" s="139">
        <f>F10+F12+F14</f>
        <v>0</v>
      </c>
      <c r="G18" s="139">
        <f>G10+G12+G14</f>
        <v>0</v>
      </c>
      <c r="H18" s="3"/>
      <c r="I18" s="3"/>
      <c r="J18" s="139">
        <f>J10+J12+J14</f>
        <v>0</v>
      </c>
      <c r="K18" s="139">
        <f>K10+K12+K14</f>
        <v>0</v>
      </c>
      <c r="L18" s="139">
        <f>L10+L12+L14</f>
        <v>0</v>
      </c>
      <c r="M18" s="139">
        <f>M10+M12+M14</f>
        <v>0</v>
      </c>
      <c r="N18" s="139">
        <f>N10+N12+N14</f>
        <v>0</v>
      </c>
    </row>
    <row r="19" spans="2:14" ht="15">
      <c r="B19" s="43"/>
    </row>
  </sheetData>
  <mergeCells count="7">
    <mergeCell ref="B2:N2"/>
    <mergeCell ref="B3:N3"/>
    <mergeCell ref="B4:N4"/>
    <mergeCell ref="B7:B8"/>
    <mergeCell ref="C7:F7"/>
    <mergeCell ref="G7:I7"/>
    <mergeCell ref="J7:N7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topLeftCell="B16" zoomScale="131" zoomScaleNormal="131" workbookViewId="0">
      <selection activeCell="H5" sqref="H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2" width="9.5703125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19" customWidth="1"/>
    <col min="18" max="16384" width="9.28515625" style="19"/>
  </cols>
  <sheetData>
    <row r="1" spans="2:17" s="5" customFormat="1" ht="15">
      <c r="B1" s="119"/>
    </row>
    <row r="2" spans="2:17" s="5" customFormat="1" ht="15" customHeight="1"/>
    <row r="3" spans="2:17" s="5" customFormat="1" ht="15" customHeight="1">
      <c r="B3" s="335" t="s">
        <v>534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335"/>
    </row>
    <row r="4" spans="2:17" s="5" customFormat="1" ht="15" customHeight="1">
      <c r="B4" s="335" t="s">
        <v>514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</row>
    <row r="5" spans="2:17" ht="15">
      <c r="B5" s="30" t="s">
        <v>520</v>
      </c>
      <c r="I5" s="42" t="s">
        <v>393</v>
      </c>
    </row>
    <row r="6" spans="2:17" ht="15">
      <c r="B6" s="43" t="s">
        <v>12</v>
      </c>
    </row>
    <row r="7" spans="2:17" ht="30">
      <c r="B7" s="121" t="s">
        <v>210</v>
      </c>
      <c r="C7" s="121" t="s">
        <v>18</v>
      </c>
      <c r="D7" s="121" t="s">
        <v>39</v>
      </c>
      <c r="E7" s="37" t="s">
        <v>141</v>
      </c>
      <c r="F7" s="37" t="s">
        <v>142</v>
      </c>
      <c r="G7" s="120" t="s">
        <v>143</v>
      </c>
      <c r="H7" s="120" t="s">
        <v>144</v>
      </c>
      <c r="I7" s="120" t="s">
        <v>145</v>
      </c>
      <c r="J7" s="120" t="s">
        <v>146</v>
      </c>
      <c r="K7" s="120" t="s">
        <v>147</v>
      </c>
      <c r="L7" s="120" t="s">
        <v>148</v>
      </c>
      <c r="M7" s="120" t="s">
        <v>149</v>
      </c>
      <c r="N7" s="120" t="s">
        <v>150</v>
      </c>
      <c r="O7" s="120" t="s">
        <v>151</v>
      </c>
      <c r="P7" s="120" t="s">
        <v>152</v>
      </c>
      <c r="Q7" s="122" t="s">
        <v>139</v>
      </c>
    </row>
    <row r="8" spans="2:17">
      <c r="B8" s="123">
        <v>1</v>
      </c>
      <c r="C8" s="124" t="s">
        <v>184</v>
      </c>
      <c r="D8" s="123" t="s">
        <v>42</v>
      </c>
      <c r="E8" s="125">
        <v>80</v>
      </c>
      <c r="F8" s="125">
        <v>80</v>
      </c>
      <c r="G8" s="125">
        <v>80</v>
      </c>
      <c r="H8" s="125">
        <v>80</v>
      </c>
      <c r="I8" s="125">
        <v>80</v>
      </c>
      <c r="J8" s="125">
        <v>80</v>
      </c>
      <c r="K8" s="125">
        <v>80</v>
      </c>
      <c r="L8" s="125">
        <v>80</v>
      </c>
      <c r="M8" s="125">
        <v>80</v>
      </c>
      <c r="N8" s="125">
        <v>80</v>
      </c>
      <c r="O8" s="125">
        <v>80</v>
      </c>
      <c r="P8" s="125">
        <v>80</v>
      </c>
      <c r="Q8" s="125">
        <v>80</v>
      </c>
    </row>
    <row r="9" spans="2:17">
      <c r="B9" s="123">
        <f>B8+1</f>
        <v>2</v>
      </c>
      <c r="C9" s="124" t="s">
        <v>211</v>
      </c>
      <c r="D9" s="123" t="s">
        <v>42</v>
      </c>
      <c r="E9" s="125">
        <v>87.48</v>
      </c>
      <c r="F9" s="125">
        <v>71.739999999999995</v>
      </c>
      <c r="G9" s="125">
        <v>0</v>
      </c>
      <c r="H9" s="125">
        <v>21.55</v>
      </c>
      <c r="I9" s="125">
        <v>84.86</v>
      </c>
      <c r="J9" s="125">
        <v>91.96</v>
      </c>
      <c r="K9" s="125">
        <v>89.74</v>
      </c>
      <c r="L9" s="125">
        <v>92.87</v>
      </c>
      <c r="M9" s="125">
        <v>98.44</v>
      </c>
      <c r="N9" s="125">
        <v>98.92</v>
      </c>
      <c r="O9" s="125">
        <v>90.14</v>
      </c>
      <c r="P9" s="125">
        <v>98.78</v>
      </c>
      <c r="Q9" s="126">
        <v>82.26</v>
      </c>
    </row>
    <row r="10" spans="2:17">
      <c r="B10" s="123">
        <f t="shared" ref="B10:B26" si="0">B9+1</f>
        <v>3</v>
      </c>
      <c r="C10" s="124" t="s">
        <v>212</v>
      </c>
      <c r="D10" s="123" t="s">
        <v>42</v>
      </c>
      <c r="E10" s="125">
        <v>87.48</v>
      </c>
      <c r="F10" s="125">
        <v>79.48</v>
      </c>
      <c r="G10" s="125">
        <v>53.28</v>
      </c>
      <c r="H10" s="125">
        <v>45.22</v>
      </c>
      <c r="I10" s="125">
        <v>53.25</v>
      </c>
      <c r="J10" s="125">
        <v>59.59</v>
      </c>
      <c r="K10" s="125">
        <v>63.96</v>
      </c>
      <c r="L10" s="125">
        <v>67.52</v>
      </c>
      <c r="M10" s="125">
        <v>71</v>
      </c>
      <c r="N10" s="125">
        <v>73.83</v>
      </c>
      <c r="O10" s="125">
        <v>75.2</v>
      </c>
      <c r="P10" s="125">
        <v>77.2</v>
      </c>
      <c r="Q10" s="125"/>
    </row>
    <row r="11" spans="2:17">
      <c r="B11" s="123">
        <f t="shared" si="0"/>
        <v>4</v>
      </c>
      <c r="C11" s="124" t="s">
        <v>43</v>
      </c>
      <c r="D11" s="123" t="s">
        <v>42</v>
      </c>
      <c r="E11" s="125">
        <v>80</v>
      </c>
      <c r="F11" s="125">
        <v>80</v>
      </c>
      <c r="G11" s="125">
        <v>80</v>
      </c>
      <c r="H11" s="125">
        <v>80</v>
      </c>
      <c r="I11" s="125">
        <v>80</v>
      </c>
      <c r="J11" s="125">
        <v>80</v>
      </c>
      <c r="K11" s="125">
        <v>80</v>
      </c>
      <c r="L11" s="125">
        <v>80</v>
      </c>
      <c r="M11" s="125">
        <v>80</v>
      </c>
      <c r="N11" s="125">
        <v>80</v>
      </c>
      <c r="O11" s="125">
        <v>80</v>
      </c>
      <c r="P11" s="125">
        <v>80</v>
      </c>
      <c r="Q11" s="125">
        <v>80</v>
      </c>
    </row>
    <row r="12" spans="2:17">
      <c r="B12" s="123">
        <f t="shared" si="0"/>
        <v>5</v>
      </c>
      <c r="C12" s="124" t="s">
        <v>213</v>
      </c>
      <c r="D12" s="123" t="s">
        <v>42</v>
      </c>
      <c r="E12" s="125">
        <v>82.84</v>
      </c>
      <c r="F12" s="125">
        <v>68.739999999999995</v>
      </c>
      <c r="G12" s="125">
        <v>0</v>
      </c>
      <c r="H12" s="125">
        <v>19.350000000000001</v>
      </c>
      <c r="I12" s="125">
        <v>78.89</v>
      </c>
      <c r="J12" s="125">
        <v>83.24</v>
      </c>
      <c r="K12" s="125">
        <v>77.39</v>
      </c>
      <c r="L12" s="125">
        <v>87.94</v>
      </c>
      <c r="M12" s="125">
        <v>90.99</v>
      </c>
      <c r="N12" s="125">
        <v>93.69</v>
      </c>
      <c r="O12" s="125">
        <v>88.57</v>
      </c>
      <c r="P12" s="125">
        <v>96.2</v>
      </c>
      <c r="Q12" s="125"/>
    </row>
    <row r="13" spans="2:17">
      <c r="B13" s="123">
        <f t="shared" si="0"/>
        <v>6</v>
      </c>
      <c r="C13" s="124" t="s">
        <v>214</v>
      </c>
      <c r="D13" s="123" t="s">
        <v>42</v>
      </c>
      <c r="E13" s="125">
        <v>82.84</v>
      </c>
      <c r="F13" s="125">
        <v>75.67</v>
      </c>
      <c r="G13" s="125">
        <v>50.73</v>
      </c>
      <c r="H13" s="125">
        <v>72.75</v>
      </c>
      <c r="I13" s="125">
        <v>50.08</v>
      </c>
      <c r="J13" s="125">
        <v>55.51</v>
      </c>
      <c r="K13" s="125">
        <v>58.68</v>
      </c>
      <c r="L13" s="125">
        <v>62.28</v>
      </c>
      <c r="M13" s="125">
        <v>65.52</v>
      </c>
      <c r="N13" s="125">
        <v>68.37</v>
      </c>
      <c r="O13" s="125">
        <v>70.06</v>
      </c>
      <c r="P13" s="125">
        <v>72.28</v>
      </c>
      <c r="Q13" s="125"/>
    </row>
    <row r="14" spans="2:17">
      <c r="B14" s="123">
        <f t="shared" si="0"/>
        <v>7</v>
      </c>
      <c r="C14" s="118" t="s">
        <v>215</v>
      </c>
      <c r="D14" s="127" t="s">
        <v>45</v>
      </c>
      <c r="E14" s="125">
        <v>341.411</v>
      </c>
      <c r="F14" s="125">
        <v>415.51100000000002</v>
      </c>
      <c r="G14" s="125">
        <v>399.86700000000002</v>
      </c>
      <c r="H14" s="125">
        <v>388.15600000000001</v>
      </c>
      <c r="I14" s="125">
        <v>313.56700000000001</v>
      </c>
      <c r="J14" s="125">
        <v>375.73500000000001</v>
      </c>
      <c r="K14" s="125">
        <v>379.09399999999999</v>
      </c>
      <c r="L14" s="125">
        <v>241.12100000000001</v>
      </c>
      <c r="M14" s="125">
        <v>393.40699999999998</v>
      </c>
      <c r="N14" s="125">
        <v>371.14299999999997</v>
      </c>
      <c r="O14" s="125">
        <v>380.53800000000001</v>
      </c>
      <c r="P14" s="125">
        <v>404.55099999999999</v>
      </c>
      <c r="Q14" s="126">
        <f>SUM(E14:P14)</f>
        <v>4404.1010000000006</v>
      </c>
    </row>
    <row r="15" spans="2:17">
      <c r="B15" s="123">
        <f t="shared" si="0"/>
        <v>8</v>
      </c>
      <c r="C15" s="118" t="s">
        <v>216</v>
      </c>
      <c r="D15" s="127" t="s">
        <v>45</v>
      </c>
      <c r="E15" s="125">
        <v>15.699211999999999</v>
      </c>
      <c r="F15" s="125">
        <v>16.475048636363624</v>
      </c>
      <c r="G15" s="125">
        <v>22.425640000000001</v>
      </c>
      <c r="H15" s="125">
        <v>20.849001999999999</v>
      </c>
      <c r="I15" s="125">
        <v>19.439935999999999</v>
      </c>
      <c r="J15" s="125">
        <v>20.5106718224141</v>
      </c>
      <c r="K15" s="125">
        <v>21.221189518727066</v>
      </c>
      <c r="L15" s="125">
        <v>16.323721818172721</v>
      </c>
      <c r="M15" s="125">
        <v>21.305786291759251</v>
      </c>
      <c r="N15" s="125">
        <v>20.732569000000002</v>
      </c>
      <c r="O15" s="125">
        <v>20.160116292978227</v>
      </c>
      <c r="P15" s="125">
        <v>22.412276279760359</v>
      </c>
      <c r="Q15" s="126">
        <f>SUM(E15:P15)</f>
        <v>237.55516966017535</v>
      </c>
    </row>
    <row r="16" spans="2:17" ht="15">
      <c r="B16" s="123">
        <f t="shared" si="0"/>
        <v>9</v>
      </c>
      <c r="C16" s="118" t="s">
        <v>234</v>
      </c>
      <c r="D16" s="127" t="s">
        <v>45</v>
      </c>
      <c r="E16" s="138">
        <f>E14-E15</f>
        <v>325.71178800000001</v>
      </c>
      <c r="F16" s="138">
        <f t="shared" ref="F16:Q16" si="1">F14-F15</f>
        <v>399.0359513636364</v>
      </c>
      <c r="G16" s="138">
        <f t="shared" si="1"/>
        <v>377.44136000000003</v>
      </c>
      <c r="H16" s="138">
        <f t="shared" si="1"/>
        <v>367.30699800000002</v>
      </c>
      <c r="I16" s="138">
        <f t="shared" si="1"/>
        <v>294.12706400000002</v>
      </c>
      <c r="J16" s="138">
        <f t="shared" si="1"/>
        <v>355.2243281775859</v>
      </c>
      <c r="K16" s="138">
        <f t="shared" si="1"/>
        <v>357.87281048127295</v>
      </c>
      <c r="L16" s="138">
        <f t="shared" si="1"/>
        <v>224.79727818182729</v>
      </c>
      <c r="M16" s="138">
        <f t="shared" si="1"/>
        <v>372.10121370824072</v>
      </c>
      <c r="N16" s="138">
        <f t="shared" si="1"/>
        <v>350.41043099999996</v>
      </c>
      <c r="O16" s="138">
        <f t="shared" si="1"/>
        <v>360.37788370702179</v>
      </c>
      <c r="P16" s="138">
        <f t="shared" si="1"/>
        <v>382.13872372023962</v>
      </c>
      <c r="Q16" s="138">
        <f t="shared" si="1"/>
        <v>4166.5458303398254</v>
      </c>
    </row>
    <row r="17" spans="2:17" ht="16.5">
      <c r="B17" s="123">
        <f t="shared" si="0"/>
        <v>10</v>
      </c>
      <c r="C17" s="118" t="s">
        <v>235</v>
      </c>
      <c r="D17" s="127" t="s">
        <v>45</v>
      </c>
      <c r="E17" s="185">
        <f>E16-((600*1000*24*30*E11%)/1000000)</f>
        <v>-19.88821200000001</v>
      </c>
      <c r="F17" s="185">
        <f>F16-((600*1000*24*31*F11%)/1000000)</f>
        <v>41.915951363636395</v>
      </c>
      <c r="G17" s="185">
        <f t="shared" ref="G17:L17" si="2">G16-((600*1000*24*30*G11%)/1000000)</f>
        <v>31.841360000000009</v>
      </c>
      <c r="H17" s="185">
        <f>H16-((600*1000*24*31*H11%)/1000000)</f>
        <v>10.186998000000017</v>
      </c>
      <c r="I17" s="185">
        <f>I16-((600*1000*24*31*I11%)/1000000)</f>
        <v>-62.992935999999986</v>
      </c>
      <c r="J17" s="185">
        <f t="shared" si="2"/>
        <v>9.6243281775858804</v>
      </c>
      <c r="K17" s="185">
        <f>K16-((600*1000*24*31*K11%)/1000000)</f>
        <v>0.75281048127294525</v>
      </c>
      <c r="L17" s="185">
        <f t="shared" si="2"/>
        <v>-120.80272181817273</v>
      </c>
      <c r="M17" s="185">
        <f>M16-((600*1000*24*31*M11%)/1000000)</f>
        <v>14.981213708240716</v>
      </c>
      <c r="N17" s="185">
        <f>N16-((600*1000*24*31*N11%)/1000000)</f>
        <v>-6.7095690000000445</v>
      </c>
      <c r="O17" s="185">
        <f>O16-((600*1000*24*28*O11%)/1000000)</f>
        <v>37.817883707021792</v>
      </c>
      <c r="P17" s="185">
        <f>P16-((600*1000*24*31*P11%)/1000000)</f>
        <v>25.01872372023962</v>
      </c>
      <c r="Q17" s="138">
        <f>SUM(E17:P17)</f>
        <v>-38.254169660175393</v>
      </c>
    </row>
    <row r="18" spans="2:17" ht="16.5">
      <c r="B18" s="123">
        <f t="shared" si="0"/>
        <v>11</v>
      </c>
      <c r="C18" s="118" t="s">
        <v>217</v>
      </c>
      <c r="D18" s="127" t="s">
        <v>221</v>
      </c>
      <c r="E18" s="186">
        <v>2.9249999999999998</v>
      </c>
      <c r="F18" s="186">
        <v>2.9249999999999998</v>
      </c>
      <c r="G18" s="186">
        <v>2.9249999999999998</v>
      </c>
      <c r="H18" s="186">
        <v>2.9249999999999998</v>
      </c>
      <c r="I18" s="186">
        <v>2.9249999999999998</v>
      </c>
      <c r="J18" s="186">
        <v>2.9249999999999998</v>
      </c>
      <c r="K18" s="186">
        <v>2.9249999999999998</v>
      </c>
      <c r="L18" s="186">
        <v>2.9249999999999998</v>
      </c>
      <c r="M18" s="186">
        <v>2.9249999999999998</v>
      </c>
      <c r="N18" s="186">
        <v>2.9249999999999998</v>
      </c>
      <c r="O18" s="186">
        <v>2.9249999999999998</v>
      </c>
      <c r="P18" s="186">
        <v>2.9249999999999998</v>
      </c>
      <c r="Q18" s="186">
        <v>2.6680000000000001</v>
      </c>
    </row>
    <row r="19" spans="2:17" ht="16.5">
      <c r="B19" s="123">
        <f t="shared" si="0"/>
        <v>12</v>
      </c>
      <c r="C19" s="118" t="s">
        <v>236</v>
      </c>
      <c r="D19" s="127" t="s">
        <v>222</v>
      </c>
      <c r="E19" s="187">
        <v>60.009166666666665</v>
      </c>
      <c r="F19" s="187">
        <v>60.009166666666665</v>
      </c>
      <c r="G19" s="187">
        <v>60.009166666666665</v>
      </c>
      <c r="H19" s="187">
        <v>60.009166666666665</v>
      </c>
      <c r="I19" s="187">
        <v>60.009166666666665</v>
      </c>
      <c r="J19" s="187">
        <v>60.009166666666665</v>
      </c>
      <c r="K19" s="187">
        <v>60.009166666666665</v>
      </c>
      <c r="L19" s="187">
        <v>60.009166666666665</v>
      </c>
      <c r="M19" s="187">
        <v>60.009166666666665</v>
      </c>
      <c r="N19" s="187">
        <v>60.009166666666665</v>
      </c>
      <c r="O19" s="187">
        <v>60.009166666666665</v>
      </c>
      <c r="P19" s="187">
        <v>60.009166666666665</v>
      </c>
      <c r="Q19" s="126">
        <f>SUM(E19:P19)</f>
        <v>720.11000000000013</v>
      </c>
    </row>
    <row r="20" spans="2:17" ht="16.5">
      <c r="B20" s="123">
        <f t="shared" si="0"/>
        <v>13</v>
      </c>
      <c r="C20" s="118" t="s">
        <v>391</v>
      </c>
      <c r="D20" s="127" t="s">
        <v>221</v>
      </c>
      <c r="E20" s="186">
        <v>3.2631321930693065</v>
      </c>
      <c r="F20" s="186">
        <v>3.179392163953247</v>
      </c>
      <c r="G20" s="186">
        <v>3.280674468030051</v>
      </c>
      <c r="H20" s="186">
        <v>3.3561689724103227</v>
      </c>
      <c r="I20" s="186">
        <v>3.5225429789055545</v>
      </c>
      <c r="J20" s="186">
        <v>3.3955404654891224</v>
      </c>
      <c r="K20" s="186">
        <v>3.4381354358111276</v>
      </c>
      <c r="L20" s="186">
        <v>3.6052974891756637</v>
      </c>
      <c r="M20" s="186">
        <v>3.6022862702391789</v>
      </c>
      <c r="N20" s="186">
        <v>3.5411118959076373</v>
      </c>
      <c r="O20" s="186">
        <v>3.493784829028058</v>
      </c>
      <c r="P20" s="186">
        <v>3.4927083164151735</v>
      </c>
      <c r="Q20" s="191">
        <v>3.6287570059104328</v>
      </c>
    </row>
    <row r="21" spans="2:17" ht="16.5">
      <c r="B21" s="123">
        <f t="shared" si="0"/>
        <v>14</v>
      </c>
      <c r="C21" s="118" t="s">
        <v>218</v>
      </c>
      <c r="D21" s="127" t="s">
        <v>222</v>
      </c>
      <c r="E21" s="187">
        <v>60.009166666666665</v>
      </c>
      <c r="F21" s="187">
        <v>60.009166666666665</v>
      </c>
      <c r="G21" s="187">
        <v>60.009166666666673</v>
      </c>
      <c r="H21" s="187">
        <v>60.009166666666665</v>
      </c>
      <c r="I21" s="187">
        <v>60.009166666666687</v>
      </c>
      <c r="J21" s="187">
        <v>60.009166666666665</v>
      </c>
      <c r="K21" s="187">
        <v>60.009166666666665</v>
      </c>
      <c r="L21" s="187">
        <v>60.009166700000002</v>
      </c>
      <c r="M21" s="187">
        <v>60.009166666666665</v>
      </c>
      <c r="N21" s="187">
        <v>60.009166666666708</v>
      </c>
      <c r="O21" s="187">
        <v>60.009166666666601</v>
      </c>
      <c r="P21" s="187">
        <v>60.009166666666708</v>
      </c>
      <c r="Q21" s="126">
        <f>SUM(E21:P21)</f>
        <v>720.11000003333334</v>
      </c>
    </row>
    <row r="22" spans="2:17" ht="16.5">
      <c r="B22" s="123">
        <f t="shared" si="0"/>
        <v>15</v>
      </c>
      <c r="C22" s="118" t="s">
        <v>392</v>
      </c>
      <c r="D22" s="127" t="s">
        <v>222</v>
      </c>
      <c r="E22" s="187">
        <v>95.270697900000002</v>
      </c>
      <c r="F22" s="187">
        <v>116.71801577273398</v>
      </c>
      <c r="G22" s="187">
        <v>110.40159780030045</v>
      </c>
      <c r="H22" s="187">
        <v>107.437296834308</v>
      </c>
      <c r="I22" s="187">
        <v>86.032166112556794</v>
      </c>
      <c r="J22" s="187">
        <v>103.90311599194388</v>
      </c>
      <c r="K22" s="187">
        <v>104.67779706577234</v>
      </c>
      <c r="L22" s="187">
        <v>65.753203900000003</v>
      </c>
      <c r="M22" s="187">
        <v>108.83960500966042</v>
      </c>
      <c r="N22" s="187">
        <v>102.49505092873598</v>
      </c>
      <c r="O22" s="187">
        <v>105.41053098430386</v>
      </c>
      <c r="P22" s="187">
        <v>111.7755766881701</v>
      </c>
      <c r="Q22" s="126">
        <f t="shared" ref="Q22:Q23" si="3">SUM(E22:P22)</f>
        <v>1218.7146549884858</v>
      </c>
    </row>
    <row r="23" spans="2:17" ht="16.5">
      <c r="B23" s="123">
        <f t="shared" si="0"/>
        <v>16</v>
      </c>
      <c r="C23" s="118" t="s">
        <v>237</v>
      </c>
      <c r="D23" s="127" t="s">
        <v>222</v>
      </c>
      <c r="E23" s="187">
        <v>11.013364109128439</v>
      </c>
      <c r="F23" s="187">
        <v>10.151161916155576</v>
      </c>
      <c r="G23" s="187">
        <v>13.424625493090439</v>
      </c>
      <c r="H23" s="187">
        <v>15.83713807678337</v>
      </c>
      <c r="I23" s="187">
        <v>17.575356177981078</v>
      </c>
      <c r="J23" s="187">
        <v>16.7147420733742</v>
      </c>
      <c r="K23" s="187">
        <v>18.363722057126093</v>
      </c>
      <c r="L23" s="187">
        <v>15.292902396374702</v>
      </c>
      <c r="M23" s="187">
        <v>25.201904318392611</v>
      </c>
      <c r="N23" s="187">
        <v>21.589203469693469</v>
      </c>
      <c r="O23" s="187">
        <v>20.497747296979178</v>
      </c>
      <c r="P23" s="187">
        <v>21.694333148026036</v>
      </c>
      <c r="Q23" s="126">
        <f t="shared" si="3"/>
        <v>207.35620053310521</v>
      </c>
    </row>
    <row r="24" spans="2:17">
      <c r="B24" s="123">
        <f t="shared" si="0"/>
        <v>17</v>
      </c>
      <c r="C24" s="118" t="s">
        <v>219</v>
      </c>
      <c r="D24" s="127" t="s">
        <v>222</v>
      </c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6">
        <v>13.7678403</v>
      </c>
    </row>
    <row r="25" spans="2:17" ht="15">
      <c r="B25" s="123">
        <f t="shared" si="0"/>
        <v>18</v>
      </c>
      <c r="C25" s="129" t="s">
        <v>163</v>
      </c>
      <c r="D25" s="127" t="s">
        <v>222</v>
      </c>
      <c r="E25" s="128">
        <f>E21+E22+E23+E24</f>
        <v>166.29322867579512</v>
      </c>
      <c r="F25" s="128">
        <f t="shared" ref="F25:P25" si="4">F21+F22+F23+F24</f>
        <v>186.87834435555624</v>
      </c>
      <c r="G25" s="128">
        <f t="shared" si="4"/>
        <v>183.83538996005757</v>
      </c>
      <c r="H25" s="128">
        <f t="shared" si="4"/>
        <v>183.28360157775802</v>
      </c>
      <c r="I25" s="128">
        <f t="shared" si="4"/>
        <v>163.61668895720453</v>
      </c>
      <c r="J25" s="128">
        <f t="shared" si="4"/>
        <v>180.62702473198473</v>
      </c>
      <c r="K25" s="128">
        <f t="shared" si="4"/>
        <v>183.05068578956511</v>
      </c>
      <c r="L25" s="128">
        <f t="shared" si="4"/>
        <v>141.0552729963747</v>
      </c>
      <c r="M25" s="128">
        <f t="shared" si="4"/>
        <v>194.05067599471971</v>
      </c>
      <c r="N25" s="128">
        <f t="shared" si="4"/>
        <v>184.09342106509615</v>
      </c>
      <c r="O25" s="128">
        <f t="shared" si="4"/>
        <v>185.91744494794966</v>
      </c>
      <c r="P25" s="128">
        <f t="shared" si="4"/>
        <v>193.47907650286285</v>
      </c>
      <c r="Q25" s="130">
        <f>SUM(Q21:Q24)</f>
        <v>2159.9486958549242</v>
      </c>
    </row>
    <row r="26" spans="2:17" ht="15">
      <c r="B26" s="123">
        <f t="shared" si="0"/>
        <v>19</v>
      </c>
      <c r="C26" s="131" t="s">
        <v>220</v>
      </c>
      <c r="D26" s="127"/>
      <c r="E26" s="128"/>
      <c r="F26" s="125"/>
      <c r="G26" s="125"/>
      <c r="H26" s="125"/>
      <c r="I26" s="125"/>
      <c r="J26" s="125"/>
      <c r="K26" s="125"/>
      <c r="L26" s="125"/>
      <c r="M26" s="126"/>
      <c r="N26" s="126"/>
      <c r="O26" s="126"/>
      <c r="P26" s="126"/>
      <c r="Q26" s="130"/>
    </row>
    <row r="27" spans="2:17" ht="28.5">
      <c r="B27" s="123"/>
      <c r="C27" s="92" t="s">
        <v>478</v>
      </c>
      <c r="D27" s="127"/>
      <c r="E27" s="128"/>
      <c r="F27" s="125"/>
      <c r="G27" s="125"/>
      <c r="H27" s="125"/>
      <c r="I27" s="125"/>
      <c r="J27" s="125"/>
      <c r="K27" s="125"/>
      <c r="L27" s="125"/>
      <c r="M27" s="126"/>
      <c r="N27" s="126"/>
      <c r="O27" s="126"/>
      <c r="P27" s="126"/>
      <c r="Q27" s="130">
        <v>-74.204711295540363</v>
      </c>
    </row>
    <row r="28" spans="2:17" ht="15">
      <c r="B28" s="123"/>
      <c r="C28" s="92" t="s">
        <v>479</v>
      </c>
      <c r="D28" s="127"/>
      <c r="E28" s="128"/>
      <c r="F28" s="125"/>
      <c r="G28" s="125"/>
      <c r="H28" s="125"/>
      <c r="I28" s="125"/>
      <c r="J28" s="125"/>
      <c r="K28" s="125"/>
      <c r="L28" s="125"/>
      <c r="M28" s="126"/>
      <c r="N28" s="126"/>
      <c r="O28" s="126"/>
      <c r="P28" s="126"/>
      <c r="Q28" s="130">
        <v>45.22999999999999</v>
      </c>
    </row>
    <row r="29" spans="2:17" ht="15">
      <c r="B29" s="123"/>
      <c r="C29" s="118" t="s">
        <v>477</v>
      </c>
      <c r="D29" s="127" t="s">
        <v>222</v>
      </c>
      <c r="E29" s="128"/>
      <c r="F29" s="125"/>
      <c r="G29" s="125"/>
      <c r="H29" s="125"/>
      <c r="I29" s="125"/>
      <c r="J29" s="125"/>
      <c r="K29" s="125"/>
      <c r="L29" s="125"/>
      <c r="M29" s="126"/>
      <c r="N29" s="126"/>
      <c r="O29" s="126"/>
      <c r="P29" s="126"/>
      <c r="Q29" s="130">
        <v>1.7889648</v>
      </c>
    </row>
    <row r="30" spans="2:17" ht="15">
      <c r="B30" s="127">
        <f>B26+1</f>
        <v>20</v>
      </c>
      <c r="C30" s="117" t="s">
        <v>182</v>
      </c>
      <c r="D30" s="127" t="s">
        <v>222</v>
      </c>
      <c r="E30" s="138">
        <f t="shared" ref="E30:P30" si="5">E25+E26</f>
        <v>166.29322867579512</v>
      </c>
      <c r="F30" s="138">
        <f t="shared" si="5"/>
        <v>186.87834435555624</v>
      </c>
      <c r="G30" s="138">
        <f t="shared" si="5"/>
        <v>183.83538996005757</v>
      </c>
      <c r="H30" s="138">
        <f t="shared" si="5"/>
        <v>183.28360157775802</v>
      </c>
      <c r="I30" s="138">
        <f t="shared" si="5"/>
        <v>163.61668895720453</v>
      </c>
      <c r="J30" s="138">
        <f t="shared" si="5"/>
        <v>180.62702473198473</v>
      </c>
      <c r="K30" s="138">
        <f t="shared" si="5"/>
        <v>183.05068578956511</v>
      </c>
      <c r="L30" s="138">
        <f t="shared" si="5"/>
        <v>141.0552729963747</v>
      </c>
      <c r="M30" s="138">
        <f t="shared" si="5"/>
        <v>194.05067599471971</v>
      </c>
      <c r="N30" s="138">
        <f t="shared" si="5"/>
        <v>184.09342106509615</v>
      </c>
      <c r="O30" s="138">
        <f t="shared" si="5"/>
        <v>185.91744494794966</v>
      </c>
      <c r="P30" s="138">
        <f t="shared" si="5"/>
        <v>193.47907650286285</v>
      </c>
      <c r="Q30" s="138">
        <f>Q25+Q27+Q28+Q29</f>
        <v>2132.762949359384</v>
      </c>
    </row>
    <row r="31" spans="2:17" ht="15">
      <c r="B31" s="127">
        <f>B30+1</f>
        <v>21</v>
      </c>
      <c r="C31" s="117" t="s">
        <v>223</v>
      </c>
      <c r="D31" s="127" t="s">
        <v>222</v>
      </c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32"/>
    </row>
  </sheetData>
  <mergeCells count="2">
    <mergeCell ref="B3:Q3"/>
    <mergeCell ref="B4:Q4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6"/>
  <sheetViews>
    <sheetView showGridLines="0" zoomScale="73" zoomScaleNormal="73" zoomScaleSheetLayoutView="80" workbookViewId="0">
      <selection activeCell="B4" sqref="B4:N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>
      <c r="C1" s="43"/>
      <c r="D1" s="43"/>
      <c r="E1" s="43"/>
      <c r="F1" s="43"/>
      <c r="G1" s="43"/>
      <c r="I1" s="40"/>
      <c r="J1" s="43"/>
    </row>
    <row r="2" spans="2:16" s="19" customFormat="1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5"/>
      <c r="P2" s="5"/>
    </row>
    <row r="3" spans="2:16" s="19" customFormat="1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5"/>
      <c r="P3" s="5"/>
    </row>
    <row r="4" spans="2:16" ht="15">
      <c r="B4" s="333" t="s">
        <v>401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</row>
    <row r="5" spans="2:16" ht="15">
      <c r="B5" s="42"/>
      <c r="C5" s="42"/>
      <c r="D5" s="42"/>
      <c r="E5" s="42"/>
      <c r="F5" s="42"/>
      <c r="G5" s="42"/>
      <c r="H5" s="42"/>
      <c r="I5" s="42"/>
      <c r="J5" s="42"/>
    </row>
    <row r="6" spans="2:16" ht="15">
      <c r="B6" s="327" t="s">
        <v>68</v>
      </c>
      <c r="C6" s="327"/>
      <c r="D6" s="327"/>
      <c r="E6" s="327"/>
      <c r="F6" s="327"/>
      <c r="G6" s="327"/>
      <c r="H6" s="327"/>
      <c r="I6" s="327"/>
      <c r="J6" s="327"/>
    </row>
    <row r="7" spans="2:16" ht="15">
      <c r="N7" s="32" t="s">
        <v>4</v>
      </c>
    </row>
    <row r="8" spans="2:16" ht="13.9" customHeight="1">
      <c r="B8" s="328" t="s">
        <v>210</v>
      </c>
      <c r="C8" s="328" t="s">
        <v>18</v>
      </c>
      <c r="D8" s="330" t="s">
        <v>1</v>
      </c>
      <c r="E8" s="324" t="s">
        <v>482</v>
      </c>
      <c r="F8" s="325"/>
      <c r="G8" s="326"/>
      <c r="H8" s="324" t="s">
        <v>483</v>
      </c>
      <c r="I8" s="325"/>
      <c r="J8" s="329" t="s">
        <v>252</v>
      </c>
      <c r="K8" s="329"/>
      <c r="L8" s="329"/>
      <c r="M8" s="329"/>
      <c r="N8" s="329"/>
    </row>
    <row r="9" spans="2:16" ht="30">
      <c r="B9" s="328"/>
      <c r="C9" s="328"/>
      <c r="D9" s="331"/>
      <c r="E9" s="21" t="s">
        <v>394</v>
      </c>
      <c r="F9" s="21" t="s">
        <v>267</v>
      </c>
      <c r="G9" s="21" t="s">
        <v>226</v>
      </c>
      <c r="H9" s="21" t="s">
        <v>394</v>
      </c>
      <c r="I9" s="21" t="s">
        <v>266</v>
      </c>
      <c r="J9" s="21" t="s">
        <v>484</v>
      </c>
      <c r="K9" s="21" t="s">
        <v>485</v>
      </c>
      <c r="L9" s="21" t="s">
        <v>486</v>
      </c>
      <c r="M9" s="21" t="s">
        <v>487</v>
      </c>
      <c r="N9" s="21" t="s">
        <v>488</v>
      </c>
    </row>
    <row r="10" spans="2:16" ht="15">
      <c r="B10" s="328"/>
      <c r="C10" s="328"/>
      <c r="D10" s="332"/>
      <c r="E10" s="21" t="s">
        <v>10</v>
      </c>
      <c r="F10" s="21" t="s">
        <v>12</v>
      </c>
      <c r="G10" s="21" t="s">
        <v>256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>
      <c r="B11" s="26">
        <v>1</v>
      </c>
      <c r="C11" s="35" t="s">
        <v>69</v>
      </c>
      <c r="D11" s="35" t="s">
        <v>24</v>
      </c>
      <c r="E11" s="182">
        <v>148.11799999999999</v>
      </c>
      <c r="F11" s="180">
        <f>F2.1!G36</f>
        <v>202.24477503173907</v>
      </c>
      <c r="G11" s="180">
        <f>F11</f>
        <v>202.24477503173907</v>
      </c>
      <c r="H11" s="182">
        <v>154.09</v>
      </c>
      <c r="I11" s="180">
        <f>F2.1!H36</f>
        <v>218.78212688778041</v>
      </c>
      <c r="J11" s="180">
        <f>F2.1!I36</f>
        <v>201.99550939865361</v>
      </c>
      <c r="K11" s="180">
        <f>F2.1!J36</f>
        <v>213.71124894377553</v>
      </c>
      <c r="L11" s="180">
        <f>F2.1!K36</f>
        <v>226.10650138251452</v>
      </c>
      <c r="M11" s="180">
        <f>F2.1!L36</f>
        <v>239.22067846270036</v>
      </c>
      <c r="N11" s="180">
        <f>F2.1!M36</f>
        <v>253.095477813537</v>
      </c>
    </row>
    <row r="12" spans="2:16">
      <c r="B12" s="26">
        <f>B11+1</f>
        <v>2</v>
      </c>
      <c r="C12" s="44" t="s">
        <v>268</v>
      </c>
      <c r="D12" s="44" t="s">
        <v>25</v>
      </c>
      <c r="E12" s="182">
        <v>4.8600000000000003</v>
      </c>
      <c r="F12" s="181">
        <f>F2.2!G40</f>
        <v>8.5168877698571386</v>
      </c>
      <c r="G12" s="180">
        <f>F12</f>
        <v>8.5168877698571386</v>
      </c>
      <c r="H12" s="183">
        <v>4.96</v>
      </c>
      <c r="I12" s="180">
        <f>F2.2!H40</f>
        <v>12.985007854083594</v>
      </c>
      <c r="J12" s="180">
        <f>F2.2!I40</f>
        <v>12.111145288332294</v>
      </c>
      <c r="K12" s="180">
        <f>F2.2!J40</f>
        <v>12.704591407460574</v>
      </c>
      <c r="L12" s="180">
        <f>F2.2!K40</f>
        <v>13.327116386426141</v>
      </c>
      <c r="M12" s="180">
        <f>F2.2!L40</f>
        <v>13.98014508936102</v>
      </c>
      <c r="N12" s="180">
        <f>F2.2!M40</f>
        <v>14.665172198739709</v>
      </c>
    </row>
    <row r="13" spans="2:16">
      <c r="B13" s="26">
        <f>B12+1</f>
        <v>3</v>
      </c>
      <c r="C13" s="35" t="s">
        <v>229</v>
      </c>
      <c r="D13" s="35" t="s">
        <v>302</v>
      </c>
      <c r="E13" s="182">
        <v>29.318000000000001</v>
      </c>
      <c r="F13" s="180">
        <f>F2.3!G18</f>
        <v>39.227900063145306</v>
      </c>
      <c r="G13" s="180">
        <f>F13</f>
        <v>39.227900063145306</v>
      </c>
      <c r="H13" s="183">
        <v>32.799999999999997</v>
      </c>
      <c r="I13" s="180">
        <f>F2.3!H18</f>
        <v>26.922771127391403</v>
      </c>
      <c r="J13" s="180">
        <f>F2.3!I18</f>
        <v>38.857171708452654</v>
      </c>
      <c r="K13" s="180">
        <f>F2.3!J18</f>
        <v>38.891704900401798</v>
      </c>
      <c r="L13" s="180">
        <f>F2.3!K18</f>
        <v>38.90294107330466</v>
      </c>
      <c r="M13" s="180">
        <f>F2.3!L18</f>
        <v>39.21899709275565</v>
      </c>
      <c r="N13" s="180">
        <f>F2.3!M18</f>
        <v>39.21899709275565</v>
      </c>
    </row>
    <row r="14" spans="2:16" ht="15">
      <c r="B14" s="26">
        <f>B13+1</f>
        <v>4</v>
      </c>
      <c r="C14" s="35" t="s">
        <v>70</v>
      </c>
      <c r="D14" s="35"/>
      <c r="E14" s="137">
        <f>SUM(E11:E13)*0.99</f>
        <v>180.47304000000003</v>
      </c>
      <c r="F14" s="137">
        <f t="shared" ref="F14:I14" si="0">SUM(F11:F13)</f>
        <v>249.98956286474152</v>
      </c>
      <c r="G14" s="137">
        <f>SUM(G11:G13)</f>
        <v>249.98956286474152</v>
      </c>
      <c r="H14" s="137">
        <f>SUM(H11:H13)*0.99</f>
        <v>189.93150000000003</v>
      </c>
      <c r="I14" s="137">
        <f t="shared" si="0"/>
        <v>258.68990586925543</v>
      </c>
      <c r="J14" s="137">
        <f>SUM(J11:J13)</f>
        <v>252.96382639543856</v>
      </c>
      <c r="K14" s="137">
        <f t="shared" ref="K14:N14" si="1">SUM(K11:K13)</f>
        <v>265.30754525163792</v>
      </c>
      <c r="L14" s="137">
        <f t="shared" si="1"/>
        <v>278.33655884224532</v>
      </c>
      <c r="M14" s="137">
        <f t="shared" si="1"/>
        <v>292.41982064481704</v>
      </c>
      <c r="N14" s="137">
        <f t="shared" si="1"/>
        <v>306.97964710503237</v>
      </c>
    </row>
    <row r="15" spans="2:16">
      <c r="B15" s="57" t="s">
        <v>269</v>
      </c>
      <c r="C15" s="58"/>
      <c r="D15" s="55"/>
      <c r="E15" s="55"/>
      <c r="F15" s="55"/>
      <c r="G15" s="56"/>
      <c r="H15" s="56"/>
      <c r="I15" s="56"/>
      <c r="J15" s="56"/>
      <c r="K15" s="56"/>
      <c r="L15" s="56"/>
      <c r="M15" s="56"/>
      <c r="N15" s="56"/>
    </row>
    <row r="16" spans="2:16">
      <c r="B16" s="59">
        <v>1</v>
      </c>
      <c r="C16" s="58" t="s">
        <v>270</v>
      </c>
    </row>
  </sheetData>
  <mergeCells count="10">
    <mergeCell ref="B3:N3"/>
    <mergeCell ref="B2:N2"/>
    <mergeCell ref="B6:J6"/>
    <mergeCell ref="B8:B10"/>
    <mergeCell ref="C8:C10"/>
    <mergeCell ref="J8:N8"/>
    <mergeCell ref="H8:I8"/>
    <mergeCell ref="E8:G8"/>
    <mergeCell ref="D8:D10"/>
    <mergeCell ref="B4:N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96" zoomScaleNormal="96" zoomScaleSheetLayoutView="70" workbookViewId="0">
      <selection activeCell="D14" sqref="D14:D15"/>
    </sheetView>
  </sheetViews>
  <sheetFormatPr defaultColWidth="9.28515625" defaultRowHeight="14.25"/>
  <cols>
    <col min="1" max="1" width="4" style="19" customWidth="1"/>
    <col min="2" max="2" width="7" style="19" customWidth="1"/>
    <col min="3" max="3" width="44.42578125" style="19" customWidth="1"/>
    <col min="4" max="4" width="14.140625" style="19" customWidth="1"/>
    <col min="5" max="5" width="14.42578125" style="19" customWidth="1"/>
    <col min="6" max="6" width="14.28515625" style="19" customWidth="1"/>
    <col min="7" max="7" width="14.5703125" style="19" customWidth="1"/>
    <col min="8" max="8" width="1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4.25" customHeight="1">
      <c r="B2" s="335" t="s">
        <v>534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5"/>
      <c r="O2" s="5"/>
      <c r="P2" s="5"/>
    </row>
    <row r="3" spans="2:16" ht="14.25" customHeight="1">
      <c r="B3" s="335" t="s">
        <v>514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5"/>
      <c r="O3" s="5"/>
      <c r="P3" s="5"/>
    </row>
    <row r="4" spans="2:16" s="4" customFormat="1" ht="15">
      <c r="B4" s="336" t="s">
        <v>547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</row>
    <row r="5" spans="2:16" s="4" customFormat="1" ht="15">
      <c r="C5" s="48"/>
      <c r="D5" s="48"/>
      <c r="E5" s="48"/>
      <c r="F5" s="48"/>
      <c r="G5" s="49"/>
      <c r="H5" s="49"/>
    </row>
    <row r="6" spans="2:16" ht="15">
      <c r="M6" s="32" t="s">
        <v>4</v>
      </c>
    </row>
    <row r="7" spans="2:16" ht="12.75" customHeight="1">
      <c r="B7" s="320" t="s">
        <v>2</v>
      </c>
      <c r="C7" s="320" t="s">
        <v>18</v>
      </c>
      <c r="D7" s="21" t="s">
        <v>506</v>
      </c>
      <c r="E7" s="21" t="s">
        <v>507</v>
      </c>
      <c r="F7" s="21" t="s">
        <v>508</v>
      </c>
      <c r="G7" s="21" t="s">
        <v>482</v>
      </c>
      <c r="H7" s="21" t="s">
        <v>483</v>
      </c>
      <c r="I7" s="329" t="s">
        <v>252</v>
      </c>
      <c r="J7" s="329"/>
      <c r="K7" s="329"/>
      <c r="L7" s="329"/>
      <c r="M7" s="329"/>
    </row>
    <row r="8" spans="2:16" ht="15">
      <c r="B8" s="320"/>
      <c r="C8" s="320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6" ht="15">
      <c r="B9" s="334"/>
      <c r="C9" s="320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2">
        <v>1</v>
      </c>
      <c r="C10" s="50" t="s">
        <v>73</v>
      </c>
      <c r="D10" s="169"/>
      <c r="E10" s="169"/>
      <c r="F10" s="169"/>
      <c r="G10" s="166">
        <v>105.90736836352731</v>
      </c>
      <c r="H10" s="232">
        <v>111.48412921385106</v>
      </c>
      <c r="I10" s="3"/>
      <c r="J10" s="3"/>
      <c r="K10" s="3"/>
      <c r="L10" s="3"/>
      <c r="M10" s="3"/>
    </row>
    <row r="11" spans="2:16">
      <c r="B11" s="2">
        <v>2</v>
      </c>
      <c r="C11" s="50" t="s">
        <v>74</v>
      </c>
      <c r="D11" s="169"/>
      <c r="E11" s="169"/>
      <c r="F11" s="169"/>
      <c r="G11" s="166">
        <v>3.4752962955413405</v>
      </c>
      <c r="H11" s="232">
        <v>9.4912996136331902</v>
      </c>
      <c r="I11" s="3"/>
      <c r="J11" s="3"/>
      <c r="K11" s="3"/>
      <c r="L11" s="3"/>
      <c r="M11" s="3"/>
    </row>
    <row r="12" spans="2:16">
      <c r="B12" s="2">
        <v>3</v>
      </c>
      <c r="C12" s="3" t="s">
        <v>75</v>
      </c>
      <c r="D12" s="166"/>
      <c r="E12" s="166"/>
      <c r="F12" s="166"/>
      <c r="G12" s="166">
        <v>6.4319734216892668</v>
      </c>
      <c r="H12" s="232">
        <v>6.1196430187176363</v>
      </c>
      <c r="I12" s="3"/>
      <c r="J12" s="3"/>
      <c r="K12" s="3"/>
      <c r="L12" s="3"/>
      <c r="M12" s="3"/>
    </row>
    <row r="13" spans="2:16">
      <c r="B13" s="2">
        <v>4</v>
      </c>
      <c r="C13" s="50" t="s">
        <v>76</v>
      </c>
      <c r="D13" s="169"/>
      <c r="E13" s="169"/>
      <c r="F13" s="169"/>
      <c r="G13" s="166">
        <v>1.4118634132453396</v>
      </c>
      <c r="H13" s="232">
        <v>1.3394635902861116</v>
      </c>
      <c r="I13" s="3"/>
      <c r="J13" s="3"/>
      <c r="K13" s="3"/>
      <c r="L13" s="3"/>
      <c r="M13" s="3"/>
    </row>
    <row r="14" spans="2:16">
      <c r="B14" s="2">
        <v>5</v>
      </c>
      <c r="C14" s="50" t="s">
        <v>77</v>
      </c>
      <c r="D14" s="169"/>
      <c r="E14" s="169"/>
      <c r="F14" s="169"/>
      <c r="G14" s="166">
        <v>6.0327087272895479E-4</v>
      </c>
      <c r="H14" s="232">
        <v>4.3011382735618924E-4</v>
      </c>
      <c r="I14" s="3"/>
      <c r="J14" s="3"/>
      <c r="K14" s="3"/>
      <c r="L14" s="3"/>
      <c r="M14" s="3"/>
    </row>
    <row r="15" spans="2:16">
      <c r="B15" s="2">
        <v>6</v>
      </c>
      <c r="C15" s="3" t="s">
        <v>78</v>
      </c>
      <c r="D15" s="166"/>
      <c r="E15" s="166"/>
      <c r="F15" s="166"/>
      <c r="G15" s="166">
        <v>22.898032440882105</v>
      </c>
      <c r="H15" s="232">
        <v>19.905898306131188</v>
      </c>
      <c r="I15" s="3"/>
      <c r="J15" s="3"/>
      <c r="K15" s="3"/>
      <c r="L15" s="3"/>
      <c r="M15" s="3"/>
    </row>
    <row r="16" spans="2:16">
      <c r="B16" s="2">
        <v>7</v>
      </c>
      <c r="C16" s="50" t="s">
        <v>79</v>
      </c>
      <c r="D16" s="169"/>
      <c r="E16" s="169"/>
      <c r="F16" s="169"/>
      <c r="G16" s="166">
        <v>26.334388948280608</v>
      </c>
      <c r="H16" s="232">
        <v>20.878477310662291</v>
      </c>
      <c r="I16" s="3"/>
      <c r="J16" s="3"/>
      <c r="K16" s="3"/>
      <c r="L16" s="3"/>
      <c r="M16" s="3"/>
    </row>
    <row r="17" spans="2:13">
      <c r="B17" s="2">
        <v>8</v>
      </c>
      <c r="C17" s="50" t="s">
        <v>80</v>
      </c>
      <c r="D17" s="169"/>
      <c r="E17" s="169"/>
      <c r="F17" s="169"/>
      <c r="G17" s="166">
        <v>4.1620109622786137</v>
      </c>
      <c r="H17" s="232">
        <v>1.5752323753266606</v>
      </c>
      <c r="I17" s="3"/>
      <c r="J17" s="3"/>
      <c r="K17" s="3"/>
      <c r="L17" s="3"/>
      <c r="M17" s="3"/>
    </row>
    <row r="18" spans="2:13">
      <c r="B18" s="2">
        <v>9</v>
      </c>
      <c r="C18" s="50" t="s">
        <v>81</v>
      </c>
      <c r="D18" s="169"/>
      <c r="E18" s="169"/>
      <c r="F18" s="169"/>
      <c r="G18" s="166">
        <v>0</v>
      </c>
      <c r="H18" s="232">
        <v>0</v>
      </c>
      <c r="I18" s="3"/>
      <c r="J18" s="3"/>
      <c r="K18" s="3"/>
      <c r="L18" s="3"/>
      <c r="M18" s="3"/>
    </row>
    <row r="19" spans="2:13">
      <c r="B19" s="2">
        <v>10</v>
      </c>
      <c r="C19" s="50" t="s">
        <v>82</v>
      </c>
      <c r="D19" s="169"/>
      <c r="E19" s="169"/>
      <c r="F19" s="169"/>
      <c r="G19" s="169">
        <v>0.10909090909090911</v>
      </c>
      <c r="H19" s="232">
        <v>0</v>
      </c>
      <c r="I19" s="3"/>
      <c r="J19" s="3"/>
      <c r="K19" s="3"/>
      <c r="L19" s="3"/>
      <c r="M19" s="3"/>
    </row>
    <row r="20" spans="2:13">
      <c r="B20" s="2">
        <v>11</v>
      </c>
      <c r="C20" s="50" t="s">
        <v>83</v>
      </c>
      <c r="D20" s="169"/>
      <c r="E20" s="169"/>
      <c r="F20" s="169"/>
      <c r="G20" s="169">
        <v>0</v>
      </c>
      <c r="H20" s="232">
        <v>2.375953923719607E-3</v>
      </c>
      <c r="I20" s="3"/>
      <c r="J20" s="3"/>
      <c r="K20" s="3"/>
      <c r="L20" s="3"/>
      <c r="M20" s="3"/>
    </row>
    <row r="21" spans="2:13">
      <c r="B21" s="2">
        <v>12</v>
      </c>
      <c r="C21" s="50" t="s">
        <v>84</v>
      </c>
      <c r="D21" s="169"/>
      <c r="E21" s="169"/>
      <c r="F21" s="169"/>
      <c r="G21" s="169">
        <v>2.4330063924829268</v>
      </c>
      <c r="H21" s="232">
        <v>2.5128885438067208</v>
      </c>
      <c r="I21" s="3"/>
      <c r="J21" s="3"/>
      <c r="K21" s="3"/>
      <c r="L21" s="3"/>
      <c r="M21" s="3"/>
    </row>
    <row r="22" spans="2:13">
      <c r="B22" s="2">
        <v>13</v>
      </c>
      <c r="C22" s="50" t="s">
        <v>85</v>
      </c>
      <c r="D22" s="169"/>
      <c r="E22" s="169"/>
      <c r="F22" s="169"/>
      <c r="G22" s="169">
        <v>0</v>
      </c>
      <c r="H22" s="232">
        <v>0</v>
      </c>
      <c r="I22" s="3"/>
      <c r="J22" s="3"/>
      <c r="K22" s="3"/>
      <c r="L22" s="3"/>
      <c r="M22" s="3"/>
    </row>
    <row r="23" spans="2:13">
      <c r="B23" s="2">
        <v>14</v>
      </c>
      <c r="C23" s="50" t="s">
        <v>86</v>
      </c>
      <c r="D23" s="169"/>
      <c r="E23" s="169"/>
      <c r="F23" s="169"/>
      <c r="G23" s="169">
        <v>0</v>
      </c>
      <c r="H23" s="232">
        <v>0</v>
      </c>
      <c r="I23" s="3"/>
      <c r="J23" s="3"/>
      <c r="K23" s="3"/>
      <c r="L23" s="3"/>
      <c r="M23" s="3"/>
    </row>
    <row r="24" spans="2:13">
      <c r="B24" s="2">
        <v>15</v>
      </c>
      <c r="C24" s="50" t="s">
        <v>87</v>
      </c>
      <c r="D24" s="169"/>
      <c r="E24" s="169"/>
      <c r="F24" s="169"/>
      <c r="G24" s="166">
        <v>0</v>
      </c>
      <c r="H24" s="232">
        <v>0</v>
      </c>
      <c r="I24" s="3"/>
      <c r="J24" s="3"/>
      <c r="K24" s="3"/>
      <c r="L24" s="3"/>
      <c r="M24" s="3"/>
    </row>
    <row r="25" spans="2:13">
      <c r="B25" s="2">
        <v>16</v>
      </c>
      <c r="C25" s="50" t="s">
        <v>88</v>
      </c>
      <c r="D25" s="169"/>
      <c r="E25" s="169"/>
      <c r="F25" s="169"/>
      <c r="G25" s="184">
        <v>8.0370872727272724E-2</v>
      </c>
      <c r="H25" s="232">
        <v>0</v>
      </c>
      <c r="I25" s="3"/>
      <c r="J25" s="3"/>
      <c r="K25" s="3"/>
      <c r="L25" s="3"/>
      <c r="M25" s="3"/>
    </row>
    <row r="26" spans="2:13" ht="15">
      <c r="B26" s="2">
        <v>17</v>
      </c>
      <c r="C26" s="50" t="s">
        <v>89</v>
      </c>
      <c r="D26" s="169"/>
      <c r="E26" s="169"/>
      <c r="F26" s="169"/>
      <c r="G26" s="184">
        <v>173.24400529061842</v>
      </c>
      <c r="H26" s="233">
        <v>173.30983804016594</v>
      </c>
      <c r="I26" s="3"/>
      <c r="J26" s="3"/>
      <c r="K26" s="3"/>
      <c r="L26" s="3"/>
      <c r="M26" s="3"/>
    </row>
    <row r="27" spans="2:13">
      <c r="B27" s="2">
        <v>18</v>
      </c>
      <c r="C27" s="50" t="s">
        <v>90</v>
      </c>
      <c r="D27" s="169"/>
      <c r="E27" s="169"/>
      <c r="F27" s="169"/>
      <c r="G27" s="184">
        <v>0</v>
      </c>
      <c r="H27" s="232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50" t="s">
        <v>91</v>
      </c>
      <c r="D28" s="169"/>
      <c r="E28" s="169"/>
      <c r="F28" s="169"/>
      <c r="G28" s="184">
        <v>11.58733678564537</v>
      </c>
      <c r="H28" s="232">
        <v>12.249775391593154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50" t="s">
        <v>92</v>
      </c>
      <c r="D29" s="169"/>
      <c r="E29" s="169"/>
      <c r="F29" s="169"/>
      <c r="G29" s="184">
        <v>0</v>
      </c>
      <c r="H29" s="232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50" t="s">
        <v>93</v>
      </c>
      <c r="D30" s="169"/>
      <c r="E30" s="169"/>
      <c r="F30" s="169"/>
      <c r="G30" s="184">
        <v>0</v>
      </c>
      <c r="H30" s="232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50" t="s">
        <v>94</v>
      </c>
      <c r="D31" s="169"/>
      <c r="E31" s="169"/>
      <c r="F31" s="169"/>
      <c r="G31" s="166">
        <v>17.413432955475294</v>
      </c>
      <c r="H31" s="232">
        <v>33.222513456021332</v>
      </c>
      <c r="I31" s="3"/>
      <c r="J31" s="3"/>
      <c r="K31" s="3"/>
      <c r="L31" s="3"/>
      <c r="M31" s="3"/>
    </row>
    <row r="32" spans="2:13">
      <c r="B32" s="2">
        <v>19</v>
      </c>
      <c r="C32" s="54" t="s">
        <v>428</v>
      </c>
      <c r="D32" s="169"/>
      <c r="E32" s="169"/>
      <c r="F32" s="169"/>
      <c r="G32" s="166">
        <v>0</v>
      </c>
      <c r="H32" s="232">
        <v>0</v>
      </c>
      <c r="I32" s="3"/>
      <c r="J32" s="3"/>
      <c r="K32" s="3"/>
      <c r="L32" s="3"/>
      <c r="M32" s="3"/>
    </row>
    <row r="33" spans="2:13">
      <c r="B33" s="2">
        <v>20</v>
      </c>
      <c r="C33" s="50" t="s">
        <v>95</v>
      </c>
      <c r="D33" s="169"/>
      <c r="E33" s="169"/>
      <c r="F33" s="169"/>
      <c r="G33" s="166">
        <v>0</v>
      </c>
      <c r="H33" s="232">
        <v>0</v>
      </c>
      <c r="I33" s="166">
        <v>201.99550939865361</v>
      </c>
      <c r="J33" s="166">
        <v>213.71124894377553</v>
      </c>
      <c r="K33" s="166">
        <v>226.10650138251452</v>
      </c>
      <c r="L33" s="166">
        <v>239.22067846270036</v>
      </c>
      <c r="M33" s="166">
        <v>253.095477813537</v>
      </c>
    </row>
    <row r="34" spans="2:13" ht="15">
      <c r="B34" s="20">
        <v>21</v>
      </c>
      <c r="C34" s="51" t="s">
        <v>96</v>
      </c>
      <c r="D34" s="168">
        <f>SUM(D26:D33)</f>
        <v>0</v>
      </c>
      <c r="E34" s="168">
        <f t="shared" ref="E34:G34" si="0">SUM(E26:E33)</f>
        <v>0</v>
      </c>
      <c r="F34" s="168">
        <f t="shared" si="0"/>
        <v>0</v>
      </c>
      <c r="G34" s="168">
        <f t="shared" si="0"/>
        <v>202.24477503173907</v>
      </c>
      <c r="H34" s="233">
        <f t="shared" ref="H34" si="1">H26+H28+H31</f>
        <v>218.78212688778041</v>
      </c>
      <c r="I34" s="168">
        <f t="shared" ref="I34:M34" si="2">SUM(I10:I33)</f>
        <v>201.99550939865361</v>
      </c>
      <c r="J34" s="168">
        <f t="shared" si="2"/>
        <v>213.71124894377553</v>
      </c>
      <c r="K34" s="168">
        <f t="shared" si="2"/>
        <v>226.10650138251452</v>
      </c>
      <c r="L34" s="168">
        <f t="shared" si="2"/>
        <v>239.22067846270036</v>
      </c>
      <c r="M34" s="168">
        <f t="shared" si="2"/>
        <v>253.095477813537</v>
      </c>
    </row>
    <row r="35" spans="2:13">
      <c r="B35" s="2">
        <v>22</v>
      </c>
      <c r="C35" s="50" t="s">
        <v>17</v>
      </c>
      <c r="D35" s="169"/>
      <c r="E35" s="169"/>
      <c r="F35" s="169"/>
      <c r="G35" s="166">
        <v>0</v>
      </c>
      <c r="H35" s="232">
        <v>0</v>
      </c>
      <c r="I35" s="166"/>
      <c r="J35" s="166"/>
      <c r="K35" s="166"/>
      <c r="L35" s="166"/>
      <c r="M35" s="166"/>
    </row>
    <row r="36" spans="2:13" ht="15">
      <c r="B36" s="20">
        <v>23</v>
      </c>
      <c r="C36" s="25" t="s">
        <v>97</v>
      </c>
      <c r="D36" s="139">
        <v>134.16</v>
      </c>
      <c r="E36" s="139">
        <v>147.96</v>
      </c>
      <c r="F36" s="139">
        <v>149.66999999999999</v>
      </c>
      <c r="G36" s="139">
        <f t="shared" ref="G36:M36" si="3">G34-G35</f>
        <v>202.24477503173907</v>
      </c>
      <c r="H36" s="233">
        <f t="shared" si="3"/>
        <v>218.78212688778041</v>
      </c>
      <c r="I36" s="139">
        <f t="shared" si="3"/>
        <v>201.99550939865361</v>
      </c>
      <c r="J36" s="139">
        <f t="shared" si="3"/>
        <v>213.71124894377553</v>
      </c>
      <c r="K36" s="139">
        <f t="shared" si="3"/>
        <v>226.10650138251452</v>
      </c>
      <c r="L36" s="139">
        <f t="shared" si="3"/>
        <v>239.22067846270036</v>
      </c>
      <c r="M36" s="139">
        <f t="shared" si="3"/>
        <v>253.095477813537</v>
      </c>
    </row>
    <row r="38" spans="2:13" ht="15">
      <c r="B38" s="52"/>
    </row>
    <row r="39" spans="2:13">
      <c r="B39" s="53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E6" sqref="E6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310" t="s">
        <v>535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2:13" ht="15.75">
      <c r="B3" s="310" t="s">
        <v>515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</row>
    <row r="4" spans="2:13" s="4" customFormat="1" ht="15.75">
      <c r="B4" s="337" t="s">
        <v>548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</row>
    <row r="6" spans="2:13" ht="15">
      <c r="M6" s="32" t="s">
        <v>4</v>
      </c>
    </row>
    <row r="7" spans="2:13" ht="12.75" customHeight="1">
      <c r="B7" s="322" t="s">
        <v>210</v>
      </c>
      <c r="C7" s="320" t="s">
        <v>18</v>
      </c>
      <c r="D7" s="21" t="s">
        <v>506</v>
      </c>
      <c r="E7" s="21" t="s">
        <v>507</v>
      </c>
      <c r="F7" s="21" t="s">
        <v>508</v>
      </c>
      <c r="G7" s="21" t="s">
        <v>482</v>
      </c>
      <c r="H7" s="21" t="s">
        <v>483</v>
      </c>
      <c r="I7" s="329" t="s">
        <v>252</v>
      </c>
      <c r="J7" s="329"/>
      <c r="K7" s="329"/>
      <c r="L7" s="329"/>
      <c r="M7" s="329"/>
    </row>
    <row r="8" spans="2:13" ht="15">
      <c r="B8" s="322"/>
      <c r="C8" s="320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ht="15">
      <c r="B9" s="322"/>
      <c r="C9" s="320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60" t="s">
        <v>98</v>
      </c>
      <c r="D10" s="166">
        <v>0.17498273534729381</v>
      </c>
      <c r="E10" s="166">
        <v>0.19756590702804677</v>
      </c>
      <c r="F10" s="166">
        <v>0.49423753840394907</v>
      </c>
      <c r="G10" s="166">
        <v>0.32882329167121144</v>
      </c>
      <c r="H10" s="234">
        <v>0.4647852884062012</v>
      </c>
      <c r="I10" s="3"/>
      <c r="J10" s="3"/>
      <c r="K10" s="3"/>
      <c r="L10" s="3"/>
      <c r="M10" s="3"/>
    </row>
    <row r="11" spans="2:13">
      <c r="B11" s="3">
        <v>2</v>
      </c>
      <c r="C11" s="61" t="s">
        <v>99</v>
      </c>
      <c r="D11" s="166">
        <v>3.0966833291493363</v>
      </c>
      <c r="E11" s="166">
        <v>3.3115285506430827</v>
      </c>
      <c r="F11" s="166">
        <v>3.3825128705882879</v>
      </c>
      <c r="G11" s="166">
        <v>3.2419172981663347</v>
      </c>
      <c r="H11" s="234">
        <v>3.1495063997158548</v>
      </c>
      <c r="I11" s="3"/>
      <c r="J11" s="3"/>
      <c r="K11" s="3"/>
      <c r="L11" s="3"/>
      <c r="M11" s="3"/>
    </row>
    <row r="12" spans="2:13">
      <c r="B12" s="3">
        <v>3</v>
      </c>
      <c r="C12" s="61" t="s">
        <v>100</v>
      </c>
      <c r="D12" s="166">
        <v>0.11229132676951745</v>
      </c>
      <c r="E12" s="166">
        <v>8.7661289292599032E-2</v>
      </c>
      <c r="F12" s="166">
        <v>8.6778676413098499E-2</v>
      </c>
      <c r="G12" s="166">
        <v>0.17198580635100444</v>
      </c>
      <c r="H12" s="234">
        <v>0.17095682182879104</v>
      </c>
      <c r="I12" s="3"/>
      <c r="J12" s="3"/>
      <c r="K12" s="3"/>
      <c r="L12" s="3"/>
      <c r="M12" s="3"/>
    </row>
    <row r="13" spans="2:13">
      <c r="B13" s="3">
        <v>4</v>
      </c>
      <c r="C13" s="61" t="s">
        <v>101</v>
      </c>
      <c r="D13" s="166">
        <v>0.16999937267294896</v>
      </c>
      <c r="E13" s="166">
        <v>0.13745742191278795</v>
      </c>
      <c r="F13" s="166">
        <v>9.9318696768278064E-2</v>
      </c>
      <c r="G13" s="166">
        <v>0.1660863708566005</v>
      </c>
      <c r="H13" s="234">
        <v>0.13762893823436811</v>
      </c>
      <c r="I13" s="3"/>
      <c r="J13" s="3"/>
      <c r="K13" s="3"/>
      <c r="L13" s="3"/>
      <c r="M13" s="3"/>
    </row>
    <row r="14" spans="2:13">
      <c r="B14" s="3">
        <v>5</v>
      </c>
      <c r="C14" s="61" t="s">
        <v>102</v>
      </c>
      <c r="D14" s="166">
        <v>3.4531440190035699E-2</v>
      </c>
      <c r="E14" s="166">
        <v>1.8483975139953424E-2</v>
      </c>
      <c r="F14" s="166">
        <v>0.16908930476830047</v>
      </c>
      <c r="G14" s="166">
        <v>0.10224670981181118</v>
      </c>
      <c r="H14" s="234">
        <v>4.8886164988285317E-2</v>
      </c>
      <c r="I14" s="3"/>
      <c r="J14" s="3"/>
      <c r="K14" s="3"/>
      <c r="L14" s="3"/>
      <c r="M14" s="3"/>
    </row>
    <row r="15" spans="2:13">
      <c r="B15" s="3">
        <v>6</v>
      </c>
      <c r="C15" s="61" t="s">
        <v>103</v>
      </c>
      <c r="D15" s="166">
        <v>0.13923354118398945</v>
      </c>
      <c r="E15" s="166">
        <v>6.7279777816908803E-2</v>
      </c>
      <c r="F15" s="166">
        <v>3.3313390137296665E-2</v>
      </c>
      <c r="G15" s="166">
        <v>9.4796584788152657E-2</v>
      </c>
      <c r="H15" s="234">
        <v>0.10190729464466694</v>
      </c>
      <c r="I15" s="3"/>
      <c r="J15" s="3"/>
      <c r="K15" s="3"/>
      <c r="L15" s="3"/>
      <c r="M15" s="3"/>
    </row>
    <row r="16" spans="2:13">
      <c r="B16" s="3">
        <v>7</v>
      </c>
      <c r="C16" s="61" t="s">
        <v>104</v>
      </c>
      <c r="D16" s="166">
        <v>0.11237637011619907</v>
      </c>
      <c r="E16" s="166">
        <v>1.1976391374222775</v>
      </c>
      <c r="F16" s="166">
        <v>2.5708037916545279</v>
      </c>
      <c r="G16" s="166">
        <v>1.5140428732709632</v>
      </c>
      <c r="H16" s="234">
        <v>1.5330620193808446</v>
      </c>
      <c r="I16" s="3"/>
      <c r="J16" s="3"/>
      <c r="K16" s="3"/>
      <c r="L16" s="3"/>
      <c r="M16" s="3"/>
    </row>
    <row r="17" spans="2:13">
      <c r="B17" s="3">
        <v>8</v>
      </c>
      <c r="C17" s="61" t="s">
        <v>105</v>
      </c>
      <c r="D17" s="166">
        <v>8.8320798105563075E-3</v>
      </c>
      <c r="E17" s="166">
        <v>1.1628856006045372E-2</v>
      </c>
      <c r="F17" s="166">
        <v>4.4711996668877129E-3</v>
      </c>
      <c r="G17" s="166">
        <v>2.332617398948229E-3</v>
      </c>
      <c r="H17" s="234">
        <v>2.0312664411295768E-3</v>
      </c>
      <c r="I17" s="3"/>
      <c r="J17" s="3"/>
      <c r="K17" s="3"/>
      <c r="L17" s="3"/>
      <c r="M17" s="3"/>
    </row>
    <row r="18" spans="2:13">
      <c r="B18" s="3">
        <v>9</v>
      </c>
      <c r="C18" s="61" t="s">
        <v>106</v>
      </c>
      <c r="D18" s="166">
        <v>5.8608060940188327E-2</v>
      </c>
      <c r="E18" s="166">
        <v>6.6435904631186107E-2</v>
      </c>
      <c r="F18" s="166">
        <v>6.5367164196597924E-2</v>
      </c>
      <c r="G18" s="166">
        <v>6.9387744274632582E-2</v>
      </c>
      <c r="H18" s="234">
        <v>7.9492452885466414E-2</v>
      </c>
      <c r="I18" s="3"/>
      <c r="J18" s="3"/>
      <c r="K18" s="3"/>
      <c r="L18" s="3"/>
      <c r="M18" s="3"/>
    </row>
    <row r="19" spans="2:13">
      <c r="B19" s="3">
        <v>10</v>
      </c>
      <c r="C19" s="61" t="s">
        <v>107</v>
      </c>
      <c r="D19" s="166">
        <v>3.2213989030967921E-2</v>
      </c>
      <c r="E19" s="166">
        <v>0.15623695790251418</v>
      </c>
      <c r="F19" s="166">
        <v>3.2389452495748469E-2</v>
      </c>
      <c r="G19" s="166">
        <v>2.2212223370294402E-2</v>
      </c>
      <c r="H19" s="234">
        <v>2.1711024692919016E-2</v>
      </c>
      <c r="I19" s="3"/>
      <c r="J19" s="3"/>
      <c r="K19" s="3"/>
      <c r="L19" s="3"/>
      <c r="M19" s="3"/>
    </row>
    <row r="20" spans="2:13">
      <c r="B20" s="3">
        <v>11</v>
      </c>
      <c r="C20" s="61" t="s">
        <v>108</v>
      </c>
      <c r="D20" s="166">
        <v>0</v>
      </c>
      <c r="E20" s="166">
        <v>0</v>
      </c>
      <c r="F20" s="166">
        <v>9.0436363636363642E-4</v>
      </c>
      <c r="G20" s="166">
        <v>1.6395116231793438E-3</v>
      </c>
      <c r="H20" s="234">
        <v>1.0078444528613558E-3</v>
      </c>
      <c r="I20" s="3"/>
      <c r="J20" s="3"/>
      <c r="K20" s="3"/>
      <c r="L20" s="3"/>
      <c r="M20" s="3"/>
    </row>
    <row r="21" spans="2:13">
      <c r="B21" s="3">
        <v>12</v>
      </c>
      <c r="C21" s="61" t="s">
        <v>109</v>
      </c>
      <c r="D21" s="166">
        <v>0</v>
      </c>
      <c r="E21" s="166">
        <v>0</v>
      </c>
      <c r="F21" s="166">
        <v>0</v>
      </c>
      <c r="G21" s="166">
        <v>0</v>
      </c>
      <c r="H21" s="234">
        <v>0</v>
      </c>
      <c r="I21" s="3"/>
      <c r="J21" s="3"/>
      <c r="K21" s="3"/>
      <c r="L21" s="3"/>
      <c r="M21" s="3"/>
    </row>
    <row r="22" spans="2:13">
      <c r="B22" s="3">
        <v>13</v>
      </c>
      <c r="C22" s="61" t="s">
        <v>110</v>
      </c>
      <c r="D22" s="166">
        <v>1.7597772056045999E-2</v>
      </c>
      <c r="E22" s="166">
        <v>2.2905280943201271E-2</v>
      </c>
      <c r="F22" s="166">
        <v>9.2421499731519356E-3</v>
      </c>
      <c r="G22" s="166">
        <v>2.5308438793000709E-2</v>
      </c>
      <c r="H22" s="234">
        <v>2.0362754578957091E-2</v>
      </c>
      <c r="I22" s="3"/>
      <c r="J22" s="3"/>
      <c r="K22" s="3"/>
      <c r="L22" s="3"/>
      <c r="M22" s="3"/>
    </row>
    <row r="23" spans="2:13">
      <c r="B23" s="3">
        <v>14</v>
      </c>
      <c r="C23" s="61" t="s">
        <v>111</v>
      </c>
      <c r="D23" s="166">
        <v>0.83334555399330279</v>
      </c>
      <c r="E23" s="166">
        <v>6.0129441125728864E-2</v>
      </c>
      <c r="F23" s="166">
        <v>0.11773286857210072</v>
      </c>
      <c r="G23" s="166">
        <v>6.3381353625972095E-2</v>
      </c>
      <c r="H23" s="234">
        <v>8.9066437514222038E-2</v>
      </c>
      <c r="I23" s="3"/>
      <c r="J23" s="3"/>
      <c r="K23" s="3"/>
      <c r="L23" s="3"/>
      <c r="M23" s="3"/>
    </row>
    <row r="24" spans="2:13">
      <c r="B24" s="3">
        <v>15</v>
      </c>
      <c r="C24" s="61" t="s">
        <v>112</v>
      </c>
      <c r="D24" s="166">
        <v>0</v>
      </c>
      <c r="E24" s="166">
        <v>0</v>
      </c>
      <c r="F24" s="166">
        <v>0</v>
      </c>
      <c r="G24" s="166">
        <v>0</v>
      </c>
      <c r="H24" s="234">
        <v>0</v>
      </c>
      <c r="I24" s="3"/>
      <c r="J24" s="3"/>
      <c r="K24" s="3"/>
      <c r="L24" s="3"/>
      <c r="M24" s="3"/>
    </row>
    <row r="25" spans="2:13">
      <c r="B25" s="3">
        <v>16</v>
      </c>
      <c r="C25" s="60" t="s">
        <v>113</v>
      </c>
      <c r="D25" s="166">
        <v>0</v>
      </c>
      <c r="E25" s="166">
        <v>0</v>
      </c>
      <c r="F25" s="166">
        <v>0</v>
      </c>
      <c r="G25" s="166">
        <v>0</v>
      </c>
      <c r="H25" s="234">
        <v>0</v>
      </c>
      <c r="I25" s="3"/>
      <c r="J25" s="3"/>
      <c r="K25" s="3"/>
      <c r="L25" s="3"/>
      <c r="M25" s="3"/>
    </row>
    <row r="26" spans="2:13">
      <c r="B26" s="3">
        <v>17</v>
      </c>
      <c r="C26" s="60" t="s">
        <v>114</v>
      </c>
      <c r="D26" s="166">
        <v>0</v>
      </c>
      <c r="E26" s="166">
        <v>0</v>
      </c>
      <c r="F26" s="166">
        <v>0</v>
      </c>
      <c r="G26" s="166">
        <v>0</v>
      </c>
      <c r="H26" s="234">
        <v>0</v>
      </c>
      <c r="I26" s="3"/>
      <c r="J26" s="3"/>
      <c r="K26" s="3"/>
      <c r="L26" s="3"/>
      <c r="M26" s="3"/>
    </row>
    <row r="27" spans="2:13">
      <c r="B27" s="3">
        <v>18</v>
      </c>
      <c r="C27" s="61" t="s">
        <v>115</v>
      </c>
      <c r="D27" s="166">
        <v>3.4366580948328493E-2</v>
      </c>
      <c r="E27" s="166">
        <v>1.8127879586077141E-2</v>
      </c>
      <c r="F27" s="166">
        <v>2.3908989559397319E-2</v>
      </c>
      <c r="G27" s="166">
        <v>3.1956297857902938E-2</v>
      </c>
      <c r="H27" s="234">
        <v>3.4992072792763895E-2</v>
      </c>
      <c r="I27" s="3"/>
      <c r="J27" s="3"/>
      <c r="K27" s="3"/>
      <c r="L27" s="3"/>
      <c r="M27" s="3"/>
    </row>
    <row r="28" spans="2:13">
      <c r="B28" s="3">
        <v>19</v>
      </c>
      <c r="C28" s="61" t="s">
        <v>116</v>
      </c>
      <c r="D28" s="166">
        <v>1.4139886200636547</v>
      </c>
      <c r="E28" s="166">
        <v>1.2647183913790794</v>
      </c>
      <c r="F28" s="166">
        <v>1.3553403084056512</v>
      </c>
      <c r="G28" s="166">
        <v>1.4330709134897015</v>
      </c>
      <c r="H28" s="234">
        <v>1.4266760173019533</v>
      </c>
      <c r="I28" s="3"/>
      <c r="J28" s="3"/>
      <c r="K28" s="3"/>
      <c r="L28" s="3"/>
      <c r="M28" s="3"/>
    </row>
    <row r="29" spans="2:13">
      <c r="B29" s="3">
        <v>20</v>
      </c>
      <c r="C29" s="61" t="s">
        <v>117</v>
      </c>
      <c r="D29" s="166">
        <v>0</v>
      </c>
      <c r="E29" s="166">
        <v>0</v>
      </c>
      <c r="F29" s="166">
        <v>0</v>
      </c>
      <c r="G29" s="166">
        <v>0</v>
      </c>
      <c r="H29" s="234">
        <v>0</v>
      </c>
      <c r="I29" s="3"/>
      <c r="J29" s="3"/>
      <c r="K29" s="3"/>
      <c r="L29" s="3"/>
      <c r="M29" s="3"/>
    </row>
    <row r="30" spans="2:13">
      <c r="B30" s="3">
        <v>21</v>
      </c>
      <c r="C30" s="61" t="s">
        <v>118</v>
      </c>
      <c r="D30" s="166">
        <v>0</v>
      </c>
      <c r="E30" s="166">
        <v>0</v>
      </c>
      <c r="F30" s="166">
        <v>0</v>
      </c>
      <c r="G30" s="166">
        <v>0</v>
      </c>
      <c r="H30" s="234">
        <v>0</v>
      </c>
      <c r="I30" s="3"/>
      <c r="J30" s="3"/>
      <c r="K30" s="3"/>
      <c r="L30" s="3"/>
      <c r="M30" s="3"/>
    </row>
    <row r="31" spans="2:13">
      <c r="B31" s="3">
        <v>22</v>
      </c>
      <c r="C31" s="61" t="s">
        <v>119</v>
      </c>
      <c r="D31" s="166">
        <v>9.0410965636363638E-2</v>
      </c>
      <c r="E31" s="166">
        <v>1.8573791999999999E-2</v>
      </c>
      <c r="F31" s="166">
        <v>2.0204198181818178E-2</v>
      </c>
      <c r="G31" s="166">
        <v>3.8730285818181824E-2</v>
      </c>
      <c r="H31" s="234">
        <v>2.0150061818181818E-2</v>
      </c>
      <c r="I31" s="3"/>
      <c r="J31" s="3"/>
      <c r="K31" s="3"/>
      <c r="L31" s="3"/>
      <c r="M31" s="3"/>
    </row>
    <row r="32" spans="2:13">
      <c r="B32" s="3">
        <v>23</v>
      </c>
      <c r="C32" s="61" t="s">
        <v>120</v>
      </c>
      <c r="D32" s="166">
        <v>0</v>
      </c>
      <c r="E32" s="166">
        <v>0</v>
      </c>
      <c r="F32" s="166">
        <v>0</v>
      </c>
      <c r="G32" s="166">
        <v>0</v>
      </c>
      <c r="H32" s="234">
        <v>0</v>
      </c>
      <c r="I32" s="3"/>
      <c r="J32" s="3"/>
      <c r="K32" s="3"/>
      <c r="L32" s="3"/>
      <c r="M32" s="3"/>
    </row>
    <row r="33" spans="2:13">
      <c r="B33" s="3">
        <v>24</v>
      </c>
      <c r="C33" s="61" t="s">
        <v>121</v>
      </c>
      <c r="D33" s="166">
        <v>6.6920177636427547E-2</v>
      </c>
      <c r="E33" s="166">
        <v>1.0027049241454535E-2</v>
      </c>
      <c r="F33" s="166">
        <v>5.2923657867324295E-2</v>
      </c>
      <c r="G33" s="166">
        <v>2.9691056995007525E-2</v>
      </c>
      <c r="H33" s="234">
        <v>5.1787746933816062E-2</v>
      </c>
      <c r="I33" s="3"/>
      <c r="J33" s="3"/>
      <c r="K33" s="3"/>
      <c r="L33" s="3"/>
      <c r="M33" s="3"/>
    </row>
    <row r="34" spans="2:13">
      <c r="B34" s="3">
        <v>25</v>
      </c>
      <c r="C34" s="61" t="s">
        <v>122</v>
      </c>
      <c r="D34" s="166">
        <v>0</v>
      </c>
      <c r="E34" s="166">
        <v>0</v>
      </c>
      <c r="F34" s="166">
        <v>0</v>
      </c>
      <c r="G34" s="166">
        <v>0</v>
      </c>
      <c r="H34" s="234">
        <v>0</v>
      </c>
      <c r="I34" s="3"/>
      <c r="J34" s="3"/>
      <c r="K34" s="3"/>
      <c r="L34" s="3"/>
      <c r="M34" s="3"/>
    </row>
    <row r="35" spans="2:13">
      <c r="B35" s="3">
        <v>26</v>
      </c>
      <c r="C35" s="61" t="s">
        <v>123</v>
      </c>
      <c r="D35" s="166">
        <v>0</v>
      </c>
      <c r="E35" s="166">
        <v>0</v>
      </c>
      <c r="F35" s="166">
        <v>0</v>
      </c>
      <c r="G35" s="166">
        <v>0</v>
      </c>
      <c r="H35" s="234">
        <v>0</v>
      </c>
      <c r="I35" s="3"/>
      <c r="J35" s="3"/>
      <c r="K35" s="3"/>
      <c r="L35" s="3"/>
      <c r="M35" s="3"/>
    </row>
    <row r="36" spans="2:13">
      <c r="B36" s="3">
        <v>27</v>
      </c>
      <c r="C36" s="61" t="s">
        <v>124</v>
      </c>
      <c r="D36" s="166">
        <v>5.5949572500391034E-3</v>
      </c>
      <c r="E36" s="166">
        <v>4.6074831443220195E-3</v>
      </c>
      <c r="F36" s="166">
        <v>5.485217400069819E-3</v>
      </c>
      <c r="G36" s="166">
        <v>8.6417720648335212E-3</v>
      </c>
      <c r="H36" s="234">
        <v>0</v>
      </c>
      <c r="I36" s="166"/>
      <c r="J36" s="166"/>
      <c r="K36" s="166"/>
      <c r="L36" s="166"/>
      <c r="M36" s="166"/>
    </row>
    <row r="37" spans="2:13">
      <c r="B37" s="3">
        <v>28</v>
      </c>
      <c r="C37" s="61" t="s">
        <v>95</v>
      </c>
      <c r="D37" s="166">
        <v>0.24036974687726687</v>
      </c>
      <c r="E37" s="166">
        <v>0.14654566625535806</v>
      </c>
      <c r="F37" s="166">
        <v>8.9942376354400508</v>
      </c>
      <c r="G37" s="166">
        <v>1.1706366196294069</v>
      </c>
      <c r="H37" s="234">
        <v>5.6309972474723144</v>
      </c>
      <c r="I37" s="166">
        <v>12.111145288332294</v>
      </c>
      <c r="J37" s="166">
        <v>12.704591407460574</v>
      </c>
      <c r="K37" s="166">
        <v>13.327116386426141</v>
      </c>
      <c r="L37" s="166">
        <v>13.98014508936102</v>
      </c>
      <c r="M37" s="166">
        <v>14.665172198739709</v>
      </c>
    </row>
    <row r="38" spans="2:13" ht="15">
      <c r="B38" s="3">
        <v>29</v>
      </c>
      <c r="C38" s="62" t="s">
        <v>125</v>
      </c>
      <c r="D38" s="139">
        <f>SUM(D10:D37)</f>
        <v>6.6423466196724634</v>
      </c>
      <c r="E38" s="139">
        <f t="shared" ref="E38:G38" si="0">SUM(E10:E37)</f>
        <v>6.797552761470623</v>
      </c>
      <c r="F38" s="139">
        <f t="shared" si="0"/>
        <v>17.518261474128899</v>
      </c>
      <c r="G38" s="139">
        <f t="shared" si="0"/>
        <v>8.5168877698571386</v>
      </c>
      <c r="H38" s="139">
        <f t="shared" ref="H38" si="1">SUM(H10:H37)</f>
        <v>12.985007854083594</v>
      </c>
      <c r="I38" s="139">
        <f t="shared" ref="I38:J38" si="2">SUM(I10:I37)</f>
        <v>12.111145288332294</v>
      </c>
      <c r="J38" s="139">
        <f t="shared" si="2"/>
        <v>12.704591407460574</v>
      </c>
      <c r="K38" s="139">
        <f t="shared" ref="K38" si="3">SUM(K10:K37)</f>
        <v>13.327116386426141</v>
      </c>
      <c r="L38" s="139">
        <f t="shared" ref="L38" si="4">SUM(L10:L37)</f>
        <v>13.98014508936102</v>
      </c>
      <c r="M38" s="139">
        <f>SUM(M10:M37)</f>
        <v>14.665172198739709</v>
      </c>
    </row>
    <row r="39" spans="2:13">
      <c r="B39" s="3">
        <v>30</v>
      </c>
      <c r="C39" s="50" t="s">
        <v>17</v>
      </c>
      <c r="D39" s="166">
        <v>0</v>
      </c>
      <c r="E39" s="166">
        <v>0</v>
      </c>
      <c r="F39" s="166">
        <v>0</v>
      </c>
      <c r="G39" s="166">
        <v>0</v>
      </c>
      <c r="H39" s="166">
        <v>0</v>
      </c>
      <c r="I39" s="166"/>
      <c r="J39" s="166"/>
      <c r="K39" s="166"/>
      <c r="L39" s="166"/>
      <c r="M39" s="166"/>
    </row>
    <row r="40" spans="2:13" ht="15">
      <c r="B40" s="3">
        <v>31</v>
      </c>
      <c r="C40" s="25" t="s">
        <v>126</v>
      </c>
      <c r="D40" s="139">
        <f>D38-D39</f>
        <v>6.6423466196724634</v>
      </c>
      <c r="E40" s="139">
        <f t="shared" ref="E40:G40" si="5">E38-E39</f>
        <v>6.797552761470623</v>
      </c>
      <c r="F40" s="139">
        <f t="shared" si="5"/>
        <v>17.518261474128899</v>
      </c>
      <c r="G40" s="139">
        <f t="shared" si="5"/>
        <v>8.5168877698571386</v>
      </c>
      <c r="H40" s="139">
        <f t="shared" ref="H40" si="6">H38-H39</f>
        <v>12.985007854083594</v>
      </c>
      <c r="I40" s="139">
        <f t="shared" ref="I40:J40" si="7">I38-I39</f>
        <v>12.111145288332294</v>
      </c>
      <c r="J40" s="139">
        <f t="shared" si="7"/>
        <v>12.704591407460574</v>
      </c>
      <c r="K40" s="139">
        <f>K38-K39</f>
        <v>13.327116386426141</v>
      </c>
      <c r="L40" s="139">
        <f t="shared" ref="L40" si="8">L38-L39</f>
        <v>13.98014508936102</v>
      </c>
      <c r="M40" s="139">
        <f t="shared" ref="M40" si="9">M38-M39</f>
        <v>14.665172198739709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G25" sqref="G25"/>
    </sheetView>
  </sheetViews>
  <sheetFormatPr defaultColWidth="9.28515625" defaultRowHeight="14.25"/>
  <cols>
    <col min="1" max="1" width="4.5703125" style="19" customWidth="1"/>
    <col min="2" max="2" width="8.7109375" style="63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  <c r="I2" s="5"/>
      <c r="J2" s="5"/>
    </row>
    <row r="3" spans="2:13" ht="15">
      <c r="B3" s="335" t="s">
        <v>534</v>
      </c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</row>
    <row r="4" spans="2:13" s="4" customFormat="1" ht="15">
      <c r="B4" s="335" t="s">
        <v>514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</row>
    <row r="5" spans="2:13" ht="15">
      <c r="B5" s="333" t="s">
        <v>537</v>
      </c>
      <c r="C5" s="333"/>
      <c r="D5" s="333"/>
      <c r="E5" s="333"/>
      <c r="F5" s="333"/>
      <c r="G5" s="333"/>
      <c r="H5" s="333"/>
      <c r="I5" s="333"/>
      <c r="J5" s="333"/>
      <c r="K5" s="333"/>
      <c r="L5" s="333"/>
      <c r="M5" s="333"/>
    </row>
    <row r="6" spans="2:13" ht="15">
      <c r="M6" s="32" t="s">
        <v>4</v>
      </c>
    </row>
    <row r="7" spans="2:13" ht="12.75" customHeight="1">
      <c r="B7" s="322" t="s">
        <v>210</v>
      </c>
      <c r="C7" s="320" t="s">
        <v>18</v>
      </c>
      <c r="D7" s="21" t="s">
        <v>506</v>
      </c>
      <c r="E7" s="21" t="s">
        <v>507</v>
      </c>
      <c r="F7" s="21" t="s">
        <v>508</v>
      </c>
      <c r="G7" s="21" t="s">
        <v>482</v>
      </c>
      <c r="H7" s="21" t="s">
        <v>483</v>
      </c>
      <c r="I7" s="329" t="s">
        <v>252</v>
      </c>
      <c r="J7" s="329"/>
      <c r="K7" s="329"/>
      <c r="L7" s="329"/>
      <c r="M7" s="329"/>
    </row>
    <row r="8" spans="2:13" ht="15">
      <c r="B8" s="322"/>
      <c r="C8" s="320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ht="15">
      <c r="B9" s="322"/>
      <c r="C9" s="320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61" t="s">
        <v>127</v>
      </c>
      <c r="D10" s="166">
        <v>33.63641211004974</v>
      </c>
      <c r="E10" s="166">
        <v>18.500764886808813</v>
      </c>
      <c r="F10" s="166">
        <v>28.516184477329226</v>
      </c>
      <c r="G10" s="166">
        <v>32.923937054134981</v>
      </c>
      <c r="H10" s="234">
        <v>21.124878072914964</v>
      </c>
      <c r="I10" s="3"/>
      <c r="J10" s="3"/>
      <c r="K10" s="3"/>
      <c r="L10" s="3"/>
      <c r="M10" s="3"/>
    </row>
    <row r="11" spans="2:13">
      <c r="B11" s="2">
        <v>2</v>
      </c>
      <c r="C11" s="61" t="s">
        <v>128</v>
      </c>
      <c r="D11" s="166">
        <v>0</v>
      </c>
      <c r="E11" s="166">
        <v>3.2289776845611708E-3</v>
      </c>
      <c r="F11" s="166">
        <v>0</v>
      </c>
      <c r="G11" s="166">
        <v>2.1115062535663064E-3</v>
      </c>
      <c r="H11" s="234">
        <v>0</v>
      </c>
      <c r="I11" s="3"/>
      <c r="J11" s="3"/>
      <c r="K11" s="3"/>
      <c r="L11" s="3"/>
      <c r="M11" s="3"/>
    </row>
    <row r="12" spans="2:13">
      <c r="B12" s="2">
        <v>3</v>
      </c>
      <c r="C12" s="61" t="s">
        <v>129</v>
      </c>
      <c r="D12" s="166">
        <v>3.3576284827374123</v>
      </c>
      <c r="E12" s="166">
        <v>2.6275163906421359</v>
      </c>
      <c r="F12" s="166">
        <v>3.1030292695046215</v>
      </c>
      <c r="G12" s="166">
        <v>3.9235436734487816</v>
      </c>
      <c r="H12" s="234">
        <v>4.5909181457512718</v>
      </c>
      <c r="I12" s="3"/>
      <c r="J12" s="3"/>
      <c r="K12" s="3"/>
      <c r="L12" s="3"/>
      <c r="M12" s="3"/>
    </row>
    <row r="13" spans="2:13">
      <c r="B13" s="2">
        <v>4</v>
      </c>
      <c r="C13" s="61" t="s">
        <v>130</v>
      </c>
      <c r="D13" s="166">
        <v>0</v>
      </c>
      <c r="E13" s="166">
        <v>0</v>
      </c>
      <c r="F13" s="166">
        <v>0</v>
      </c>
      <c r="G13" s="166">
        <v>0</v>
      </c>
      <c r="H13" s="234">
        <v>0</v>
      </c>
      <c r="I13" s="3"/>
      <c r="J13" s="3"/>
      <c r="K13" s="3"/>
      <c r="L13" s="3"/>
      <c r="M13" s="3"/>
    </row>
    <row r="14" spans="2:13">
      <c r="B14" s="2">
        <v>5</v>
      </c>
      <c r="C14" s="61" t="s">
        <v>131</v>
      </c>
      <c r="D14" s="166">
        <v>1.0322725505986343</v>
      </c>
      <c r="E14" s="166">
        <v>0.60450136658957243</v>
      </c>
      <c r="F14" s="166">
        <v>1.0658636547913631</v>
      </c>
      <c r="G14" s="166">
        <v>2.0693324320041104</v>
      </c>
      <c r="H14" s="234">
        <v>0.89683749476049746</v>
      </c>
      <c r="I14" s="3"/>
      <c r="J14" s="3"/>
      <c r="K14" s="3"/>
      <c r="L14" s="3"/>
      <c r="M14" s="3"/>
    </row>
    <row r="15" spans="2:13">
      <c r="B15" s="2">
        <v>6</v>
      </c>
      <c r="C15" s="61" t="s">
        <v>132</v>
      </c>
      <c r="D15" s="166">
        <v>3.7480909090909093E-3</v>
      </c>
      <c r="E15" s="166">
        <v>1.4956363636363637E-3</v>
      </c>
      <c r="F15" s="166">
        <v>9.1205454545454539E-4</v>
      </c>
      <c r="G15" s="166">
        <v>2.1485454545454546E-3</v>
      </c>
      <c r="H15" s="234">
        <v>2.1923454940588352E-2</v>
      </c>
      <c r="I15" s="3"/>
      <c r="J15" s="3"/>
      <c r="K15" s="3"/>
      <c r="L15" s="3"/>
      <c r="M15" s="3"/>
    </row>
    <row r="16" spans="2:13">
      <c r="B16" s="2">
        <v>7</v>
      </c>
      <c r="C16" s="61" t="s">
        <v>133</v>
      </c>
      <c r="D16" s="166">
        <v>1.2865310956090519E-4</v>
      </c>
      <c r="E16" s="166">
        <v>6.0173033326650529E-4</v>
      </c>
      <c r="F16" s="166">
        <v>0</v>
      </c>
      <c r="G16" s="166">
        <v>0</v>
      </c>
      <c r="H16" s="234">
        <v>0</v>
      </c>
      <c r="I16" s="3"/>
      <c r="J16" s="3"/>
      <c r="K16" s="3"/>
      <c r="L16" s="3"/>
      <c r="M16" s="3"/>
    </row>
    <row r="17" spans="2:13">
      <c r="B17" s="2">
        <v>8</v>
      </c>
      <c r="C17" s="61" t="s">
        <v>134</v>
      </c>
      <c r="D17" s="166">
        <v>0.20080448214958457</v>
      </c>
      <c r="E17" s="166">
        <v>0.41482323529919396</v>
      </c>
      <c r="F17" s="166">
        <v>0.47896693081610553</v>
      </c>
      <c r="G17" s="166">
        <v>0.30682685184932273</v>
      </c>
      <c r="H17" s="234">
        <v>0.28821395902408509</v>
      </c>
      <c r="I17" s="166">
        <v>38.857171708452654</v>
      </c>
      <c r="J17" s="166">
        <v>38.891704900401798</v>
      </c>
      <c r="K17" s="166">
        <v>38.90294107330466</v>
      </c>
      <c r="L17" s="166">
        <v>39.21899709275565</v>
      </c>
      <c r="M17" s="166">
        <v>39.21899709275565</v>
      </c>
    </row>
    <row r="18" spans="2:13" ht="15">
      <c r="B18" s="2">
        <v>9</v>
      </c>
      <c r="C18" s="62" t="s">
        <v>135</v>
      </c>
      <c r="D18" s="139">
        <f>SUM(D10:D17)</f>
        <v>38.230994369554026</v>
      </c>
      <c r="E18" s="139">
        <f t="shared" ref="E18:M18" si="0">SUM(E10:E17)</f>
        <v>22.15293222372118</v>
      </c>
      <c r="F18" s="139">
        <f t="shared" si="0"/>
        <v>33.164956386986766</v>
      </c>
      <c r="G18" s="139">
        <f t="shared" si="0"/>
        <v>39.227900063145306</v>
      </c>
      <c r="H18" s="139">
        <f t="shared" si="0"/>
        <v>26.922771127391403</v>
      </c>
      <c r="I18" s="139">
        <f t="shared" si="0"/>
        <v>38.857171708452654</v>
      </c>
      <c r="J18" s="139">
        <f t="shared" si="0"/>
        <v>38.891704900401798</v>
      </c>
      <c r="K18" s="139">
        <f t="shared" si="0"/>
        <v>38.90294107330466</v>
      </c>
      <c r="L18" s="139">
        <f t="shared" si="0"/>
        <v>39.21899709275565</v>
      </c>
      <c r="M18" s="139">
        <f t="shared" si="0"/>
        <v>39.21899709275565</v>
      </c>
    </row>
    <row r="19" spans="2:13">
      <c r="B19" s="2"/>
      <c r="C19" s="60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4" t="s">
        <v>136</v>
      </c>
      <c r="D20" s="166">
        <v>3408.75</v>
      </c>
      <c r="E20" s="3">
        <v>3430.9</v>
      </c>
      <c r="F20" s="3">
        <v>3514.23</v>
      </c>
      <c r="G20" s="139">
        <f>'F4'!F21</f>
        <v>3767.7668175539998</v>
      </c>
      <c r="H20" s="139">
        <f>'F4'!F38</f>
        <v>3761.2689120770001</v>
      </c>
      <c r="I20" s="139">
        <f>'F4'!F55</f>
        <v>3769.4579613430001</v>
      </c>
      <c r="J20" s="139">
        <f>'F4'!F72</f>
        <v>3772.807961343</v>
      </c>
      <c r="K20" s="139">
        <f>'F4'!F89</f>
        <v>3773.8979613430001</v>
      </c>
      <c r="L20" s="139">
        <f>'F4'!F106</f>
        <v>3804.557961343</v>
      </c>
      <c r="M20" s="139">
        <f>'F4'!F123</f>
        <v>3804.557961343</v>
      </c>
    </row>
    <row r="21" spans="2:13" ht="28.5">
      <c r="B21" s="2">
        <v>11</v>
      </c>
      <c r="C21" s="64" t="s">
        <v>137</v>
      </c>
      <c r="D21" s="167">
        <f>IFERROR(D18/D20,0)</f>
        <v>1.1215546569726153E-2</v>
      </c>
      <c r="E21" s="167">
        <f t="shared" ref="E21:M21" si="1">IFERROR(E18/E20,0)</f>
        <v>6.4568865964385958E-3</v>
      </c>
      <c r="F21" s="167">
        <f t="shared" si="1"/>
        <v>9.437332327988426E-3</v>
      </c>
      <c r="G21" s="167">
        <f t="shared" si="1"/>
        <v>1.0411445814635552E-2</v>
      </c>
      <c r="H21" s="167">
        <f t="shared" si="1"/>
        <v>7.1578958475809838E-3</v>
      </c>
      <c r="I21" s="167">
        <f t="shared" si="1"/>
        <v>1.0308424210309653E-2</v>
      </c>
      <c r="J21" s="167">
        <f t="shared" si="1"/>
        <v>1.0308424202581884E-2</v>
      </c>
      <c r="K21" s="167">
        <f t="shared" si="1"/>
        <v>1.0308424200070434E-2</v>
      </c>
      <c r="L21" s="167">
        <f t="shared" si="1"/>
        <v>1.0308424130016786E-2</v>
      </c>
      <c r="M21" s="167">
        <f t="shared" si="1"/>
        <v>1.0308424130016786E-2</v>
      </c>
    </row>
    <row r="22" spans="2:13">
      <c r="B22" s="2"/>
      <c r="C22" s="60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3:M3"/>
    <mergeCell ref="B4:M4"/>
    <mergeCell ref="B5:M5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I12" sqref="I12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5"/>
    </row>
    <row r="2" spans="2:13" ht="15">
      <c r="B2" s="336" t="s">
        <v>534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</row>
    <row r="3" spans="2:13" ht="15">
      <c r="B3" s="336" t="s">
        <v>514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</row>
    <row r="4" spans="2:13" ht="15">
      <c r="B4" s="333" t="s">
        <v>538</v>
      </c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</row>
    <row r="5" spans="2:13" ht="15">
      <c r="B5" s="43"/>
      <c r="C5" s="66"/>
      <c r="D5" s="66"/>
      <c r="E5" s="66"/>
      <c r="F5" s="66"/>
      <c r="G5" s="66"/>
      <c r="H5" s="66"/>
      <c r="I5" s="66"/>
      <c r="J5" s="66"/>
    </row>
    <row r="6" spans="2:13" ht="15">
      <c r="M6" s="32" t="s">
        <v>4</v>
      </c>
    </row>
    <row r="7" spans="2:13" s="19" customFormat="1" ht="15" customHeight="1">
      <c r="B7" s="317" t="s">
        <v>210</v>
      </c>
      <c r="C7" s="320" t="s">
        <v>18</v>
      </c>
      <c r="D7" s="324" t="s">
        <v>482</v>
      </c>
      <c r="E7" s="325"/>
      <c r="F7" s="326"/>
      <c r="G7" s="324" t="s">
        <v>483</v>
      </c>
      <c r="H7" s="325"/>
      <c r="I7" s="329" t="s">
        <v>252</v>
      </c>
      <c r="J7" s="329"/>
      <c r="K7" s="329"/>
      <c r="L7" s="329"/>
      <c r="M7" s="329"/>
    </row>
    <row r="8" spans="2:13" s="19" customFormat="1" ht="45">
      <c r="B8" s="318"/>
      <c r="C8" s="320"/>
      <c r="D8" s="21" t="s">
        <v>394</v>
      </c>
      <c r="E8" s="21" t="s">
        <v>267</v>
      </c>
      <c r="F8" s="21" t="s">
        <v>226</v>
      </c>
      <c r="G8" s="21" t="s">
        <v>394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15">
      <c r="B9" s="319"/>
      <c r="C9" s="321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9">
        <v>1</v>
      </c>
      <c r="C10" s="33" t="s">
        <v>271</v>
      </c>
      <c r="D10" s="163"/>
      <c r="E10" s="162"/>
      <c r="F10" s="162"/>
      <c r="G10" s="136"/>
      <c r="H10" s="136"/>
      <c r="I10" s="136"/>
      <c r="J10" s="136"/>
      <c r="K10" s="136"/>
      <c r="L10" s="136"/>
      <c r="M10" s="136"/>
    </row>
    <row r="11" spans="2:13" s="5" customFormat="1">
      <c r="B11" s="26">
        <v>2</v>
      </c>
      <c r="C11" s="33" t="s">
        <v>305</v>
      </c>
      <c r="D11" s="2"/>
      <c r="E11" s="133">
        <f>F3.1!G18</f>
        <v>-6.5</v>
      </c>
      <c r="F11" s="133">
        <f>E11</f>
        <v>-6.5</v>
      </c>
      <c r="G11" s="27"/>
      <c r="H11" s="136">
        <f>F3.1!G24</f>
        <v>8.19</v>
      </c>
      <c r="I11" s="136">
        <f>F3.1!G32</f>
        <v>3.3499999999999996</v>
      </c>
      <c r="J11" s="136">
        <f>F3.1!G36</f>
        <v>0</v>
      </c>
      <c r="K11" s="136">
        <f>F3.1!G45</f>
        <v>30.66</v>
      </c>
      <c r="L11" s="136">
        <f>F3.1!G48</f>
        <v>0</v>
      </c>
      <c r="M11" s="136">
        <f>F3.1!G54</f>
        <v>0</v>
      </c>
    </row>
    <row r="12" spans="2:13" s="5" customFormat="1" ht="15">
      <c r="B12" s="26">
        <v>3</v>
      </c>
      <c r="C12" s="35" t="s">
        <v>243</v>
      </c>
      <c r="D12" s="163"/>
      <c r="E12" s="171">
        <f>F3.1!H18</f>
        <v>-6.5</v>
      </c>
      <c r="F12" s="171">
        <f>E12</f>
        <v>-6.5</v>
      </c>
      <c r="G12" s="163"/>
      <c r="H12" s="135">
        <f>F3.1!H24</f>
        <v>8.19</v>
      </c>
      <c r="I12" s="135">
        <f>F3.1!H32</f>
        <v>3.3499999999999996</v>
      </c>
      <c r="J12" s="135">
        <f>F3.1!H36</f>
        <v>0</v>
      </c>
      <c r="K12" s="135">
        <f>F3.1!H45</f>
        <v>30.66</v>
      </c>
      <c r="L12" s="135">
        <f>F3.1!H48</f>
        <v>0</v>
      </c>
      <c r="M12" s="135">
        <f>F3.1!H54</f>
        <v>0</v>
      </c>
    </row>
    <row r="13" spans="2:13" s="5" customFormat="1" ht="15">
      <c r="B13" s="26">
        <v>4</v>
      </c>
      <c r="C13" s="33" t="s">
        <v>272</v>
      </c>
      <c r="D13" s="165">
        <f>D10+D11-D12</f>
        <v>0</v>
      </c>
      <c r="E13" s="165">
        <f>E10+E11-E12</f>
        <v>0</v>
      </c>
      <c r="F13" s="165">
        <f t="shared" ref="F13:M13" si="0">F10+F11-F12</f>
        <v>0</v>
      </c>
      <c r="G13" s="165">
        <f t="shared" si="0"/>
        <v>0</v>
      </c>
      <c r="H13" s="164">
        <f>H10+H11-H12</f>
        <v>0</v>
      </c>
      <c r="I13" s="165">
        <f t="shared" si="0"/>
        <v>0</v>
      </c>
      <c r="J13" s="165">
        <f t="shared" si="0"/>
        <v>0</v>
      </c>
      <c r="K13" s="165">
        <f t="shared" si="0"/>
        <v>0</v>
      </c>
      <c r="L13" s="165">
        <f t="shared" si="0"/>
        <v>0</v>
      </c>
      <c r="M13" s="165">
        <f t="shared" si="0"/>
        <v>0</v>
      </c>
    </row>
    <row r="14" spans="2:13" s="39" customFormat="1" ht="15">
      <c r="B14" s="70"/>
      <c r="C14" s="57"/>
      <c r="D14" s="67"/>
      <c r="E14" s="67"/>
      <c r="F14" s="67"/>
      <c r="G14" s="68"/>
      <c r="H14" s="30"/>
      <c r="I14" s="30"/>
      <c r="J14" s="30"/>
      <c r="K14" s="30"/>
    </row>
    <row r="16" spans="2:13">
      <c r="B16" s="71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8"/>
  <sheetViews>
    <sheetView showGridLines="0" topLeftCell="A19" zoomScale="82" zoomScaleNormal="82" zoomScaleSheetLayoutView="90" workbookViewId="0">
      <selection activeCell="H57" sqref="H57"/>
    </sheetView>
  </sheetViews>
  <sheetFormatPr defaultColWidth="9.28515625" defaultRowHeight="15"/>
  <cols>
    <col min="1" max="1" width="4.28515625" style="5" customWidth="1"/>
    <col min="2" max="2" width="6.28515625" style="5" customWidth="1"/>
    <col min="3" max="3" width="18.28515625" style="55" customWidth="1"/>
    <col min="4" max="4" width="21.28515625" style="39" customWidth="1"/>
    <col min="5" max="5" width="33.140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>
      <c r="B1" s="30"/>
    </row>
    <row r="2" spans="2:17">
      <c r="H2" s="40" t="s">
        <v>534</v>
      </c>
      <c r="I2" s="40"/>
    </row>
    <row r="3" spans="2:17">
      <c r="H3" s="40" t="s">
        <v>540</v>
      </c>
      <c r="I3" s="40"/>
    </row>
    <row r="4" spans="2:17">
      <c r="H4" s="42" t="s">
        <v>303</v>
      </c>
      <c r="I4" s="42"/>
    </row>
    <row r="5" spans="2:17">
      <c r="K5" s="42"/>
    </row>
    <row r="6" spans="2:17" ht="60">
      <c r="B6" s="21" t="s">
        <v>210</v>
      </c>
      <c r="C6" s="38" t="s">
        <v>273</v>
      </c>
      <c r="D6" s="37" t="s">
        <v>275</v>
      </c>
      <c r="E6" s="29" t="s">
        <v>274</v>
      </c>
      <c r="F6" s="37" t="s">
        <v>282</v>
      </c>
      <c r="G6" s="37" t="s">
        <v>285</v>
      </c>
      <c r="H6" s="37" t="s">
        <v>286</v>
      </c>
      <c r="I6" s="37" t="s">
        <v>299</v>
      </c>
      <c r="J6" s="29" t="s">
        <v>276</v>
      </c>
      <c r="K6" s="37" t="s">
        <v>287</v>
      </c>
      <c r="L6" s="37" t="s">
        <v>198</v>
      </c>
      <c r="M6" s="31"/>
      <c r="N6" s="31"/>
      <c r="O6" s="31"/>
      <c r="P6" s="31"/>
    </row>
    <row r="7" spans="2:17" s="39" customFormat="1">
      <c r="B7" s="26"/>
      <c r="C7" s="36" t="s">
        <v>254</v>
      </c>
      <c r="D7" s="46" t="s">
        <v>490</v>
      </c>
      <c r="E7" s="36"/>
      <c r="F7" s="36"/>
      <c r="G7" s="36"/>
      <c r="H7" s="36"/>
      <c r="I7" s="36"/>
      <c r="J7" s="36"/>
      <c r="K7" s="37"/>
      <c r="L7" s="38"/>
      <c r="M7" s="30"/>
      <c r="N7" s="30"/>
      <c r="O7" s="30"/>
      <c r="P7" s="30"/>
      <c r="Q7" s="30"/>
    </row>
    <row r="8" spans="2:17">
      <c r="B8" s="26">
        <v>1</v>
      </c>
      <c r="C8" s="259" t="s">
        <v>491</v>
      </c>
      <c r="D8" s="36"/>
      <c r="E8" s="67"/>
      <c r="F8" s="36"/>
      <c r="G8" s="175">
        <v>0.6</v>
      </c>
      <c r="H8" s="196">
        <v>0.6</v>
      </c>
      <c r="I8" s="260" t="s">
        <v>521</v>
      </c>
      <c r="J8" s="33"/>
      <c r="K8" s="33"/>
      <c r="L8" s="33"/>
    </row>
    <row r="9" spans="2:17">
      <c r="B9" s="26">
        <v>2</v>
      </c>
      <c r="C9" s="259" t="s">
        <v>522</v>
      </c>
      <c r="D9" s="33"/>
      <c r="E9" s="261"/>
      <c r="F9" s="33"/>
      <c r="G9" s="197">
        <v>0.18999999999999995</v>
      </c>
      <c r="H9" s="196">
        <v>0.19</v>
      </c>
      <c r="I9" s="261" t="s">
        <v>509</v>
      </c>
      <c r="J9" s="33"/>
      <c r="K9" s="33"/>
      <c r="L9" s="33"/>
    </row>
    <row r="10" spans="2:17">
      <c r="B10" s="26">
        <v>3</v>
      </c>
      <c r="C10" s="35" t="s">
        <v>523</v>
      </c>
      <c r="D10" s="46"/>
      <c r="E10" s="33"/>
      <c r="F10" s="33"/>
      <c r="G10" s="33">
        <v>-7.29</v>
      </c>
      <c r="H10" s="33">
        <v>-7.29</v>
      </c>
      <c r="I10" s="33" t="s">
        <v>524</v>
      </c>
      <c r="J10" s="33"/>
      <c r="K10" s="33"/>
      <c r="L10" s="33"/>
    </row>
    <row r="11" spans="2:17">
      <c r="B11" s="26"/>
      <c r="C11" s="35"/>
      <c r="D11" s="46"/>
      <c r="E11" s="33"/>
      <c r="F11" s="33"/>
      <c r="G11" s="33"/>
      <c r="H11" s="33"/>
      <c r="I11" s="33"/>
      <c r="J11" s="33"/>
      <c r="K11" s="33"/>
      <c r="L11" s="33"/>
    </row>
    <row r="12" spans="2:17">
      <c r="B12" s="26"/>
      <c r="C12" s="35"/>
      <c r="D12" s="46"/>
      <c r="E12" s="33"/>
      <c r="F12" s="33"/>
      <c r="G12" s="33"/>
      <c r="H12" s="33"/>
      <c r="I12" s="33"/>
      <c r="J12" s="33"/>
      <c r="K12" s="33"/>
      <c r="L12" s="33"/>
    </row>
    <row r="13" spans="2:17">
      <c r="B13" s="26"/>
      <c r="C13" s="35"/>
      <c r="D13" s="46"/>
      <c r="E13" s="33"/>
      <c r="F13" s="33"/>
      <c r="G13" s="33"/>
      <c r="H13" s="33"/>
      <c r="I13" s="33"/>
      <c r="J13" s="33"/>
      <c r="K13" s="33"/>
      <c r="L13" s="33"/>
    </row>
    <row r="14" spans="2:17">
      <c r="B14" s="26"/>
      <c r="C14" s="35"/>
      <c r="D14" s="46"/>
      <c r="E14" s="33"/>
      <c r="F14" s="33"/>
      <c r="G14" s="33"/>
      <c r="H14" s="33"/>
      <c r="I14" s="33"/>
      <c r="J14" s="33"/>
      <c r="K14" s="33"/>
      <c r="L14" s="33"/>
    </row>
    <row r="15" spans="2:17">
      <c r="B15" s="26"/>
      <c r="C15" s="35"/>
      <c r="D15" s="46"/>
      <c r="E15" s="33"/>
      <c r="F15" s="33"/>
      <c r="G15" s="33"/>
      <c r="H15" s="33"/>
      <c r="I15" s="33"/>
      <c r="J15" s="33"/>
      <c r="K15" s="33"/>
      <c r="L15" s="33"/>
    </row>
    <row r="16" spans="2:17">
      <c r="B16" s="26"/>
      <c r="C16" s="35"/>
      <c r="E16" s="33"/>
      <c r="F16" s="33"/>
      <c r="G16" s="33"/>
      <c r="H16" s="33"/>
      <c r="I16" s="33"/>
      <c r="J16" s="33"/>
      <c r="K16" s="33"/>
      <c r="L16" s="33"/>
    </row>
    <row r="17" spans="2:12">
      <c r="B17" s="33"/>
      <c r="C17" s="35"/>
      <c r="D17" s="46"/>
      <c r="E17" s="33"/>
      <c r="F17" s="162">
        <v>0</v>
      </c>
      <c r="G17" s="162">
        <v>-6.5</v>
      </c>
      <c r="H17" s="33">
        <v>-6.5</v>
      </c>
      <c r="I17" s="33"/>
      <c r="J17" s="33"/>
      <c r="K17" s="33"/>
      <c r="L17" s="33"/>
    </row>
    <row r="18" spans="2:12">
      <c r="B18" s="33"/>
      <c r="C18" s="38" t="s">
        <v>139</v>
      </c>
      <c r="D18" s="174"/>
      <c r="E18" s="162"/>
      <c r="F18" s="140">
        <v>0</v>
      </c>
      <c r="G18" s="140">
        <v>-6.5</v>
      </c>
      <c r="H18" s="140">
        <v>-6.5</v>
      </c>
      <c r="I18" s="33"/>
      <c r="J18" s="33"/>
      <c r="K18" s="33"/>
      <c r="L18" s="33"/>
    </row>
    <row r="19" spans="2:12">
      <c r="B19" s="26"/>
      <c r="C19" s="36" t="s">
        <v>253</v>
      </c>
      <c r="D19" s="174" t="s">
        <v>492</v>
      </c>
      <c r="E19" s="162"/>
      <c r="F19" s="162"/>
      <c r="J19" s="33"/>
      <c r="K19" s="33"/>
      <c r="L19" s="33"/>
    </row>
    <row r="20" spans="2:12">
      <c r="B20" s="26"/>
      <c r="C20" s="35" t="s">
        <v>522</v>
      </c>
      <c r="D20" s="174"/>
      <c r="E20" s="33"/>
      <c r="F20" s="162"/>
      <c r="G20" s="162"/>
      <c r="H20" s="162">
        <v>0</v>
      </c>
      <c r="I20" s="33"/>
      <c r="J20" s="33"/>
      <c r="K20" s="33"/>
      <c r="L20" s="33"/>
    </row>
    <row r="21" spans="2:12">
      <c r="B21" s="26"/>
      <c r="C21" s="35" t="s">
        <v>491</v>
      </c>
      <c r="D21" s="174"/>
      <c r="E21" s="33"/>
      <c r="F21" s="162"/>
      <c r="G21" s="162">
        <v>0.24</v>
      </c>
      <c r="H21" s="162"/>
      <c r="I21" s="33"/>
      <c r="J21" s="33"/>
      <c r="K21" s="33"/>
      <c r="L21" s="33"/>
    </row>
    <row r="22" spans="2:12">
      <c r="B22" s="26"/>
      <c r="C22" s="35" t="s">
        <v>525</v>
      </c>
      <c r="D22" s="174"/>
      <c r="E22" s="162"/>
      <c r="F22" s="162"/>
      <c r="G22" s="162"/>
      <c r="H22" s="162">
        <v>8.19</v>
      </c>
      <c r="I22" s="33"/>
      <c r="J22" s="33"/>
      <c r="K22" s="33"/>
      <c r="L22" s="33"/>
    </row>
    <row r="23" spans="2:12">
      <c r="B23" s="33"/>
      <c r="C23" s="35" t="s">
        <v>526</v>
      </c>
      <c r="D23" s="174"/>
      <c r="E23" s="162"/>
      <c r="F23" s="162"/>
      <c r="G23" s="162">
        <f>H22-G21</f>
        <v>7.9499999999999993</v>
      </c>
      <c r="H23" s="162">
        <v>0</v>
      </c>
      <c r="I23" s="33"/>
      <c r="J23" s="33"/>
      <c r="K23" s="33"/>
      <c r="L23" s="33"/>
    </row>
    <row r="24" spans="2:12">
      <c r="B24" s="33"/>
      <c r="C24" s="35"/>
      <c r="D24" s="174"/>
      <c r="E24" s="162"/>
      <c r="F24" s="162">
        <v>0</v>
      </c>
      <c r="G24" s="162">
        <v>8.19</v>
      </c>
      <c r="H24" s="162">
        <v>8.19</v>
      </c>
      <c r="I24" s="33"/>
      <c r="J24" s="33"/>
      <c r="K24" s="33"/>
      <c r="L24" s="33"/>
    </row>
    <row r="25" spans="2:12">
      <c r="B25" s="33"/>
      <c r="C25" s="38" t="s">
        <v>139</v>
      </c>
      <c r="D25" s="174"/>
      <c r="E25" s="162"/>
      <c r="F25" s="140">
        <f>F24</f>
        <v>0</v>
      </c>
      <c r="G25" s="140">
        <f t="shared" ref="G25:H25" si="0">G24</f>
        <v>8.19</v>
      </c>
      <c r="H25" s="140">
        <f t="shared" si="0"/>
        <v>8.19</v>
      </c>
      <c r="I25" s="33"/>
      <c r="J25" s="33"/>
      <c r="K25" s="33"/>
      <c r="L25" s="33"/>
    </row>
    <row r="26" spans="2:12">
      <c r="B26" s="26"/>
      <c r="C26" s="36" t="s">
        <v>277</v>
      </c>
      <c r="D26" s="174" t="s">
        <v>493</v>
      </c>
      <c r="E26" s="162"/>
      <c r="F26" s="162"/>
      <c r="G26" s="162"/>
      <c r="H26" s="162"/>
      <c r="I26" s="33"/>
      <c r="J26" s="33"/>
      <c r="K26" s="33"/>
      <c r="L26" s="33"/>
    </row>
    <row r="27" spans="2:12">
      <c r="B27" s="26">
        <v>1</v>
      </c>
      <c r="C27" s="35"/>
      <c r="D27" s="174"/>
      <c r="E27" s="162"/>
      <c r="F27" s="162"/>
      <c r="G27" s="162"/>
      <c r="H27" s="162"/>
      <c r="I27" s="33"/>
      <c r="J27" s="33"/>
      <c r="K27" s="33"/>
      <c r="L27" s="33"/>
    </row>
    <row r="28" spans="2:12">
      <c r="B28" s="26">
        <v>2</v>
      </c>
      <c r="C28" s="35"/>
      <c r="D28" s="174"/>
      <c r="E28" s="162"/>
      <c r="F28" s="162"/>
      <c r="G28" s="162"/>
      <c r="H28" s="162"/>
      <c r="I28" s="33"/>
      <c r="J28" s="33"/>
      <c r="K28" s="33"/>
      <c r="L28" s="33"/>
    </row>
    <row r="29" spans="2:12">
      <c r="B29" s="26">
        <v>3</v>
      </c>
      <c r="C29" s="35"/>
      <c r="D29" s="174" t="s">
        <v>533</v>
      </c>
      <c r="E29" s="174" t="s">
        <v>533</v>
      </c>
      <c r="F29" s="162"/>
      <c r="G29" s="162">
        <v>2.8</v>
      </c>
      <c r="H29" s="162">
        <v>2.8</v>
      </c>
      <c r="I29" s="33"/>
      <c r="J29" s="33"/>
      <c r="K29" s="33"/>
      <c r="L29" s="33"/>
    </row>
    <row r="30" spans="2:12" ht="135">
      <c r="B30" s="33"/>
      <c r="C30" s="35" t="s">
        <v>9</v>
      </c>
      <c r="D30" s="174"/>
      <c r="E30" s="262" t="s">
        <v>541</v>
      </c>
      <c r="F30" s="162"/>
      <c r="G30" s="162">
        <v>0.55000000000000004</v>
      </c>
      <c r="H30" s="162">
        <v>0.55000000000000004</v>
      </c>
      <c r="I30" s="33"/>
      <c r="J30" s="33"/>
      <c r="K30" s="33"/>
      <c r="L30" s="33"/>
    </row>
    <row r="31" spans="2:12">
      <c r="B31" s="33"/>
      <c r="C31" s="35"/>
      <c r="D31" s="174"/>
      <c r="E31" s="162"/>
      <c r="F31" s="162">
        <v>0</v>
      </c>
      <c r="G31" s="162">
        <v>3.3499999999999996</v>
      </c>
      <c r="H31" s="162">
        <v>3.3499999999999996</v>
      </c>
      <c r="I31" s="33"/>
      <c r="J31" s="33"/>
      <c r="K31" s="33"/>
      <c r="L31" s="33"/>
    </row>
    <row r="32" spans="2:12">
      <c r="B32" s="33"/>
      <c r="C32" s="38" t="s">
        <v>139</v>
      </c>
      <c r="D32" s="174"/>
      <c r="E32" s="162"/>
      <c r="F32" s="140">
        <f>F31</f>
        <v>0</v>
      </c>
      <c r="G32" s="140">
        <f t="shared" ref="G32:H32" si="1">G31</f>
        <v>3.3499999999999996</v>
      </c>
      <c r="H32" s="140">
        <f t="shared" si="1"/>
        <v>3.3499999999999996</v>
      </c>
      <c r="I32" s="33"/>
      <c r="J32" s="33"/>
      <c r="K32" s="33"/>
      <c r="L32" s="33"/>
    </row>
    <row r="33" spans="2:12">
      <c r="B33" s="26"/>
      <c r="C33" s="36" t="s">
        <v>278</v>
      </c>
      <c r="D33" s="174" t="s">
        <v>494</v>
      </c>
      <c r="E33" s="162"/>
      <c r="F33" s="162"/>
      <c r="G33" s="162"/>
      <c r="H33" s="162"/>
      <c r="I33" s="33"/>
      <c r="J33" s="33"/>
      <c r="K33" s="33"/>
      <c r="L33" s="33"/>
    </row>
    <row r="34" spans="2:12">
      <c r="B34" s="26">
        <v>1</v>
      </c>
      <c r="C34" s="35"/>
      <c r="D34" s="174"/>
      <c r="E34" s="162"/>
      <c r="F34" s="162"/>
      <c r="G34" s="162"/>
      <c r="H34" s="162"/>
      <c r="I34" s="33"/>
      <c r="J34" s="33"/>
      <c r="K34" s="33"/>
      <c r="L34" s="33"/>
    </row>
    <row r="35" spans="2:12">
      <c r="B35" s="26">
        <v>2</v>
      </c>
      <c r="C35" s="35"/>
      <c r="D35" s="174"/>
      <c r="E35" s="162"/>
      <c r="F35" s="162"/>
      <c r="G35" s="162"/>
      <c r="H35" s="162"/>
      <c r="I35" s="33"/>
      <c r="J35" s="33"/>
      <c r="K35" s="33"/>
      <c r="L35" s="33"/>
    </row>
    <row r="36" spans="2:12">
      <c r="B36" s="26">
        <v>3</v>
      </c>
      <c r="C36" s="35"/>
      <c r="D36" s="174"/>
      <c r="E36" s="162"/>
      <c r="F36" s="162"/>
      <c r="G36" s="162"/>
      <c r="H36" s="162"/>
      <c r="I36" s="33"/>
      <c r="J36" s="33"/>
      <c r="K36" s="33"/>
      <c r="L36" s="33"/>
    </row>
    <row r="37" spans="2:12" ht="135">
      <c r="B37" s="33"/>
      <c r="C37" s="35" t="s">
        <v>9</v>
      </c>
      <c r="D37" s="174"/>
      <c r="E37" s="262" t="s">
        <v>541</v>
      </c>
      <c r="F37" s="162"/>
      <c r="G37" s="162">
        <v>1.0900000000000001</v>
      </c>
      <c r="H37" s="162">
        <v>1.0900000000000001</v>
      </c>
      <c r="I37" s="33"/>
      <c r="J37" s="33"/>
      <c r="K37" s="33"/>
      <c r="L37" s="33"/>
    </row>
    <row r="38" spans="2:12">
      <c r="B38" s="33"/>
      <c r="C38" s="38" t="s">
        <v>139</v>
      </c>
      <c r="D38" s="174"/>
      <c r="E38" s="162"/>
      <c r="F38" s="140">
        <f>SUM(F34:F37)</f>
        <v>0</v>
      </c>
      <c r="G38" s="140">
        <f>SUM(G34:G37)</f>
        <v>1.0900000000000001</v>
      </c>
      <c r="H38" s="140">
        <f>SUM(H34:H37)</f>
        <v>1.0900000000000001</v>
      </c>
      <c r="I38" s="33"/>
      <c r="J38" s="33"/>
      <c r="K38" s="33"/>
      <c r="L38" s="33"/>
    </row>
    <row r="39" spans="2:12">
      <c r="B39" s="26"/>
      <c r="C39" s="36" t="s">
        <v>279</v>
      </c>
      <c r="D39" s="174" t="s">
        <v>495</v>
      </c>
      <c r="E39" s="162"/>
      <c r="F39" s="162"/>
      <c r="G39" s="162"/>
      <c r="H39" s="162"/>
      <c r="I39" s="33"/>
      <c r="J39" s="33"/>
      <c r="K39" s="33"/>
      <c r="L39" s="33"/>
    </row>
    <row r="40" spans="2:12">
      <c r="B40" s="26">
        <v>1</v>
      </c>
      <c r="C40" s="35"/>
      <c r="D40" s="174"/>
      <c r="E40" s="162"/>
      <c r="F40" s="162"/>
      <c r="G40" s="162"/>
      <c r="H40" s="162"/>
      <c r="I40" s="33"/>
      <c r="J40" s="33"/>
      <c r="K40" s="33"/>
      <c r="L40" s="33"/>
    </row>
    <row r="41" spans="2:12">
      <c r="B41" s="26">
        <v>2</v>
      </c>
      <c r="C41" s="35"/>
      <c r="D41" s="174"/>
      <c r="E41" s="162"/>
      <c r="F41" s="162"/>
      <c r="G41" s="162"/>
      <c r="H41" s="162"/>
      <c r="I41" s="33"/>
      <c r="J41" s="33"/>
      <c r="K41" s="33"/>
      <c r="L41" s="33"/>
    </row>
    <row r="42" spans="2:12">
      <c r="B42" s="26">
        <v>3</v>
      </c>
      <c r="C42" s="35"/>
      <c r="D42" s="174"/>
      <c r="E42" s="174" t="s">
        <v>536</v>
      </c>
      <c r="F42" s="162"/>
      <c r="G42" s="162">
        <v>11.57</v>
      </c>
      <c r="H42" s="162">
        <v>11.57</v>
      </c>
      <c r="I42" s="33"/>
      <c r="J42" s="33"/>
      <c r="K42" s="33"/>
      <c r="L42" s="33"/>
    </row>
    <row r="43" spans="2:12" ht="60">
      <c r="B43" s="33"/>
      <c r="C43" s="35" t="s">
        <v>9</v>
      </c>
      <c r="D43" s="174"/>
      <c r="E43" s="262" t="s">
        <v>542</v>
      </c>
      <c r="F43" s="162"/>
      <c r="G43" s="241">
        <v>19.09</v>
      </c>
      <c r="H43" s="162">
        <v>19.09</v>
      </c>
      <c r="I43" s="33"/>
      <c r="J43" s="33"/>
      <c r="K43" s="33"/>
      <c r="L43" s="33"/>
    </row>
    <row r="44" spans="2:12">
      <c r="B44" s="33"/>
      <c r="C44" s="35"/>
      <c r="D44" s="174"/>
      <c r="E44" s="162"/>
      <c r="F44" s="162">
        <v>0</v>
      </c>
      <c r="G44" s="241">
        <v>30.66</v>
      </c>
      <c r="H44" s="162">
        <v>30.66</v>
      </c>
      <c r="I44" s="33"/>
      <c r="J44" s="33"/>
      <c r="K44" s="33"/>
      <c r="L44" s="33"/>
    </row>
    <row r="45" spans="2:12">
      <c r="B45" s="33"/>
      <c r="C45" s="38" t="s">
        <v>139</v>
      </c>
      <c r="D45" s="174"/>
      <c r="E45" s="162"/>
      <c r="F45" s="140">
        <f>F44</f>
        <v>0</v>
      </c>
      <c r="G45" s="140">
        <f t="shared" ref="G45:H45" si="2">G44</f>
        <v>30.66</v>
      </c>
      <c r="H45" s="140">
        <f t="shared" si="2"/>
        <v>30.66</v>
      </c>
      <c r="I45" s="33"/>
      <c r="J45" s="33"/>
      <c r="K45" s="33"/>
      <c r="L45" s="33"/>
    </row>
    <row r="46" spans="2:12">
      <c r="B46" s="26"/>
      <c r="C46" s="36" t="s">
        <v>280</v>
      </c>
      <c r="D46" s="174" t="s">
        <v>496</v>
      </c>
      <c r="E46" s="162"/>
      <c r="F46" s="162"/>
      <c r="G46" s="162"/>
      <c r="H46" s="162"/>
      <c r="I46" s="33"/>
      <c r="J46" s="33"/>
      <c r="K46" s="33"/>
      <c r="L46" s="33"/>
    </row>
    <row r="47" spans="2:12">
      <c r="B47" s="26">
        <v>1</v>
      </c>
      <c r="C47" s="35"/>
      <c r="D47" s="174"/>
      <c r="E47" s="162"/>
      <c r="F47" s="162"/>
      <c r="G47" s="162"/>
      <c r="H47" s="162"/>
      <c r="I47" s="33"/>
      <c r="J47" s="33"/>
      <c r="K47" s="33"/>
      <c r="L47" s="33"/>
    </row>
    <row r="48" spans="2:12">
      <c r="B48" s="26">
        <v>2</v>
      </c>
      <c r="C48" s="35"/>
      <c r="D48" s="174"/>
      <c r="E48" s="162"/>
      <c r="F48" s="162"/>
      <c r="G48" s="162"/>
      <c r="H48" s="162"/>
      <c r="I48" s="33"/>
      <c r="J48" s="33"/>
      <c r="K48" s="33"/>
      <c r="L48" s="33"/>
    </row>
    <row r="49" spans="2:12">
      <c r="B49" s="26">
        <v>3</v>
      </c>
      <c r="C49" s="35"/>
      <c r="D49" s="174"/>
      <c r="E49" s="162"/>
      <c r="F49" s="162"/>
      <c r="G49" s="162"/>
      <c r="H49" s="162"/>
      <c r="I49" s="33"/>
      <c r="J49" s="33"/>
      <c r="K49" s="33"/>
      <c r="L49" s="33"/>
    </row>
    <row r="50" spans="2:12">
      <c r="B50" s="33"/>
      <c r="C50" s="35" t="s">
        <v>9</v>
      </c>
      <c r="D50" s="174"/>
      <c r="E50" s="162"/>
      <c r="F50" s="162"/>
      <c r="G50" s="162"/>
      <c r="H50" s="162"/>
      <c r="I50" s="33"/>
      <c r="J50" s="33"/>
      <c r="K50" s="33"/>
      <c r="L50" s="33"/>
    </row>
    <row r="51" spans="2:12">
      <c r="B51" s="33"/>
      <c r="C51" s="38" t="s">
        <v>139</v>
      </c>
      <c r="D51" s="174"/>
      <c r="E51" s="162"/>
      <c r="F51" s="140">
        <f>F50</f>
        <v>0</v>
      </c>
      <c r="G51" s="140">
        <f t="shared" ref="G51:H51" si="3">G50</f>
        <v>0</v>
      </c>
      <c r="H51" s="140">
        <f t="shared" si="3"/>
        <v>0</v>
      </c>
      <c r="I51" s="33"/>
      <c r="J51" s="33"/>
      <c r="K51" s="33"/>
      <c r="L51" s="33"/>
    </row>
    <row r="52" spans="2:12">
      <c r="B52" s="26"/>
      <c r="C52" s="36" t="s">
        <v>281</v>
      </c>
      <c r="D52" s="174" t="s">
        <v>497</v>
      </c>
      <c r="E52" s="162"/>
      <c r="F52" s="162"/>
      <c r="G52" s="162"/>
      <c r="H52" s="162"/>
      <c r="I52" s="33"/>
      <c r="J52" s="33"/>
      <c r="K52" s="33"/>
      <c r="L52" s="33"/>
    </row>
    <row r="53" spans="2:12">
      <c r="B53" s="26">
        <v>1</v>
      </c>
      <c r="C53" s="35"/>
      <c r="D53" s="174"/>
      <c r="E53" s="162"/>
      <c r="F53" s="162"/>
      <c r="G53" s="162"/>
      <c r="H53" s="162"/>
      <c r="I53" s="33"/>
      <c r="J53" s="33"/>
      <c r="K53" s="33"/>
      <c r="L53" s="33"/>
    </row>
    <row r="54" spans="2:12">
      <c r="B54" s="26">
        <v>2</v>
      </c>
      <c r="C54" s="35"/>
      <c r="D54" s="174"/>
      <c r="E54" s="162"/>
      <c r="F54" s="162"/>
      <c r="G54" s="162"/>
      <c r="H54" s="162"/>
      <c r="I54" s="33"/>
      <c r="J54" s="33"/>
      <c r="K54" s="33"/>
      <c r="L54" s="33"/>
    </row>
    <row r="55" spans="2:12">
      <c r="B55" s="26">
        <v>3</v>
      </c>
      <c r="C55" s="35"/>
      <c r="D55" s="174"/>
      <c r="E55" s="162"/>
      <c r="F55" s="162"/>
      <c r="G55" s="162"/>
      <c r="H55" s="162"/>
      <c r="I55" s="33"/>
      <c r="J55" s="33"/>
      <c r="K55" s="33"/>
      <c r="L55" s="33"/>
    </row>
    <row r="56" spans="2:12">
      <c r="B56" s="33"/>
      <c r="C56" s="35" t="s">
        <v>9</v>
      </c>
      <c r="D56" s="174"/>
      <c r="E56" s="162"/>
      <c r="F56" s="162"/>
      <c r="G56" s="162"/>
      <c r="H56" s="162"/>
      <c r="I56" s="33"/>
      <c r="J56" s="33"/>
      <c r="K56" s="33"/>
      <c r="L56" s="33"/>
    </row>
    <row r="57" spans="2:12">
      <c r="B57" s="33"/>
      <c r="C57" s="38" t="s">
        <v>139</v>
      </c>
      <c r="D57" s="140">
        <f>SUM(D53:D56)</f>
        <v>0</v>
      </c>
      <c r="E57" s="162"/>
      <c r="F57" s="140">
        <f>F56</f>
        <v>0</v>
      </c>
      <c r="G57" s="140">
        <f t="shared" ref="G57:H57" si="4">G56</f>
        <v>0</v>
      </c>
      <c r="H57" s="140">
        <f t="shared" si="4"/>
        <v>0</v>
      </c>
      <c r="I57" s="33"/>
      <c r="J57" s="33"/>
      <c r="K57" s="33"/>
      <c r="L57" s="33"/>
    </row>
    <row r="58" spans="2:12">
      <c r="B58" s="70" t="s">
        <v>283</v>
      </c>
      <c r="C58" s="57" t="s">
        <v>284</v>
      </c>
    </row>
  </sheetData>
  <pageMargins left="1.02" right="0.25" top="1" bottom="1" header="0.25" footer="0.25"/>
  <pageSetup paperSize="9" scale="3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G21" sqref="G21"/>
    </sheetView>
  </sheetViews>
  <sheetFormatPr defaultColWidth="9.28515625" defaultRowHeight="14.25"/>
  <cols>
    <col min="1" max="1" width="3.5703125" style="113" customWidth="1"/>
    <col min="2" max="2" width="7.140625" style="113" customWidth="1"/>
    <col min="3" max="3" width="25.140625" style="113" customWidth="1"/>
    <col min="4" max="4" width="12.28515625" style="113" customWidth="1"/>
    <col min="5" max="5" width="12.5703125" style="113" customWidth="1"/>
    <col min="6" max="6" width="13.7109375" style="113" customWidth="1"/>
    <col min="7" max="8" width="13.5703125" style="113" customWidth="1"/>
    <col min="9" max="9" width="15" style="113" customWidth="1"/>
    <col min="10" max="10" width="15.7109375" style="113" customWidth="1"/>
    <col min="11" max="16384" width="9.28515625" style="113"/>
  </cols>
  <sheetData>
    <row r="2" spans="2:10" ht="14.25" customHeight="1">
      <c r="B2" s="335" t="s">
        <v>534</v>
      </c>
      <c r="C2" s="335"/>
      <c r="D2" s="335"/>
      <c r="E2" s="335"/>
      <c r="F2" s="335"/>
      <c r="G2" s="335"/>
      <c r="H2" s="335"/>
      <c r="I2" s="335"/>
      <c r="J2" s="335"/>
    </row>
    <row r="3" spans="2:10" ht="14.25" customHeight="1">
      <c r="B3" s="335" t="s">
        <v>514</v>
      </c>
      <c r="C3" s="335"/>
      <c r="D3" s="335"/>
      <c r="E3" s="335"/>
      <c r="F3" s="335"/>
      <c r="G3" s="335"/>
      <c r="H3" s="335"/>
      <c r="I3" s="335"/>
      <c r="J3" s="335"/>
    </row>
    <row r="4" spans="2:10" ht="14.25" customHeight="1">
      <c r="B4" s="333" t="s">
        <v>334</v>
      </c>
      <c r="C4" s="333"/>
      <c r="D4" s="333"/>
      <c r="E4" s="333"/>
      <c r="F4" s="333"/>
      <c r="G4" s="333"/>
      <c r="H4" s="333"/>
      <c r="I4" s="333"/>
      <c r="J4" s="333"/>
    </row>
    <row r="6" spans="2:10" ht="15" customHeight="1">
      <c r="B6" s="322" t="s">
        <v>210</v>
      </c>
      <c r="C6" s="329" t="s">
        <v>18</v>
      </c>
      <c r="D6" s="322" t="s">
        <v>482</v>
      </c>
      <c r="E6" s="244" t="s">
        <v>483</v>
      </c>
      <c r="F6" s="322" t="s">
        <v>252</v>
      </c>
      <c r="G6" s="322"/>
      <c r="H6" s="322"/>
      <c r="I6" s="322"/>
      <c r="J6" s="322"/>
    </row>
    <row r="7" spans="2:10" ht="15">
      <c r="B7" s="322"/>
      <c r="C7" s="329"/>
      <c r="D7" s="322"/>
      <c r="E7" s="21" t="s">
        <v>266</v>
      </c>
      <c r="F7" s="21" t="s">
        <v>484</v>
      </c>
      <c r="G7" s="21" t="s">
        <v>485</v>
      </c>
      <c r="H7" s="21" t="s">
        <v>486</v>
      </c>
      <c r="I7" s="21" t="s">
        <v>487</v>
      </c>
      <c r="J7" s="21" t="s">
        <v>488</v>
      </c>
    </row>
    <row r="8" spans="2:10" ht="15">
      <c r="B8" s="322"/>
      <c r="C8" s="329"/>
      <c r="D8" s="115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16">
        <v>1</v>
      </c>
      <c r="C9" s="34" t="s">
        <v>335</v>
      </c>
      <c r="D9" s="134">
        <f>F3.1!H18</f>
        <v>-6.5</v>
      </c>
      <c r="E9" s="134">
        <f>F3.1!H24</f>
        <v>8.19</v>
      </c>
      <c r="F9" s="134">
        <f>F3.1!H30</f>
        <v>0.55000000000000004</v>
      </c>
      <c r="G9" s="134">
        <f>F3.1!H36</f>
        <v>0</v>
      </c>
      <c r="H9" s="134">
        <f>F3.1!H42</f>
        <v>11.57</v>
      </c>
      <c r="I9" s="134">
        <f>F3.1!H48</f>
        <v>0</v>
      </c>
      <c r="J9" s="134">
        <f>F3.1!H54</f>
        <v>0</v>
      </c>
    </row>
    <row r="10" spans="2:10">
      <c r="B10" s="34"/>
      <c r="C10" s="34"/>
      <c r="D10" s="126"/>
      <c r="E10" s="126"/>
      <c r="F10" s="126"/>
      <c r="G10" s="126"/>
      <c r="H10" s="126"/>
      <c r="I10" s="126"/>
      <c r="J10" s="126"/>
    </row>
    <row r="11" spans="2:10" ht="15">
      <c r="B11" s="116">
        <v>2</v>
      </c>
      <c r="C11" s="117" t="s">
        <v>199</v>
      </c>
      <c r="D11" s="126"/>
      <c r="E11" s="126"/>
      <c r="F11" s="126"/>
      <c r="G11" s="126"/>
      <c r="H11" s="126"/>
      <c r="I11" s="126"/>
      <c r="J11" s="126"/>
    </row>
    <row r="12" spans="2:10">
      <c r="B12" s="34"/>
      <c r="C12" s="34" t="s">
        <v>209</v>
      </c>
      <c r="D12" s="126"/>
      <c r="E12" s="126"/>
      <c r="F12" s="126"/>
      <c r="G12" s="126"/>
      <c r="H12" s="126"/>
      <c r="I12" s="126"/>
      <c r="J12" s="126"/>
    </row>
    <row r="13" spans="2:10">
      <c r="B13" s="34"/>
      <c r="C13" s="34" t="s">
        <v>208</v>
      </c>
      <c r="D13" s="126"/>
      <c r="E13" s="126"/>
      <c r="F13" s="126"/>
      <c r="G13" s="126"/>
      <c r="H13" s="126"/>
      <c r="I13" s="126"/>
      <c r="J13" s="126"/>
    </row>
    <row r="14" spans="2:10">
      <c r="B14" s="34"/>
      <c r="C14" s="34" t="s">
        <v>9</v>
      </c>
      <c r="D14" s="126"/>
      <c r="E14" s="126"/>
      <c r="F14" s="126"/>
      <c r="G14" s="126"/>
      <c r="H14" s="126"/>
      <c r="I14" s="126"/>
      <c r="J14" s="126"/>
    </row>
    <row r="15" spans="2:10" ht="15">
      <c r="B15" s="34"/>
      <c r="C15" s="117" t="s">
        <v>197</v>
      </c>
      <c r="D15" s="134">
        <f>SUM(D12:D14)</f>
        <v>0</v>
      </c>
      <c r="E15" s="134">
        <f>SUM(E12:E14)</f>
        <v>0</v>
      </c>
      <c r="F15" s="134">
        <f t="shared" ref="F15:J15" si="0">SUM(F12:F14)</f>
        <v>0</v>
      </c>
      <c r="G15" s="134">
        <f t="shared" si="0"/>
        <v>0</v>
      </c>
      <c r="H15" s="134">
        <f t="shared" si="0"/>
        <v>0</v>
      </c>
      <c r="I15" s="134">
        <f t="shared" si="0"/>
        <v>0</v>
      </c>
      <c r="J15" s="134">
        <f t="shared" si="0"/>
        <v>0</v>
      </c>
    </row>
    <row r="16" spans="2:10">
      <c r="B16" s="34"/>
      <c r="C16" s="34"/>
      <c r="D16" s="126"/>
      <c r="E16" s="126"/>
      <c r="F16" s="126"/>
      <c r="G16" s="126"/>
      <c r="H16" s="126"/>
      <c r="I16" s="126"/>
      <c r="J16" s="126"/>
    </row>
    <row r="17" spans="2:10">
      <c r="B17" s="116">
        <v>3</v>
      </c>
      <c r="C17" s="34" t="s">
        <v>0</v>
      </c>
      <c r="D17" s="126">
        <f>D9*0.3</f>
        <v>-1.95</v>
      </c>
      <c r="E17" s="126">
        <f t="shared" ref="E17" si="1">E9*0.3</f>
        <v>2.4569999999999999</v>
      </c>
      <c r="F17" s="126">
        <f>F9*0.25</f>
        <v>0.13750000000000001</v>
      </c>
      <c r="G17" s="126">
        <f t="shared" ref="G17:J17" si="2">G9*0.25</f>
        <v>0</v>
      </c>
      <c r="H17" s="126">
        <f t="shared" si="2"/>
        <v>2.8925000000000001</v>
      </c>
      <c r="I17" s="126">
        <f t="shared" si="2"/>
        <v>0</v>
      </c>
      <c r="J17" s="126">
        <f t="shared" si="2"/>
        <v>0</v>
      </c>
    </row>
    <row r="18" spans="2:10">
      <c r="B18" s="116">
        <v>4</v>
      </c>
      <c r="C18" s="34" t="s">
        <v>200</v>
      </c>
      <c r="D18" s="126">
        <f>D9*70%</f>
        <v>-4.55</v>
      </c>
      <c r="E18" s="126">
        <f t="shared" ref="E18" si="3">E9*70%</f>
        <v>5.7329999999999997</v>
      </c>
      <c r="F18" s="126">
        <f>F9*75%</f>
        <v>0.41250000000000003</v>
      </c>
      <c r="G18" s="126">
        <f t="shared" ref="G18:J18" si="4">G9*75%</f>
        <v>0</v>
      </c>
      <c r="H18" s="126">
        <f t="shared" si="4"/>
        <v>8.6775000000000002</v>
      </c>
      <c r="I18" s="126">
        <f t="shared" si="4"/>
        <v>0</v>
      </c>
      <c r="J18" s="126">
        <f t="shared" si="4"/>
        <v>0</v>
      </c>
    </row>
    <row r="19" spans="2:10">
      <c r="B19" s="116">
        <v>5</v>
      </c>
      <c r="C19" s="34" t="s">
        <v>336</v>
      </c>
      <c r="D19" s="126"/>
      <c r="E19" s="126"/>
      <c r="F19" s="126"/>
      <c r="G19" s="126"/>
      <c r="H19" s="126"/>
      <c r="I19" s="126"/>
      <c r="J19" s="126"/>
    </row>
    <row r="20" spans="2:10" ht="15">
      <c r="B20" s="34"/>
      <c r="C20" s="34"/>
      <c r="D20" s="130"/>
      <c r="E20" s="130"/>
      <c r="F20" s="130"/>
      <c r="G20" s="130"/>
      <c r="H20" s="130"/>
      <c r="I20" s="130"/>
      <c r="J20" s="130"/>
    </row>
    <row r="21" spans="2:10" ht="15">
      <c r="B21" s="116">
        <v>6</v>
      </c>
      <c r="C21" s="117" t="s">
        <v>337</v>
      </c>
      <c r="D21" s="134">
        <f>D15+D17+D18+D19</f>
        <v>-6.5</v>
      </c>
      <c r="E21" s="134">
        <f t="shared" ref="E21:F21" si="5">E15+E17+E18+E19</f>
        <v>8.19</v>
      </c>
      <c r="F21" s="134">
        <f t="shared" si="5"/>
        <v>0.55000000000000004</v>
      </c>
      <c r="G21" s="134">
        <f t="shared" ref="F21:J21" si="6">G15+G17+G18+G19</f>
        <v>0</v>
      </c>
      <c r="H21" s="134">
        <f t="shared" si="6"/>
        <v>11.57</v>
      </c>
      <c r="I21" s="134">
        <f t="shared" si="6"/>
        <v>0</v>
      </c>
      <c r="J21" s="134">
        <f t="shared" si="6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2024-09-21T09:58:20Z</cp:lastPrinted>
  <dcterms:created xsi:type="dcterms:W3CDTF">2004-07-28T05:30:50Z</dcterms:created>
  <dcterms:modified xsi:type="dcterms:W3CDTF">2024-09-22T12:46:57Z</dcterms:modified>
</cp:coreProperties>
</file>