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0140" yWindow="0" windowWidth="10455" windowHeight="10905" tabRatio="731"/>
  </bookViews>
  <sheets>
    <sheet name="Checklist" sheetId="57" r:id="rId1"/>
    <sheet name="F1" sheetId="58" r:id="rId2"/>
    <sheet name="F2" sheetId="66" r:id="rId3"/>
    <sheet name="F2.1" sheetId="67" r:id="rId4"/>
    <sheet name="F2.2" sheetId="68" r:id="rId5"/>
    <sheet name="F2.3" sheetId="69" r:id="rId6"/>
    <sheet name="F3" sheetId="93" r:id="rId7"/>
    <sheet name="F3.1" sheetId="117" r:id="rId8"/>
    <sheet name="F3.2" sheetId="109" r:id="rId9"/>
    <sheet name="F4" sheetId="102" r:id="rId10"/>
    <sheet name="F5" sheetId="103" r:id="rId11"/>
    <sheet name="F6" sheetId="104" r:id="rId12"/>
    <sheet name="F7" sheetId="105" r:id="rId13"/>
    <sheet name="F8" sheetId="106" r:id="rId14"/>
    <sheet name="F9" sheetId="64" r:id="rId15"/>
    <sheet name="F10" sheetId="81" r:id="rId16"/>
    <sheet name="F11" sheetId="115" r:id="rId17"/>
    <sheet name="F11.1" sheetId="107" r:id="rId18"/>
    <sheet name="F12" sheetId="110" r:id="rId19"/>
    <sheet name="F13" sheetId="71" r:id="rId20"/>
    <sheet name="F14" sheetId="72" r:id="rId21"/>
    <sheet name="F15" sheetId="91" r:id="rId22"/>
    <sheet name="Sheet1" sheetId="116" r:id="rId23"/>
  </sheets>
  <externalReferences>
    <externalReference r:id="rId24"/>
    <externalReference r:id="rId25"/>
    <externalReference r:id="rId26"/>
    <externalReference r:id="rId27"/>
  </externalReferences>
  <definedNames>
    <definedName name="__123Graph_A" localSheetId="6" hidden="1">[1]CE!#REF!</definedName>
    <definedName name="__123Graph_A" localSheetId="9" hidden="1">[1]CE!#REF!</definedName>
    <definedName name="__123Graph_A" localSheetId="10" hidden="1">[1]CE!#REF!</definedName>
    <definedName name="__123Graph_A" localSheetId="11" hidden="1">[1]CE!#REF!</definedName>
    <definedName name="__123Graph_A" localSheetId="12" hidden="1">[1]CE!#REF!</definedName>
    <definedName name="__123Graph_A" localSheetId="13" hidden="1">[1]CE!#REF!</definedName>
    <definedName name="__123Graph_ASTNPLF" localSheetId="6" hidden="1">[1]CE!#REF!</definedName>
    <definedName name="__123Graph_ASTNPLF" localSheetId="9" hidden="1">[1]CE!#REF!</definedName>
    <definedName name="__123Graph_ASTNPLF" localSheetId="10" hidden="1">[1]CE!#REF!</definedName>
    <definedName name="__123Graph_ASTNPLF" localSheetId="11" hidden="1">[1]CE!#REF!</definedName>
    <definedName name="__123Graph_ASTNPLF" localSheetId="12" hidden="1">[1]CE!#REF!</definedName>
    <definedName name="__123Graph_ASTNPLF" localSheetId="13" hidden="1">[1]CE!#REF!</definedName>
    <definedName name="__123Graph_B" localSheetId="6" hidden="1">[1]CE!#REF!</definedName>
    <definedName name="__123Graph_B" localSheetId="9" hidden="1">[1]CE!#REF!</definedName>
    <definedName name="__123Graph_B" localSheetId="10" hidden="1">[1]CE!#REF!</definedName>
    <definedName name="__123Graph_B" localSheetId="11" hidden="1">[1]CE!#REF!</definedName>
    <definedName name="__123Graph_B" localSheetId="12" hidden="1">[1]CE!#REF!</definedName>
    <definedName name="__123Graph_B" localSheetId="13" hidden="1">[1]CE!#REF!</definedName>
    <definedName name="__123Graph_BSTNPLF" localSheetId="6" hidden="1">[1]CE!#REF!</definedName>
    <definedName name="__123Graph_BSTNPLF" localSheetId="9" hidden="1">[1]CE!#REF!</definedName>
    <definedName name="__123Graph_BSTNPLF" localSheetId="10" hidden="1">[1]CE!#REF!</definedName>
    <definedName name="__123Graph_BSTNPLF" localSheetId="11" hidden="1">[1]CE!#REF!</definedName>
    <definedName name="__123Graph_BSTNPLF" localSheetId="12" hidden="1">[1]CE!#REF!</definedName>
    <definedName name="__123Graph_BSTNPLF" localSheetId="13" hidden="1">[1]CE!#REF!</definedName>
    <definedName name="__123Graph_C" localSheetId="6" hidden="1">[1]CE!#REF!</definedName>
    <definedName name="__123Graph_C" localSheetId="9" hidden="1">[1]CE!#REF!</definedName>
    <definedName name="__123Graph_C" localSheetId="10" hidden="1">[1]CE!#REF!</definedName>
    <definedName name="__123Graph_C" localSheetId="11" hidden="1">[1]CE!#REF!</definedName>
    <definedName name="__123Graph_C" localSheetId="12" hidden="1">[1]CE!#REF!</definedName>
    <definedName name="__123Graph_C" localSheetId="13" hidden="1">[1]CE!#REF!</definedName>
    <definedName name="__123Graph_CSTNPLF" localSheetId="6" hidden="1">[1]CE!#REF!</definedName>
    <definedName name="__123Graph_CSTNPLF" localSheetId="9" hidden="1">[1]CE!#REF!</definedName>
    <definedName name="__123Graph_CSTNPLF" localSheetId="10" hidden="1">[1]CE!#REF!</definedName>
    <definedName name="__123Graph_CSTNPLF" localSheetId="11" hidden="1">[1]CE!#REF!</definedName>
    <definedName name="__123Graph_CSTNPLF" localSheetId="12" hidden="1">[1]CE!#REF!</definedName>
    <definedName name="__123Graph_CSTNPLF" localSheetId="13" hidden="1">[1]CE!#REF!</definedName>
    <definedName name="__123Graph_X" localSheetId="6" hidden="1">[1]CE!#REF!</definedName>
    <definedName name="__123Graph_X" localSheetId="9" hidden="1">[1]CE!#REF!</definedName>
    <definedName name="__123Graph_X" localSheetId="10" hidden="1">[1]CE!#REF!</definedName>
    <definedName name="__123Graph_X" localSheetId="11" hidden="1">[1]CE!#REF!</definedName>
    <definedName name="__123Graph_X" localSheetId="12" hidden="1">[1]CE!#REF!</definedName>
    <definedName name="__123Graph_X" localSheetId="13" hidden="1">[1]CE!#REF!</definedName>
    <definedName name="__123Graph_XSTNPLF" localSheetId="6" hidden="1">[1]CE!#REF!</definedName>
    <definedName name="__123Graph_XSTNPLF" localSheetId="9" hidden="1">[1]CE!#REF!</definedName>
    <definedName name="__123Graph_XSTNPLF" localSheetId="10" hidden="1">[1]CE!#REF!</definedName>
    <definedName name="__123Graph_XSTNPLF" localSheetId="11" hidden="1">[1]CE!#REF!</definedName>
    <definedName name="__123Graph_XSTNPLF" localSheetId="12" hidden="1">[1]CE!#REF!</definedName>
    <definedName name="__123Graph_XSTNPLF" localSheetId="13" hidden="1">[1]CE!#REF!</definedName>
    <definedName name="_Fill" localSheetId="6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new" localSheetId="6" hidden="1">[2]CE!#REF!</definedName>
    <definedName name="new" localSheetId="9" hidden="1">[2]CE!#REF!</definedName>
    <definedName name="new" localSheetId="10" hidden="1">[2]CE!#REF!</definedName>
    <definedName name="new" localSheetId="11" hidden="1">[2]CE!#REF!</definedName>
    <definedName name="new" localSheetId="12" hidden="1">[2]CE!#REF!</definedName>
    <definedName name="new" localSheetId="13" hidden="1">[2]CE!#REF!</definedName>
    <definedName name="_xlnm.Print_Area" localSheetId="0">Checklist!$A$1:$E$41</definedName>
    <definedName name="_xlnm.Print_Area" localSheetId="20">'F14'!$B$2:$N$18</definedName>
    <definedName name="_xlnm.Print_Area" localSheetId="7">F3.1!$B$1:$L$57</definedName>
    <definedName name="_xlnm.Print_Area" localSheetId="9">'F4'!$A$1:$O$84</definedName>
    <definedName name="_xlnm.Print_Area" localSheetId="11">'F6'!$C$2:$M$22</definedName>
    <definedName name="_xlnm.Print_Area" localSheetId="12">'F7'!$A$2:$M$24</definedName>
    <definedName name="_xlnm.Print_Area" localSheetId="13">'F8'!$B$3:$M$22</definedName>
    <definedName name="_xlnm.Print_Area" localSheetId="14">'F9'!$B$2:$J$26</definedName>
    <definedName name="xxxx" localSheetId="6" hidden="1">[3]CE!#REF!</definedName>
    <definedName name="xxxx" localSheetId="9" hidden="1">[3]CE!#REF!</definedName>
    <definedName name="xxxx" localSheetId="10" hidden="1">[3]CE!#REF!</definedName>
    <definedName name="xxxx" localSheetId="11" hidden="1">[3]CE!#REF!</definedName>
    <definedName name="xxxx" localSheetId="12" hidden="1">[3]CE!#REF!</definedName>
    <definedName name="xxxx" localSheetId="13" hidden="1">[3]CE!#REF!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17"/>
  <c r="E14" i="103" s="1"/>
  <c r="G18" i="117"/>
  <c r="E10" i="93" s="1"/>
  <c r="M11" i="105"/>
  <c r="M12" s="1"/>
  <c r="L11"/>
  <c r="L12" s="1"/>
  <c r="K11"/>
  <c r="K12" s="1"/>
  <c r="J11"/>
  <c r="J12" s="1"/>
  <c r="I11"/>
  <c r="I12" s="1"/>
  <c r="H11"/>
  <c r="M11" i="93"/>
  <c r="M10"/>
  <c r="L11"/>
  <c r="L10"/>
  <c r="K11"/>
  <c r="K10"/>
  <c r="J11"/>
  <c r="J10"/>
  <c r="I11"/>
  <c r="I10"/>
  <c r="H11"/>
  <c r="H10"/>
  <c r="E11" l="1"/>
  <c r="F15" i="110"/>
  <c r="H15"/>
  <c r="J15"/>
  <c r="E15" l="1"/>
  <c r="K14"/>
  <c r="L14" s="1"/>
  <c r="M14" s="1"/>
  <c r="N14" s="1"/>
  <c r="K12"/>
  <c r="L12" s="1"/>
  <c r="M12" s="1"/>
  <c r="N12" s="1"/>
  <c r="K33" i="102"/>
  <c r="K30" l="1"/>
  <c r="K40" s="1"/>
  <c r="G40"/>
  <c r="H40"/>
  <c r="L40"/>
  <c r="I21"/>
  <c r="M21"/>
  <c r="N21"/>
  <c r="G22"/>
  <c r="H22"/>
  <c r="L22"/>
  <c r="O21" l="1"/>
  <c r="L18" i="71"/>
  <c r="M18"/>
  <c r="N18"/>
  <c r="D59"/>
  <c r="E59"/>
  <c r="F59"/>
  <c r="G59"/>
  <c r="H59"/>
  <c r="I59"/>
  <c r="J59"/>
  <c r="K59"/>
  <c r="L59"/>
  <c r="M59"/>
  <c r="N59"/>
  <c r="C59"/>
  <c r="D51"/>
  <c r="E51"/>
  <c r="F51"/>
  <c r="G51"/>
  <c r="H51"/>
  <c r="I51"/>
  <c r="J51"/>
  <c r="K51"/>
  <c r="L51"/>
  <c r="M51"/>
  <c r="N51"/>
  <c r="C51"/>
  <c r="D43"/>
  <c r="E43"/>
  <c r="F43"/>
  <c r="G43"/>
  <c r="H43"/>
  <c r="I43"/>
  <c r="J43"/>
  <c r="K43"/>
  <c r="L43"/>
  <c r="M43"/>
  <c r="N43"/>
  <c r="C43"/>
  <c r="D35"/>
  <c r="E35"/>
  <c r="F35"/>
  <c r="G35"/>
  <c r="H35"/>
  <c r="I35"/>
  <c r="J35"/>
  <c r="K35"/>
  <c r="L35"/>
  <c r="M35"/>
  <c r="N35"/>
  <c r="C35"/>
  <c r="D19"/>
  <c r="E19"/>
  <c r="F19"/>
  <c r="G19"/>
  <c r="H19"/>
  <c r="I19"/>
  <c r="J19"/>
  <c r="C19"/>
  <c r="D10"/>
  <c r="E10"/>
  <c r="F10"/>
  <c r="G10"/>
  <c r="H10"/>
  <c r="I10"/>
  <c r="J10"/>
  <c r="K10"/>
  <c r="L10"/>
  <c r="M10"/>
  <c r="N10"/>
  <c r="C10"/>
  <c r="H9" i="93"/>
  <c r="G33" i="67"/>
  <c r="G35" s="1"/>
  <c r="I9" i="102"/>
  <c r="M9"/>
  <c r="N9"/>
  <c r="I10"/>
  <c r="M10"/>
  <c r="N10"/>
  <c r="I11"/>
  <c r="K11"/>
  <c r="N11"/>
  <c r="J12"/>
  <c r="I13"/>
  <c r="M13"/>
  <c r="N13"/>
  <c r="I14"/>
  <c r="K14"/>
  <c r="M14" s="1"/>
  <c r="N14"/>
  <c r="I15"/>
  <c r="K15"/>
  <c r="M15" s="1"/>
  <c r="N15"/>
  <c r="I16"/>
  <c r="M16"/>
  <c r="N16"/>
  <c r="I17"/>
  <c r="M17"/>
  <c r="N17"/>
  <c r="I18"/>
  <c r="M18"/>
  <c r="N18"/>
  <c r="I19"/>
  <c r="M19"/>
  <c r="N19"/>
  <c r="I20"/>
  <c r="M20"/>
  <c r="N20"/>
  <c r="O14" l="1"/>
  <c r="M11"/>
  <c r="O11" s="1"/>
  <c r="K22"/>
  <c r="O15"/>
  <c r="M12"/>
  <c r="M22" s="1"/>
  <c r="J22"/>
  <c r="O20"/>
  <c r="O19"/>
  <c r="O18"/>
  <c r="O17"/>
  <c r="O16"/>
  <c r="O13"/>
  <c r="O10"/>
  <c r="O9"/>
  <c r="K15" i="110"/>
  <c r="L15"/>
  <c r="M15"/>
  <c r="N15"/>
  <c r="H14" i="103" l="1"/>
  <c r="H37" i="68" l="1"/>
  <c r="H39" s="1"/>
  <c r="H25" i="67"/>
  <c r="H33" s="1"/>
  <c r="H35" s="1"/>
  <c r="I14" i="110" l="1"/>
  <c r="I12"/>
  <c r="I10" l="1"/>
  <c r="I9"/>
  <c r="N16" i="71"/>
  <c r="M16"/>
  <c r="M19" s="1"/>
  <c r="L16"/>
  <c r="K16"/>
  <c r="K19" s="1"/>
  <c r="J38" i="102"/>
  <c r="J37"/>
  <c r="J36"/>
  <c r="M36" s="1"/>
  <c r="J35"/>
  <c r="M35" s="1"/>
  <c r="J34"/>
  <c r="J31"/>
  <c r="M31" s="1"/>
  <c r="J30"/>
  <c r="M30" s="1"/>
  <c r="F12"/>
  <c r="J28"/>
  <c r="M28" s="1"/>
  <c r="J27"/>
  <c r="I15" i="110" l="1"/>
  <c r="M27" i="102"/>
  <c r="I12"/>
  <c r="I22" s="1"/>
  <c r="F22"/>
  <c r="L19" i="71"/>
  <c r="N19"/>
  <c r="N12" i="102"/>
  <c r="N22" s="1"/>
  <c r="F27"/>
  <c r="F28"/>
  <c r="F29"/>
  <c r="F31"/>
  <c r="F32"/>
  <c r="F33"/>
  <c r="F34"/>
  <c r="I34" s="1"/>
  <c r="M34"/>
  <c r="F35"/>
  <c r="I35" s="1"/>
  <c r="O35" s="1"/>
  <c r="F36"/>
  <c r="I36" s="1"/>
  <c r="O36" s="1"/>
  <c r="F37"/>
  <c r="I37" s="1"/>
  <c r="M37"/>
  <c r="F38"/>
  <c r="I38" s="1"/>
  <c r="M38"/>
  <c r="H23" i="81"/>
  <c r="N35" i="102"/>
  <c r="E23" i="81"/>
  <c r="G13" i="104"/>
  <c r="I17" i="110"/>
  <c r="H11" i="104" s="1"/>
  <c r="I18" i="110"/>
  <c r="H16" i="104" s="1"/>
  <c r="F18"/>
  <c r="H22" i="103"/>
  <c r="G15"/>
  <c r="G17" s="1"/>
  <c r="D15"/>
  <c r="G12"/>
  <c r="F30" i="102" l="1"/>
  <c r="N30" s="1"/>
  <c r="N38"/>
  <c r="G16" i="103"/>
  <c r="O12" i="102"/>
  <c r="O22" s="1"/>
  <c r="N37"/>
  <c r="N34"/>
  <c r="N36"/>
  <c r="O38"/>
  <c r="O37"/>
  <c r="O34"/>
  <c r="J33"/>
  <c r="M33" s="1"/>
  <c r="I33"/>
  <c r="J32"/>
  <c r="M32" s="1"/>
  <c r="I32"/>
  <c r="N31"/>
  <c r="I31"/>
  <c r="O31" s="1"/>
  <c r="I30"/>
  <c r="O30" s="1"/>
  <c r="J29"/>
  <c r="I29"/>
  <c r="N28"/>
  <c r="I28"/>
  <c r="O28" s="1"/>
  <c r="N27"/>
  <c r="I27"/>
  <c r="O58" i="71"/>
  <c r="O56"/>
  <c r="O50"/>
  <c r="O48"/>
  <c r="O42"/>
  <c r="O40"/>
  <c r="O34"/>
  <c r="O32"/>
  <c r="N26"/>
  <c r="M26"/>
  <c r="L26"/>
  <c r="K26"/>
  <c r="J26"/>
  <c r="I26"/>
  <c r="H26"/>
  <c r="G26"/>
  <c r="F26"/>
  <c r="E26"/>
  <c r="D26"/>
  <c r="C26"/>
  <c r="N24"/>
  <c r="M24"/>
  <c r="M27" s="1"/>
  <c r="L24"/>
  <c r="L27" s="1"/>
  <c r="K24"/>
  <c r="K27" s="1"/>
  <c r="J24"/>
  <c r="J27" s="1"/>
  <c r="I24"/>
  <c r="I27" s="1"/>
  <c r="H24"/>
  <c r="H27" s="1"/>
  <c r="G24"/>
  <c r="G27" s="1"/>
  <c r="F24"/>
  <c r="F27" s="1"/>
  <c r="E24"/>
  <c r="E27" s="1"/>
  <c r="D24"/>
  <c r="D27" s="1"/>
  <c r="C24"/>
  <c r="C27" s="1"/>
  <c r="O18"/>
  <c r="O16"/>
  <c r="O9"/>
  <c r="O7"/>
  <c r="B41" i="81"/>
  <c r="B42" s="1"/>
  <c r="G38"/>
  <c r="G37"/>
  <c r="B37"/>
  <c r="B38" s="1"/>
  <c r="G34"/>
  <c r="G33"/>
  <c r="B33"/>
  <c r="B34" s="1"/>
  <c r="G30"/>
  <c r="G29"/>
  <c r="G28"/>
  <c r="G27"/>
  <c r="B27"/>
  <c r="B28" s="1"/>
  <c r="B29" s="1"/>
  <c r="B30" s="1"/>
  <c r="B23"/>
  <c r="B24" s="1"/>
  <c r="G20"/>
  <c r="G19"/>
  <c r="B19"/>
  <c r="B20" s="1"/>
  <c r="G16"/>
  <c r="G15"/>
  <c r="B15"/>
  <c r="B16" s="1"/>
  <c r="F40" i="102" l="1"/>
  <c r="N27" i="71"/>
  <c r="O27" i="102"/>
  <c r="I40"/>
  <c r="M29"/>
  <c r="J40"/>
  <c r="M40" s="1"/>
  <c r="O59" i="71"/>
  <c r="O51"/>
  <c r="O35"/>
  <c r="O43"/>
  <c r="O19"/>
  <c r="O10"/>
  <c r="O26"/>
  <c r="N29" i="102"/>
  <c r="N32"/>
  <c r="O33"/>
  <c r="O29"/>
  <c r="O32"/>
  <c r="N33"/>
  <c r="O24" i="71"/>
  <c r="N17" i="110"/>
  <c r="M11" i="104" s="1"/>
  <c r="M17" i="110"/>
  <c r="L11" i="104" s="1"/>
  <c r="L17" i="110"/>
  <c r="K11" i="104" s="1"/>
  <c r="K17" i="110"/>
  <c r="J11" i="104" s="1"/>
  <c r="J17" i="110"/>
  <c r="I11" i="104" s="1"/>
  <c r="F17" i="110"/>
  <c r="E11" i="104" s="1"/>
  <c r="J16" i="110"/>
  <c r="I16"/>
  <c r="F16"/>
  <c r="E17"/>
  <c r="D11" i="104" s="1"/>
  <c r="E16" i="110"/>
  <c r="N40" i="102" l="1"/>
  <c r="O40"/>
  <c r="O27" i="71"/>
  <c r="I10" i="104"/>
  <c r="I9"/>
  <c r="D9"/>
  <c r="D10"/>
  <c r="H9"/>
  <c r="H10" s="1"/>
  <c r="E10"/>
  <c r="F10" s="1"/>
  <c r="E9"/>
  <c r="E13" i="66" l="1"/>
  <c r="F11" i="58" s="1"/>
  <c r="D13" i="104" l="1"/>
  <c r="D12"/>
  <c r="L84" i="102"/>
  <c r="K84"/>
  <c r="H84"/>
  <c r="L75"/>
  <c r="K75"/>
  <c r="H75"/>
  <c r="L66"/>
  <c r="K66"/>
  <c r="H66"/>
  <c r="L57"/>
  <c r="K57"/>
  <c r="H57"/>
  <c r="L49"/>
  <c r="K49"/>
  <c r="E10" i="103" l="1"/>
  <c r="F10" s="1"/>
  <c r="E11"/>
  <c r="F11" s="1"/>
  <c r="H11"/>
  <c r="F9" i="104"/>
  <c r="F12" i="103" l="1"/>
  <c r="D11"/>
  <c r="E12"/>
  <c r="D10"/>
  <c r="F9" i="93"/>
  <c r="D12" i="103" l="1"/>
  <c r="D16" s="1"/>
  <c r="J12" i="58"/>
  <c r="H15" i="103" s="1"/>
  <c r="H17" i="110" l="1"/>
  <c r="G11" i="104" s="1"/>
  <c r="H16" i="110"/>
  <c r="J49" i="102"/>
  <c r="I11" i="103" s="1"/>
  <c r="F22" i="106"/>
  <c r="H16" i="58" s="1"/>
  <c r="K37" i="68"/>
  <c r="L37"/>
  <c r="M37"/>
  <c r="E37"/>
  <c r="F37"/>
  <c r="G37"/>
  <c r="I37"/>
  <c r="J37"/>
  <c r="D37"/>
  <c r="G9" i="110"/>
  <c r="G10"/>
  <c r="G11"/>
  <c r="G12"/>
  <c r="G13"/>
  <c r="G14"/>
  <c r="G8"/>
  <c r="G15" l="1"/>
  <c r="G17"/>
  <c r="G10" i="104"/>
  <c r="G9"/>
  <c r="G16" i="110"/>
  <c r="M49" i="102"/>
  <c r="F11" i="104"/>
  <c r="J57" i="102" l="1"/>
  <c r="J11" i="103" s="1"/>
  <c r="M57" i="102" l="1"/>
  <c r="J18" i="110"/>
  <c r="I16" i="104" s="1"/>
  <c r="H18" i="110"/>
  <c r="G16" i="104" s="1"/>
  <c r="K18" i="110" l="1"/>
  <c r="J16" i="104" s="1"/>
  <c r="K16" i="110"/>
  <c r="J66" i="102"/>
  <c r="K11" i="103" s="1"/>
  <c r="G18" i="110"/>
  <c r="F16" i="104" s="1"/>
  <c r="J10" l="1"/>
  <c r="J9"/>
  <c r="L18" i="110"/>
  <c r="K16" i="104" s="1"/>
  <c r="L16" i="110"/>
  <c r="M66" i="102"/>
  <c r="K10" i="104" l="1"/>
  <c r="K9"/>
  <c r="M18" i="110"/>
  <c r="L16" i="104" s="1"/>
  <c r="M16" i="110"/>
  <c r="J75" i="102"/>
  <c r="L11" i="103" s="1"/>
  <c r="D10" i="105"/>
  <c r="E10"/>
  <c r="F10" s="1"/>
  <c r="L10" i="104" l="1"/>
  <c r="L9"/>
  <c r="N18" i="110"/>
  <c r="M16" i="104" s="1"/>
  <c r="N16" i="110"/>
  <c r="M75" i="102"/>
  <c r="E18" i="110"/>
  <c r="D16" i="104" s="1"/>
  <c r="F18" i="110"/>
  <c r="E16" i="104" s="1"/>
  <c r="Q17" i="91"/>
  <c r="Q13"/>
  <c r="Q12"/>
  <c r="M10" i="104" l="1"/>
  <c r="M9"/>
  <c r="J84" i="102"/>
  <c r="M11" i="103" s="1"/>
  <c r="E33" i="67"/>
  <c r="F33"/>
  <c r="D33"/>
  <c r="I39" i="68"/>
  <c r="M84" i="102" l="1"/>
  <c r="G20" i="58"/>
  <c r="H20"/>
  <c r="J20"/>
  <c r="I20" s="1"/>
  <c r="K20"/>
  <c r="L20"/>
  <c r="M20"/>
  <c r="N20"/>
  <c r="O20"/>
  <c r="Q20" i="91" l="1"/>
  <c r="Q21"/>
  <c r="Q22"/>
  <c r="Q19"/>
  <c r="F23"/>
  <c r="G23"/>
  <c r="H23"/>
  <c r="I23"/>
  <c r="J23"/>
  <c r="K23"/>
  <c r="L23"/>
  <c r="M23"/>
  <c r="N23"/>
  <c r="O23"/>
  <c r="P23"/>
  <c r="E23"/>
  <c r="Q23" l="1"/>
  <c r="Q28" s="1"/>
  <c r="B51" i="115"/>
  <c r="B52" s="1"/>
  <c r="B53" s="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V21"/>
  <c r="U21"/>
  <c r="U32" s="1"/>
  <c r="T21"/>
  <c r="S21"/>
  <c r="R21"/>
  <c r="Q21"/>
  <c r="Q32" s="1"/>
  <c r="P21"/>
  <c r="O21"/>
  <c r="N21"/>
  <c r="M21"/>
  <c r="M32" s="1"/>
  <c r="L21"/>
  <c r="K21"/>
  <c r="J21"/>
  <c r="I21"/>
  <c r="I32" s="1"/>
  <c r="H21"/>
  <c r="G21"/>
  <c r="F21"/>
  <c r="E21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I34" l="1"/>
  <c r="M34"/>
  <c r="Q34"/>
  <c r="U34"/>
  <c r="O32"/>
  <c r="O34" s="1"/>
  <c r="S32"/>
  <c r="S34" s="1"/>
  <c r="E32"/>
  <c r="E34" s="1"/>
  <c r="G32"/>
  <c r="G34" s="1"/>
  <c r="K32"/>
  <c r="K34" s="1"/>
  <c r="H32"/>
  <c r="H34" s="1"/>
  <c r="L32"/>
  <c r="L34" s="1"/>
  <c r="P32"/>
  <c r="P34" s="1"/>
  <c r="T32"/>
  <c r="T34" s="1"/>
  <c r="F32"/>
  <c r="F34" s="1"/>
  <c r="J32"/>
  <c r="J34" s="1"/>
  <c r="N32"/>
  <c r="N34" s="1"/>
  <c r="R32"/>
  <c r="R34" s="1"/>
  <c r="V32"/>
  <c r="V34" s="1"/>
  <c r="G12" i="105" l="1"/>
  <c r="D12"/>
  <c r="D39" i="68" l="1"/>
  <c r="D17" i="69"/>
  <c r="D20" s="1"/>
  <c r="D53" i="103"/>
  <c r="D14" i="105"/>
  <c r="D22" i="106"/>
  <c r="E31" i="107"/>
  <c r="E21"/>
  <c r="E14"/>
  <c r="E16" s="1"/>
  <c r="N18" i="72"/>
  <c r="J18"/>
  <c r="G18"/>
  <c r="C18"/>
  <c r="E28" i="91"/>
  <c r="E14"/>
  <c r="E15" s="1"/>
  <c r="E32" i="107" l="1"/>
  <c r="E34" s="1"/>
  <c r="H13" i="66" l="1"/>
  <c r="G12" i="104" s="1"/>
  <c r="M33" i="67"/>
  <c r="M35" s="1"/>
  <c r="N10" i="66" s="1"/>
  <c r="L33" i="67"/>
  <c r="L35" s="1"/>
  <c r="M10" i="66" s="1"/>
  <c r="K33" i="67"/>
  <c r="K35" s="1"/>
  <c r="L10" i="66" s="1"/>
  <c r="J33" i="67"/>
  <c r="J35" s="1"/>
  <c r="K10" i="66" s="1"/>
  <c r="I33" i="67"/>
  <c r="I35" s="1"/>
  <c r="J10" i="66" s="1"/>
  <c r="I10"/>
  <c r="F10"/>
  <c r="G10" s="1"/>
  <c r="M39" i="68"/>
  <c r="N11" i="66" s="1"/>
  <c r="L39" i="68"/>
  <c r="K39"/>
  <c r="L11" i="66" s="1"/>
  <c r="J39" i="68"/>
  <c r="K11" i="66" s="1"/>
  <c r="J11"/>
  <c r="I11"/>
  <c r="G39" i="68"/>
  <c r="F11" i="66" s="1"/>
  <c r="G11" s="1"/>
  <c r="F39" i="68"/>
  <c r="E39"/>
  <c r="M17" i="69"/>
  <c r="N12" i="66" s="1"/>
  <c r="L17" i="69"/>
  <c r="M12" i="66" s="1"/>
  <c r="K17" i="69"/>
  <c r="L12" i="66" s="1"/>
  <c r="J17" i="69"/>
  <c r="K12" i="66" s="1"/>
  <c r="I17" i="69"/>
  <c r="J12" i="66" s="1"/>
  <c r="H17" i="69"/>
  <c r="I12" i="66" s="1"/>
  <c r="G17" i="69"/>
  <c r="F12" i="66" s="1"/>
  <c r="G12" s="1"/>
  <c r="F17" i="69"/>
  <c r="F20" s="1"/>
  <c r="E17"/>
  <c r="E20" s="1"/>
  <c r="D12" i="93"/>
  <c r="G12"/>
  <c r="G56" i="102"/>
  <c r="G57" s="1"/>
  <c r="G48"/>
  <c r="G49" s="1"/>
  <c r="J60" i="103"/>
  <c r="I60"/>
  <c r="H60"/>
  <c r="G60"/>
  <c r="F60"/>
  <c r="E60"/>
  <c r="D60"/>
  <c r="J55"/>
  <c r="I55"/>
  <c r="H55"/>
  <c r="G55"/>
  <c r="F55"/>
  <c r="E55"/>
  <c r="D55"/>
  <c r="J54"/>
  <c r="I54"/>
  <c r="H54"/>
  <c r="G54"/>
  <c r="F54"/>
  <c r="E54"/>
  <c r="D54"/>
  <c r="J53"/>
  <c r="I53"/>
  <c r="H53"/>
  <c r="G53"/>
  <c r="F53"/>
  <c r="E53"/>
  <c r="J45"/>
  <c r="J46" s="1"/>
  <c r="J48" s="1"/>
  <c r="J50" s="1"/>
  <c r="I45"/>
  <c r="I46" s="1"/>
  <c r="I48" s="1"/>
  <c r="I50" s="1"/>
  <c r="H45"/>
  <c r="H46" s="1"/>
  <c r="H48" s="1"/>
  <c r="H50" s="1"/>
  <c r="G45"/>
  <c r="G46" s="1"/>
  <c r="G48" s="1"/>
  <c r="G50" s="1"/>
  <c r="F45"/>
  <c r="F46" s="1"/>
  <c r="F48" s="1"/>
  <c r="F50" s="1"/>
  <c r="E45"/>
  <c r="E46" s="1"/>
  <c r="E48" s="1"/>
  <c r="E50" s="1"/>
  <c r="D45"/>
  <c r="J35"/>
  <c r="J36" s="1"/>
  <c r="J38" s="1"/>
  <c r="I35"/>
  <c r="I36" s="1"/>
  <c r="I38" s="1"/>
  <c r="H35"/>
  <c r="H36" s="1"/>
  <c r="H38" s="1"/>
  <c r="G35"/>
  <c r="G36" s="1"/>
  <c r="G38" s="1"/>
  <c r="F35"/>
  <c r="F36" s="1"/>
  <c r="F38" s="1"/>
  <c r="E35"/>
  <c r="E36" s="1"/>
  <c r="E38" s="1"/>
  <c r="D35"/>
  <c r="D36" s="1"/>
  <c r="D38" s="1"/>
  <c r="D40" s="1"/>
  <c r="D18" i="105"/>
  <c r="M18"/>
  <c r="L18"/>
  <c r="K18"/>
  <c r="J18"/>
  <c r="I18"/>
  <c r="H18"/>
  <c r="G18"/>
  <c r="F18"/>
  <c r="E18"/>
  <c r="G14"/>
  <c r="L13" i="66" l="1"/>
  <c r="M11" i="58" s="1"/>
  <c r="K12" i="104" s="1"/>
  <c r="I13" i="66"/>
  <c r="D46" i="103"/>
  <c r="D48" s="1"/>
  <c r="H56"/>
  <c r="J14"/>
  <c r="G9" i="109"/>
  <c r="D9"/>
  <c r="F13" i="66"/>
  <c r="G11" i="58" s="1"/>
  <c r="E56" i="103"/>
  <c r="E57" s="1"/>
  <c r="I14"/>
  <c r="F9" i="109"/>
  <c r="M14" i="103"/>
  <c r="J9" i="109"/>
  <c r="G83" i="102"/>
  <c r="G84" s="1"/>
  <c r="D20" i="105"/>
  <c r="D21" s="1"/>
  <c r="E9" i="109"/>
  <c r="H12" i="105"/>
  <c r="L14" i="103"/>
  <c r="I9" i="109"/>
  <c r="G74" i="102"/>
  <c r="G75" s="1"/>
  <c r="M11" i="66"/>
  <c r="M13" s="1"/>
  <c r="G13"/>
  <c r="K14" i="103"/>
  <c r="H9" i="109"/>
  <c r="G65" i="102"/>
  <c r="G66" s="1"/>
  <c r="F10" i="93"/>
  <c r="J13" i="66"/>
  <c r="N13"/>
  <c r="K13"/>
  <c r="I56" i="103"/>
  <c r="I57" s="1"/>
  <c r="H57"/>
  <c r="G56"/>
  <c r="G57" s="1"/>
  <c r="F56"/>
  <c r="F57" s="1"/>
  <c r="G19" i="69"/>
  <c r="H59" i="103"/>
  <c r="H40"/>
  <c r="G40"/>
  <c r="G59"/>
  <c r="I40"/>
  <c r="I59"/>
  <c r="J59"/>
  <c r="J40"/>
  <c r="F59"/>
  <c r="F40"/>
  <c r="E40"/>
  <c r="E59"/>
  <c r="D56"/>
  <c r="D57" s="1"/>
  <c r="J56"/>
  <c r="J57" s="1"/>
  <c r="G18"/>
  <c r="I13" i="58" s="1"/>
  <c r="E20" i="105"/>
  <c r="F20"/>
  <c r="G20"/>
  <c r="E12" i="104" l="1"/>
  <c r="F12" s="1"/>
  <c r="E13"/>
  <c r="F13" s="1"/>
  <c r="F11" i="93"/>
  <c r="F12" s="1"/>
  <c r="E11" i="105"/>
  <c r="E12" s="1"/>
  <c r="E14" s="1"/>
  <c r="F49" i="102"/>
  <c r="I17" i="109"/>
  <c r="I12"/>
  <c r="I15" s="1"/>
  <c r="E17"/>
  <c r="E12"/>
  <c r="E15" s="1"/>
  <c r="H12"/>
  <c r="H15" s="1"/>
  <c r="H17"/>
  <c r="J12"/>
  <c r="J15" s="1"/>
  <c r="J17"/>
  <c r="F12"/>
  <c r="F15" s="1"/>
  <c r="F17"/>
  <c r="D12"/>
  <c r="D15" s="1"/>
  <c r="D17"/>
  <c r="G12"/>
  <c r="G15" s="1"/>
  <c r="G17"/>
  <c r="H58" i="103"/>
  <c r="J11" i="58"/>
  <c r="H11"/>
  <c r="N11"/>
  <c r="L12" i="104" s="1"/>
  <c r="D50" i="103"/>
  <c r="D59"/>
  <c r="D58" s="1"/>
  <c r="F19" s="1"/>
  <c r="G19" s="1"/>
  <c r="F14"/>
  <c r="G58"/>
  <c r="E12" i="93"/>
  <c r="E58" i="103"/>
  <c r="J58"/>
  <c r="F58"/>
  <c r="I58"/>
  <c r="G20" i="69"/>
  <c r="L11" i="58"/>
  <c r="J12" i="104" s="1"/>
  <c r="K11" i="58"/>
  <c r="I12" i="104" s="1"/>
  <c r="O11" i="58"/>
  <c r="M12" i="104" s="1"/>
  <c r="F61" i="103"/>
  <c r="I61"/>
  <c r="G61"/>
  <c r="J61"/>
  <c r="E61"/>
  <c r="H61"/>
  <c r="G21" i="105"/>
  <c r="I15" i="58" s="1"/>
  <c r="F15"/>
  <c r="E21" i="109" l="1"/>
  <c r="F11" i="105"/>
  <c r="F12" s="1"/>
  <c r="F14" s="1"/>
  <c r="F21" s="1"/>
  <c r="F22" s="1"/>
  <c r="H15" i="58" s="1"/>
  <c r="I19" i="103"/>
  <c r="J19" s="1"/>
  <c r="K19" s="1"/>
  <c r="L19" s="1"/>
  <c r="M19" s="1"/>
  <c r="H13" i="104"/>
  <c r="H12"/>
  <c r="I13"/>
  <c r="H10" i="103"/>
  <c r="I49" i="102"/>
  <c r="N49"/>
  <c r="I10" i="105" s="1"/>
  <c r="E21"/>
  <c r="E22" s="1"/>
  <c r="G15" i="58" s="1"/>
  <c r="H10" i="105"/>
  <c r="I21" i="109"/>
  <c r="G21"/>
  <c r="F21"/>
  <c r="H21"/>
  <c r="D21"/>
  <c r="J21"/>
  <c r="H19" i="69"/>
  <c r="H20" s="1"/>
  <c r="D61" i="103"/>
  <c r="H12" i="58"/>
  <c r="I9" i="93" l="1"/>
  <c r="I12" s="1"/>
  <c r="J9" s="1"/>
  <c r="J12" s="1"/>
  <c r="K9" s="1"/>
  <c r="K12" s="1"/>
  <c r="L9" s="1"/>
  <c r="L12" s="1"/>
  <c r="M9" s="1"/>
  <c r="M12" s="1"/>
  <c r="H17" i="103"/>
  <c r="H12"/>
  <c r="H16" s="1"/>
  <c r="F15"/>
  <c r="G12" i="58"/>
  <c r="F57" i="102"/>
  <c r="O49"/>
  <c r="I10" i="103"/>
  <c r="E49" i="102"/>
  <c r="H20" i="105"/>
  <c r="H14"/>
  <c r="E40" i="102"/>
  <c r="I12" i="103" l="1"/>
  <c r="F17"/>
  <c r="F16"/>
  <c r="F18" s="1"/>
  <c r="F20" s="1"/>
  <c r="F22" s="1"/>
  <c r="H13" i="58" s="1"/>
  <c r="E15" i="103"/>
  <c r="J13" i="104"/>
  <c r="I57" i="102"/>
  <c r="N57"/>
  <c r="J10" i="105" s="1"/>
  <c r="J10" i="103"/>
  <c r="H21" i="105"/>
  <c r="H22" s="1"/>
  <c r="J15" i="58" s="1"/>
  <c r="I20" i="105"/>
  <c r="I14"/>
  <c r="I19" i="69"/>
  <c r="I20" s="1"/>
  <c r="H18" i="103"/>
  <c r="J13" i="58" s="1"/>
  <c r="M22" i="106"/>
  <c r="O16" i="58" s="1"/>
  <c r="L22" i="106"/>
  <c r="N16" i="58" s="1"/>
  <c r="K22" i="106"/>
  <c r="M16" i="58" s="1"/>
  <c r="J22" i="106"/>
  <c r="L16" i="58" s="1"/>
  <c r="I22" i="106"/>
  <c r="K16" i="58" s="1"/>
  <c r="H22" i="106"/>
  <c r="J16" i="58" s="1"/>
  <c r="G22" i="106"/>
  <c r="I16" i="58" s="1"/>
  <c r="E22" i="106"/>
  <c r="G16" i="58" s="1"/>
  <c r="F16"/>
  <c r="V31" i="107"/>
  <c r="U31"/>
  <c r="T31"/>
  <c r="S31"/>
  <c r="R31"/>
  <c r="Q31"/>
  <c r="P31"/>
  <c r="O31"/>
  <c r="N31"/>
  <c r="M31"/>
  <c r="L31"/>
  <c r="K31"/>
  <c r="J31"/>
  <c r="I31"/>
  <c r="H31"/>
  <c r="G31"/>
  <c r="F31"/>
  <c r="V21"/>
  <c r="U21"/>
  <c r="T21"/>
  <c r="S21"/>
  <c r="S32" s="1"/>
  <c r="R21"/>
  <c r="Q21"/>
  <c r="P21"/>
  <c r="O21"/>
  <c r="O32" s="1"/>
  <c r="N21"/>
  <c r="M21"/>
  <c r="L21"/>
  <c r="K21"/>
  <c r="K32" s="1"/>
  <c r="J21"/>
  <c r="I21"/>
  <c r="H21"/>
  <c r="G21"/>
  <c r="G32" s="1"/>
  <c r="F21"/>
  <c r="V14"/>
  <c r="V16" s="1"/>
  <c r="U14"/>
  <c r="U16" s="1"/>
  <c r="T14"/>
  <c r="T16" s="1"/>
  <c r="S14"/>
  <c r="S16" s="1"/>
  <c r="R14"/>
  <c r="R16" s="1"/>
  <c r="Q14"/>
  <c r="Q16" s="1"/>
  <c r="P14"/>
  <c r="P16" s="1"/>
  <c r="O14"/>
  <c r="O16" s="1"/>
  <c r="N14"/>
  <c r="N16" s="1"/>
  <c r="M14"/>
  <c r="M16" s="1"/>
  <c r="L14"/>
  <c r="L16" s="1"/>
  <c r="K14"/>
  <c r="K16" s="1"/>
  <c r="J14"/>
  <c r="J16" s="1"/>
  <c r="I14"/>
  <c r="I16" s="1"/>
  <c r="H14"/>
  <c r="H16" s="1"/>
  <c r="G14"/>
  <c r="G16" s="1"/>
  <c r="F14"/>
  <c r="F16" s="1"/>
  <c r="O19" i="58"/>
  <c r="O21" s="1"/>
  <c r="N19"/>
  <c r="N21" s="1"/>
  <c r="M19"/>
  <c r="M21" s="1"/>
  <c r="L19"/>
  <c r="L21" s="1"/>
  <c r="K19"/>
  <c r="K21" s="1"/>
  <c r="J19"/>
  <c r="J21" s="1"/>
  <c r="I19"/>
  <c r="I21" s="1"/>
  <c r="H19"/>
  <c r="H21" s="1"/>
  <c r="G19"/>
  <c r="G21" s="1"/>
  <c r="F19"/>
  <c r="M18" i="72"/>
  <c r="L18"/>
  <c r="K18"/>
  <c r="F18"/>
  <c r="E18"/>
  <c r="D18"/>
  <c r="Q14" i="91"/>
  <c r="P14"/>
  <c r="P15" s="1"/>
  <c r="O14"/>
  <c r="O15" s="1"/>
  <c r="N14"/>
  <c r="N15" s="1"/>
  <c r="M14"/>
  <c r="M15" s="1"/>
  <c r="L14"/>
  <c r="L15" s="1"/>
  <c r="K14"/>
  <c r="K15" s="1"/>
  <c r="J14"/>
  <c r="J15" s="1"/>
  <c r="I14"/>
  <c r="I15" s="1"/>
  <c r="H14"/>
  <c r="H15" s="1"/>
  <c r="G14"/>
  <c r="G15" s="1"/>
  <c r="F14"/>
  <c r="F15" s="1"/>
  <c r="P28"/>
  <c r="O28"/>
  <c r="N28"/>
  <c r="M28"/>
  <c r="L28"/>
  <c r="K28"/>
  <c r="J28"/>
  <c r="I28"/>
  <c r="H28"/>
  <c r="G28"/>
  <c r="F28"/>
  <c r="I21" i="105" l="1"/>
  <c r="I22" s="1"/>
  <c r="K15" i="58" s="1"/>
  <c r="E17" i="103"/>
  <c r="E16"/>
  <c r="E18" s="1"/>
  <c r="E20" s="1"/>
  <c r="E22" s="1"/>
  <c r="G13" i="58" s="1"/>
  <c r="J12" i="103"/>
  <c r="F66" i="102"/>
  <c r="O57"/>
  <c r="K10" i="103"/>
  <c r="J14" i="105"/>
  <c r="J20"/>
  <c r="Q15" i="91"/>
  <c r="G34" i="107"/>
  <c r="K34"/>
  <c r="O34"/>
  <c r="S34"/>
  <c r="T32"/>
  <c r="T34" s="1"/>
  <c r="J19" i="69"/>
  <c r="J20" s="1"/>
  <c r="F21" i="58"/>
  <c r="H32" i="107"/>
  <c r="H34" s="1"/>
  <c r="L32"/>
  <c r="L34" s="1"/>
  <c r="P32"/>
  <c r="P34" s="1"/>
  <c r="F32"/>
  <c r="F34" s="1"/>
  <c r="J32"/>
  <c r="J34" s="1"/>
  <c r="N32"/>
  <c r="N34" s="1"/>
  <c r="R32"/>
  <c r="R34" s="1"/>
  <c r="V32"/>
  <c r="V34" s="1"/>
  <c r="I32"/>
  <c r="I34" s="1"/>
  <c r="M32"/>
  <c r="M34" s="1"/>
  <c r="Q32"/>
  <c r="Q34" s="1"/>
  <c r="U32"/>
  <c r="U34" s="1"/>
  <c r="K12" i="103" l="1"/>
  <c r="K13" i="104"/>
  <c r="I66" i="102"/>
  <c r="N66"/>
  <c r="L10" i="103"/>
  <c r="J21" i="105"/>
  <c r="J22" s="1"/>
  <c r="L15" i="58" s="1"/>
  <c r="K12"/>
  <c r="I15" i="103" s="1"/>
  <c r="K10" i="105" l="1"/>
  <c r="K14" s="1"/>
  <c r="L12" i="103"/>
  <c r="I17"/>
  <c r="I16"/>
  <c r="I18" s="1"/>
  <c r="I20" s="1"/>
  <c r="M10"/>
  <c r="F75" i="102"/>
  <c r="O66"/>
  <c r="L12" i="58"/>
  <c r="J15" i="103" s="1"/>
  <c r="K19" i="69"/>
  <c r="K20" s="1"/>
  <c r="B20" i="58"/>
  <c r="B21" s="1"/>
  <c r="K20" i="105" l="1"/>
  <c r="K21" s="1"/>
  <c r="K22" s="1"/>
  <c r="M15" i="58" s="1"/>
  <c r="M12" i="103"/>
  <c r="J17"/>
  <c r="J16"/>
  <c r="J18" s="1"/>
  <c r="J20" s="1"/>
  <c r="I22"/>
  <c r="K13" i="58" s="1"/>
  <c r="L13" i="104"/>
  <c r="I75" i="102"/>
  <c r="N75"/>
  <c r="L10" i="105" s="1"/>
  <c r="E57" i="102"/>
  <c r="J22" i="103" l="1"/>
  <c r="L13" i="58" s="1"/>
  <c r="F84" i="102"/>
  <c r="O75"/>
  <c r="L14" i="105"/>
  <c r="L20"/>
  <c r="L19" i="69"/>
  <c r="L20" s="1"/>
  <c r="E66" i="102"/>
  <c r="M12" i="58"/>
  <c r="K15" i="103" s="1"/>
  <c r="B51" i="107"/>
  <c r="B52" s="1"/>
  <c r="B53" s="1"/>
  <c r="B10"/>
  <c r="B12" s="1"/>
  <c r="B13" s="1"/>
  <c r="B14" s="1"/>
  <c r="B15" s="1"/>
  <c r="B16" s="1"/>
  <c r="B18" s="1"/>
  <c r="B19" s="1"/>
  <c r="B20" s="1"/>
  <c r="B21" s="1"/>
  <c r="B23" s="1"/>
  <c r="B28" s="1"/>
  <c r="B29" s="1"/>
  <c r="B30" s="1"/>
  <c r="B31" s="1"/>
  <c r="B32" s="1"/>
  <c r="B34" s="1"/>
  <c r="B35" s="1"/>
  <c r="B36" s="1"/>
  <c r="B38" s="1"/>
  <c r="B39" s="1"/>
  <c r="B40" s="1"/>
  <c r="B41" s="1"/>
  <c r="B42" s="1"/>
  <c r="B43" s="1"/>
  <c r="B44" s="1"/>
  <c r="B45" s="1"/>
  <c r="B46" s="1"/>
  <c r="B47" s="1"/>
  <c r="K17" i="103" l="1"/>
  <c r="K16"/>
  <c r="K18" s="1"/>
  <c r="K20" s="1"/>
  <c r="M13" i="104"/>
  <c r="I84" i="102"/>
  <c r="O84" s="1"/>
  <c r="N84"/>
  <c r="M10" i="105" s="1"/>
  <c r="L21"/>
  <c r="L22" s="1"/>
  <c r="N15" i="58" s="1"/>
  <c r="N12"/>
  <c r="L15" i="103" s="1"/>
  <c r="E75" i="102"/>
  <c r="B11" i="106"/>
  <c r="B12" s="1"/>
  <c r="B13" s="1"/>
  <c r="B14" s="1"/>
  <c r="B15" s="1"/>
  <c r="B16" s="1"/>
  <c r="B17" s="1"/>
  <c r="B18" s="1"/>
  <c r="B19" s="1"/>
  <c r="B20" s="1"/>
  <c r="B21" s="1"/>
  <c r="B11" i="105"/>
  <c r="B12" s="1"/>
  <c r="B13" s="1"/>
  <c r="B14" s="1"/>
  <c r="B16" s="1"/>
  <c r="B17" s="1"/>
  <c r="B18" s="1"/>
  <c r="B20" s="1"/>
  <c r="B10" i="104"/>
  <c r="B11" s="1"/>
  <c r="B12" s="1"/>
  <c r="B13" s="1"/>
  <c r="B14" s="1"/>
  <c r="B16" s="1"/>
  <c r="B17" s="1"/>
  <c r="B18" s="1"/>
  <c r="B19" s="1"/>
  <c r="B11" i="103"/>
  <c r="B12" s="1"/>
  <c r="B13" s="1"/>
  <c r="B14" s="1"/>
  <c r="B15" s="1"/>
  <c r="B16" s="1"/>
  <c r="B17" s="1"/>
  <c r="B18" s="1"/>
  <c r="B19" s="1"/>
  <c r="B20" s="1"/>
  <c r="B21" s="1"/>
  <c r="B22" s="1"/>
  <c r="L17" l="1"/>
  <c r="L16"/>
  <c r="L18" s="1"/>
  <c r="L20" s="1"/>
  <c r="K22"/>
  <c r="M13" i="58" s="1"/>
  <c r="M14" i="105"/>
  <c r="M20"/>
  <c r="M19" i="69"/>
  <c r="M20" s="1"/>
  <c r="B21" i="105"/>
  <c r="B22" s="1"/>
  <c r="B12" i="58"/>
  <c r="B13" s="1"/>
  <c r="B14" s="1"/>
  <c r="B15" s="1"/>
  <c r="B16" s="1"/>
  <c r="B17" s="1"/>
  <c r="L22" i="103" l="1"/>
  <c r="N13" i="58" s="1"/>
  <c r="M21" i="105"/>
  <c r="M22" s="1"/>
  <c r="O15" i="58" s="1"/>
  <c r="B7" i="9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8" s="1"/>
  <c r="B29" s="1"/>
  <c r="E84" i="102" l="1"/>
  <c r="O12" i="58"/>
  <c r="M15" i="103" s="1"/>
  <c r="B9" i="57"/>
  <c r="B10" s="1"/>
  <c r="B11" s="1"/>
  <c r="B12" s="1"/>
  <c r="M17" i="103" l="1"/>
  <c r="M16"/>
  <c r="M18" s="1"/>
  <c r="M20" s="1"/>
  <c r="B13" i="57"/>
  <c r="B14" s="1"/>
  <c r="B15" s="1"/>
  <c r="B11" i="66"/>
  <c r="B12" s="1"/>
  <c r="B13" s="1"/>
  <c r="B27" i="67"/>
  <c r="B28" s="1"/>
  <c r="B29" s="1"/>
  <c r="B30" s="1"/>
  <c r="M22" i="103" l="1"/>
  <c r="O13" i="58" s="1"/>
  <c r="B16" i="57"/>
  <c r="B17" s="1"/>
  <c r="B18" s="1"/>
  <c r="B19" s="1"/>
  <c r="B20" s="1"/>
  <c r="B21" s="1"/>
  <c r="B22" s="1"/>
  <c r="B23" l="1"/>
  <c r="B24" s="1"/>
  <c r="B25" s="1"/>
  <c r="B26" s="1"/>
  <c r="B27" s="1"/>
  <c r="B28" s="1"/>
  <c r="B30" s="1"/>
  <c r="B31" s="1"/>
  <c r="B32" s="1"/>
  <c r="B33" l="1"/>
  <c r="B34" s="1"/>
  <c r="B35" s="1"/>
  <c r="B36" s="1"/>
  <c r="B37" s="1"/>
  <c r="B38" s="1"/>
  <c r="B39" s="1"/>
  <c r="I14" i="58"/>
  <c r="I17" s="1"/>
  <c r="I23" s="1"/>
  <c r="F17"/>
  <c r="F22" l="1"/>
  <c r="D14" i="104" s="1"/>
  <c r="D17" s="1"/>
  <c r="F23" i="58"/>
  <c r="I22"/>
  <c r="G14" i="104" s="1"/>
  <c r="G17" s="1"/>
  <c r="G14" i="58"/>
  <c r="H14"/>
  <c r="J14"/>
  <c r="K14"/>
  <c r="L14"/>
  <c r="M14"/>
  <c r="N14"/>
  <c r="O14"/>
  <c r="G17"/>
  <c r="H17"/>
  <c r="J17"/>
  <c r="K17"/>
  <c r="L17"/>
  <c r="M17"/>
  <c r="N17"/>
  <c r="O17"/>
  <c r="G22"/>
  <c r="H22"/>
  <c r="J22"/>
  <c r="K22"/>
  <c r="L22"/>
  <c r="M22"/>
  <c r="N22"/>
  <c r="O22"/>
  <c r="G23"/>
  <c r="H23"/>
  <c r="J23"/>
  <c r="K23"/>
  <c r="L23"/>
  <c r="M23"/>
  <c r="N23"/>
  <c r="O23"/>
  <c r="E14" i="104"/>
  <c r="F14"/>
  <c r="H14"/>
  <c r="I14"/>
  <c r="J14"/>
  <c r="K14"/>
  <c r="L14"/>
  <c r="M14"/>
  <c r="E17"/>
  <c r="F17"/>
  <c r="H17"/>
  <c r="I17"/>
  <c r="J17"/>
  <c r="K17"/>
  <c r="L17"/>
  <c r="M17"/>
  <c r="E19"/>
  <c r="F19"/>
  <c r="H19"/>
  <c r="I19"/>
  <c r="J19"/>
  <c r="K19"/>
  <c r="L19"/>
  <c r="M19"/>
</calcChain>
</file>

<file path=xl/sharedStrings.xml><?xml version="1.0" encoding="utf-8"?>
<sst xmlns="http://schemas.openxmlformats.org/spreadsheetml/2006/main" count="1501" uniqueCount="567">
  <si>
    <t>Equity</t>
  </si>
  <si>
    <t>Reference</t>
  </si>
  <si>
    <t>S.No.</t>
  </si>
  <si>
    <t>Actual</t>
  </si>
  <si>
    <t>(Rs. Crore)</t>
  </si>
  <si>
    <t>Estimated</t>
  </si>
  <si>
    <t>Form 1</t>
  </si>
  <si>
    <t>Title</t>
  </si>
  <si>
    <t>Projected</t>
  </si>
  <si>
    <t>…</t>
  </si>
  <si>
    <t>Approved</t>
  </si>
  <si>
    <t>Remarks</t>
  </si>
  <si>
    <t>Audited</t>
  </si>
  <si>
    <t>Opening Balance of Loan</t>
  </si>
  <si>
    <t>Loan Repayment during the year</t>
  </si>
  <si>
    <t>Closing Balance of Loan</t>
  </si>
  <si>
    <t>Applicable Interest Rate (%)</t>
  </si>
  <si>
    <t>Less: Expenses Capitalised</t>
  </si>
  <si>
    <t>Particulars</t>
  </si>
  <si>
    <t>Equity portion of capitalisation during the year</t>
  </si>
  <si>
    <t>Reduction in Equity Capital on account of retirement / replacement of assets</t>
  </si>
  <si>
    <t>Regulatory Equity at the end of the year</t>
  </si>
  <si>
    <t>Form 3</t>
  </si>
  <si>
    <t>Form 4</t>
  </si>
  <si>
    <t>Form 2.1</t>
  </si>
  <si>
    <t>Form 2.2</t>
  </si>
  <si>
    <t>Planned &amp; Forced Outages</t>
  </si>
  <si>
    <t>Form 3.1</t>
  </si>
  <si>
    <t>Form 3.2</t>
  </si>
  <si>
    <t>Form 5</t>
  </si>
  <si>
    <t>Form 6</t>
  </si>
  <si>
    <t>Form 7</t>
  </si>
  <si>
    <t>Form 8</t>
  </si>
  <si>
    <t>Form 9</t>
  </si>
  <si>
    <t>Form 10</t>
  </si>
  <si>
    <t>Form 11</t>
  </si>
  <si>
    <t>Operation &amp; Maintenance Expenses</t>
  </si>
  <si>
    <t>Interest on Working Capital</t>
  </si>
  <si>
    <t>Less: Non-Tariff Income</t>
  </si>
  <si>
    <t>Units</t>
  </si>
  <si>
    <t>MW</t>
  </si>
  <si>
    <t>Target Availability for full recovery of AFC</t>
  </si>
  <si>
    <t>%</t>
  </si>
  <si>
    <t>Target PLF for Incentive</t>
  </si>
  <si>
    <t>Scheduled Generation</t>
  </si>
  <si>
    <t>MU</t>
  </si>
  <si>
    <t>Normative Auxiliary Energy Consumption</t>
  </si>
  <si>
    <t>Net Generation</t>
  </si>
  <si>
    <t>Normative Gross Station Heat Rate</t>
  </si>
  <si>
    <t>kcal/kWh</t>
  </si>
  <si>
    <t>Normative Secondary Fuel Oil Consumption</t>
  </si>
  <si>
    <t>ml/kWh</t>
  </si>
  <si>
    <t>Normative Transit Loss</t>
  </si>
  <si>
    <t>Transit Loss</t>
  </si>
  <si>
    <t xml:space="preserve">Note: </t>
  </si>
  <si>
    <t>Total Working Capital requirement</t>
  </si>
  <si>
    <t>Gross Generation</t>
  </si>
  <si>
    <t>A.</t>
  </si>
  <si>
    <t>Planned Outages</t>
  </si>
  <si>
    <t>No of days of outage</t>
  </si>
  <si>
    <t>Period of Outage</t>
  </si>
  <si>
    <t>Reasons for Outage</t>
  </si>
  <si>
    <t>B.</t>
  </si>
  <si>
    <t>Forced Outages</t>
  </si>
  <si>
    <t xml:space="preserve">Reasons for Outage </t>
  </si>
  <si>
    <t>……</t>
  </si>
  <si>
    <t>…….</t>
  </si>
  <si>
    <t>A</t>
  </si>
  <si>
    <t>A. For Existing Generating Stations</t>
  </si>
  <si>
    <t xml:space="preserve">Employee Expenses </t>
  </si>
  <si>
    <t>Total O&amp;M Expenses</t>
  </si>
  <si>
    <t>B</t>
  </si>
  <si>
    <t>C</t>
  </si>
  <si>
    <t>Basic Salary</t>
  </si>
  <si>
    <t>Dearness Allowance (DA)</t>
  </si>
  <si>
    <t>House Rent Allowance</t>
  </si>
  <si>
    <t>Conveyance Allowance</t>
  </si>
  <si>
    <t>Leave Travel Allowance</t>
  </si>
  <si>
    <t>Earned Leave Encashment</t>
  </si>
  <si>
    <t>Other Allowances</t>
  </si>
  <si>
    <t>Medical Reimbursement</t>
  </si>
  <si>
    <t>Overtime Payment</t>
  </si>
  <si>
    <t>Bonus/Ex-Gratia Payments</t>
  </si>
  <si>
    <t xml:space="preserve">Interim Relief / Wage Revision </t>
  </si>
  <si>
    <t>Staff welfare expenses</t>
  </si>
  <si>
    <t>VRS Expenses/Retrenchment Compensation</t>
  </si>
  <si>
    <t>Commission to Directors</t>
  </si>
  <si>
    <t>Training Expenses</t>
  </si>
  <si>
    <t>Payment under Workmen's Compensation Act</t>
  </si>
  <si>
    <t>Net Employee Costs</t>
  </si>
  <si>
    <t>Terminal Benefits</t>
  </si>
  <si>
    <t>Provident Fund Contribution</t>
  </si>
  <si>
    <t>Provision for PF Fund</t>
  </si>
  <si>
    <t>Pension Payments</t>
  </si>
  <si>
    <t>Gratuity Payment</t>
  </si>
  <si>
    <t>Others</t>
  </si>
  <si>
    <t xml:space="preserve">Gross Employee Expenses </t>
  </si>
  <si>
    <t xml:space="preserve">Net Employee Expenses </t>
  </si>
  <si>
    <t>Rent Rates &amp; Taxes</t>
  </si>
  <si>
    <t>Insurance</t>
  </si>
  <si>
    <t>Telephone &amp; Postage, etc.</t>
  </si>
  <si>
    <t>Legal charges &amp; Audit fee</t>
  </si>
  <si>
    <t>Professional, Consultancy, Technical fee</t>
  </si>
  <si>
    <t>Conveyance &amp; Travel</t>
  </si>
  <si>
    <t>Electricity charges</t>
  </si>
  <si>
    <t>Water charges</t>
  </si>
  <si>
    <t>Security arrangements</t>
  </si>
  <si>
    <t>Fees &amp; subscription</t>
  </si>
  <si>
    <t>Books &amp; periodicals</t>
  </si>
  <si>
    <t>Computer Stationery</t>
  </si>
  <si>
    <t>Printing &amp; Stationery</t>
  </si>
  <si>
    <t xml:space="preserve">Advertisements </t>
  </si>
  <si>
    <t>Purchase Related Advertisement Expenses</t>
  </si>
  <si>
    <t>Contribution/Donations</t>
  </si>
  <si>
    <t>License Fee  and other related fee</t>
  </si>
  <si>
    <t>Vehicle Running Expenses Truck / Delivery Van</t>
  </si>
  <si>
    <t>Vehicle Hiring Expenses Truck / Delivery Van</t>
  </si>
  <si>
    <t>Cost of services procured</t>
  </si>
  <si>
    <t>Outsourcing of metering and billing system</t>
  </si>
  <si>
    <t>Freight On Capital Equipments</t>
  </si>
  <si>
    <t>V-sat, Internet and related charges</t>
  </si>
  <si>
    <t>Training</t>
  </si>
  <si>
    <t>Bank Charges</t>
  </si>
  <si>
    <t>Miscellaneous Expenses</t>
  </si>
  <si>
    <t>Office Expenses</t>
  </si>
  <si>
    <t>Gross A &amp;G Expenses</t>
  </si>
  <si>
    <t xml:space="preserve">Net A &amp;G Expenses </t>
  </si>
  <si>
    <t>Plant &amp; Machinery</t>
  </si>
  <si>
    <t>Buildings</t>
  </si>
  <si>
    <t>Civil Works</t>
  </si>
  <si>
    <t>Hydraulic Works</t>
  </si>
  <si>
    <t>Lines &amp; Cable Networks</t>
  </si>
  <si>
    <t>Vehicles</t>
  </si>
  <si>
    <t>Furniture &amp; Fixtures</t>
  </si>
  <si>
    <t>Office Equipment</t>
  </si>
  <si>
    <t>Gross R&amp;M Expenses</t>
  </si>
  <si>
    <t>Gross Fixed Assets at beginning of year</t>
  </si>
  <si>
    <t>R&amp;M Expenses as % of GFA at beginning of year</t>
  </si>
  <si>
    <t>Additions during the year</t>
  </si>
  <si>
    <t>Total</t>
  </si>
  <si>
    <t>(MU)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</si>
  <si>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</si>
  <si>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</si>
  <si>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</si>
  <si>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</si>
  <si>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</si>
  <si>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</si>
  <si>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</si>
  <si>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</si>
  <si>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</si>
  <si>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</si>
  <si>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</si>
  <si>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</si>
  <si>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Actuals</t>
  </si>
  <si>
    <t xml:space="preserve"> Total</t>
  </si>
  <si>
    <t xml:space="preserve">Components of tariff </t>
  </si>
  <si>
    <t>Relevant sales &amp; load/demand data for revenue calculation</t>
  </si>
  <si>
    <t>Full year revenue (Rs. Crore)</t>
  </si>
  <si>
    <t>Sales in MU</t>
  </si>
  <si>
    <t>Item 3 (specify)</t>
  </si>
  <si>
    <t xml:space="preserve">Revenue from Fixed / Capacity Charges </t>
  </si>
  <si>
    <t>Revenue from Energy Charges</t>
  </si>
  <si>
    <t>Income from sale of ash/rejected coal</t>
  </si>
  <si>
    <t>Revenue from sale of electricity</t>
  </si>
  <si>
    <t>Non-Tariff Income</t>
  </si>
  <si>
    <t>Actual/Projected Availability</t>
  </si>
  <si>
    <t>Actual/Projected PLF</t>
  </si>
  <si>
    <t>Actual/Projected Gross Generation</t>
  </si>
  <si>
    <t>Actual/Projected Auxiliary Energy Consumption</t>
  </si>
  <si>
    <t>Actual/Projected Gross Station Heat Rate</t>
  </si>
  <si>
    <t>Actual/Projected Secondary Fuel Oil Consumption</t>
  </si>
  <si>
    <t>Actual/Projected Transit Loss</t>
  </si>
  <si>
    <t>Form 12</t>
  </si>
  <si>
    <t>Income from sale of tender documents</t>
  </si>
  <si>
    <t>Unit 1 / Station 1</t>
  </si>
  <si>
    <t>Unit 2 / Station 2</t>
  </si>
  <si>
    <t xml:space="preserve">Depreciation </t>
  </si>
  <si>
    <t>Addition of Loan during the year</t>
  </si>
  <si>
    <t>Energy Charges (Rs./kWh)</t>
  </si>
  <si>
    <t>Fuel surcharge per unit, if any (Rs./kWh)</t>
  </si>
  <si>
    <t>Fixed / Capacity Charges (Rs. Crore / year)</t>
  </si>
  <si>
    <t>Form 13</t>
  </si>
  <si>
    <t>Total Revenue</t>
  </si>
  <si>
    <t>Auxiliary Consumption</t>
  </si>
  <si>
    <t>Normative Availability (%)</t>
  </si>
  <si>
    <t>Availability</t>
  </si>
  <si>
    <t>Plant Load Factor (PLF)</t>
  </si>
  <si>
    <t>Secondary Fuel Oil Consumption</t>
  </si>
  <si>
    <t>Opening Balance of Gross Normative Loan</t>
  </si>
  <si>
    <t>Cumulative Repayment till the year</t>
  </si>
  <si>
    <t>Opening Balance of Net Normative Loan</t>
  </si>
  <si>
    <t>Less: Reduction of Normative Loan due to retirement or replacement of assets</t>
  </si>
  <si>
    <t>Closing Balance of Net Normative Loan</t>
  </si>
  <si>
    <t>Closing Balance of Gross Normative Loan</t>
  </si>
  <si>
    <t>Return on Equity Computation</t>
  </si>
  <si>
    <t>Total Return on Equity</t>
  </si>
  <si>
    <t>Repayment of Normative loan during the year</t>
  </si>
  <si>
    <t>Total Loan</t>
  </si>
  <si>
    <t>Financing Details</t>
  </si>
  <si>
    <t>Internal Resources</t>
  </si>
  <si>
    <t>Total Cost</t>
  </si>
  <si>
    <t>Project Schedule</t>
  </si>
  <si>
    <t>Abstract of Capital Cost</t>
  </si>
  <si>
    <t>Breakup of Capital Cost</t>
  </si>
  <si>
    <t>Breakup of Construction/Supply/Services/Packages</t>
  </si>
  <si>
    <t>Details of Loans</t>
  </si>
  <si>
    <t>Financing of Additional Capitalisation</t>
  </si>
  <si>
    <t>Loan 2</t>
  </si>
  <si>
    <t>Loan 1</t>
  </si>
  <si>
    <t>S. No.</t>
  </si>
  <si>
    <t>Availability during the month (%)</t>
  </si>
  <si>
    <t>Cumulative Availability (%)</t>
  </si>
  <si>
    <t>Actual PLF during the month (%)</t>
  </si>
  <si>
    <t>Cumulative PLF (%)</t>
  </si>
  <si>
    <t>Gross  Generation (MU)</t>
  </si>
  <si>
    <t>Auxiliary Consumption (MU)</t>
  </si>
  <si>
    <t>Variable Charges Per Unit</t>
  </si>
  <si>
    <t>Fixed Charges During Month</t>
  </si>
  <si>
    <t>Incentive Amount</t>
  </si>
  <si>
    <t>Other recoveries/adjustments</t>
  </si>
  <si>
    <t>Rs./kWh</t>
  </si>
  <si>
    <t>Rs. Crore</t>
  </si>
  <si>
    <t>Total Revenue as per Audited Accounts</t>
  </si>
  <si>
    <t>Financial Package</t>
  </si>
  <si>
    <t>Gross Station Heat Rate</t>
  </si>
  <si>
    <t>True-Up requirement</t>
  </si>
  <si>
    <t>Legend</t>
  </si>
  <si>
    <t xml:space="preserve">Details of outages should be submitted for each Unit of each station separately </t>
  </si>
  <si>
    <t>R &amp; M Expenses</t>
  </si>
  <si>
    <t>Installed Capacity</t>
  </si>
  <si>
    <t>Weighted average Rate of Interest on actual Loans (%)</t>
  </si>
  <si>
    <t>Average Balance of Net Normative Loan</t>
  </si>
  <si>
    <t>Average Loan Balance</t>
  </si>
  <si>
    <t>Net Generation (MU)</t>
  </si>
  <si>
    <t>Generation above target PLF (MU)</t>
  </si>
  <si>
    <t>Approved Fixed Charges</t>
  </si>
  <si>
    <t>Amount of Fuel Surcharge Adjustment</t>
  </si>
  <si>
    <t>Summary of Capital Expenditure and Capitalisation</t>
  </si>
  <si>
    <t>Type of Thermal Generating Station (Pithead/Non-Pithead)</t>
  </si>
  <si>
    <t>Form 15</t>
  </si>
  <si>
    <t>Form 16</t>
  </si>
  <si>
    <t>Regulatory Equity at the beginning of the year</t>
  </si>
  <si>
    <t>Capitalisation during the year</t>
  </si>
  <si>
    <t>Return on Regulatory Equity at the beginning of the year</t>
  </si>
  <si>
    <t>Return on Regulatory Equity addition during the year</t>
  </si>
  <si>
    <t>Capital Cost Approval*</t>
  </si>
  <si>
    <t>Revenue from Sale of Electricity</t>
  </si>
  <si>
    <t xml:space="preserve">Any Other Charges (specify part name and unit) </t>
  </si>
  <si>
    <t>Share of Capacity (MW/%)</t>
  </si>
  <si>
    <t>Revenue from Any Other Charge (specify part name)</t>
  </si>
  <si>
    <t>Revenue from Fuel Surcharge</t>
  </si>
  <si>
    <t>Control Period</t>
  </si>
  <si>
    <t>n+3</t>
  </si>
  <si>
    <t>n+4</t>
  </si>
  <si>
    <t>n+5</t>
  </si>
  <si>
    <t>Current Year 'n'</t>
  </si>
  <si>
    <t>Year (n-1)</t>
  </si>
  <si>
    <t xml:space="preserve">April-March     </t>
  </si>
  <si>
    <t>Claimed</t>
  </si>
  <si>
    <t>Apr-Sep</t>
  </si>
  <si>
    <t xml:space="preserve">Oct-Mar        </t>
  </si>
  <si>
    <t>April - March</t>
  </si>
  <si>
    <t>Interest and finance charges on loan</t>
  </si>
  <si>
    <t>Return on Equity</t>
  </si>
  <si>
    <t>Annual Fixed Charges</t>
  </si>
  <si>
    <t>Energy Charges</t>
  </si>
  <si>
    <t>Energy Charge Rate</t>
  </si>
  <si>
    <t>Scheduled Energy (ex-bus)</t>
  </si>
  <si>
    <t>Apr - Mar</t>
  </si>
  <si>
    <t>Apr-Mar</t>
  </si>
  <si>
    <t>A&amp;G Expenses</t>
  </si>
  <si>
    <t>Note:</t>
  </si>
  <si>
    <t>The projections for the Control Period to be supported by detailed computations</t>
  </si>
  <si>
    <t>Opening Capital Works in Progress</t>
  </si>
  <si>
    <t>Closing Capital Works in Progress</t>
  </si>
  <si>
    <t>A/c Code</t>
  </si>
  <si>
    <t>Rate of Depriciation</t>
  </si>
  <si>
    <t xml:space="preserve">Gross fixed Assets </t>
  </si>
  <si>
    <t>Provisions for depreciation</t>
  </si>
  <si>
    <t xml:space="preserve">Net fixed Assets </t>
  </si>
  <si>
    <t>At the beginning of the year</t>
  </si>
  <si>
    <t>Adjust. &amp; deductions</t>
  </si>
  <si>
    <t>At the end of the year</t>
  </si>
  <si>
    <t>Cumulative upto the beginning of the year</t>
  </si>
  <si>
    <t>Adjust. during the year</t>
  </si>
  <si>
    <t>Cumulative at the end of the year</t>
  </si>
  <si>
    <t xml:space="preserve">Asset Group                                                                                                                                                </t>
  </si>
  <si>
    <t>Form 2</t>
  </si>
  <si>
    <t>Form 2.3</t>
  </si>
  <si>
    <t>Form 2.3: Repair &amp; Maintenance Expenses</t>
  </si>
  <si>
    <t>Form 3:  Summary of Capital Expenditure and Capitalisation</t>
  </si>
  <si>
    <t>Form 4:  Fixed Assets &amp; Depreciation</t>
  </si>
  <si>
    <t>Capital Expenditure during the year</t>
  </si>
  <si>
    <t>Normative Loan</t>
  </si>
  <si>
    <t>Interest</t>
  </si>
  <si>
    <t>Actual loan portfolio</t>
  </si>
  <si>
    <t>…......</t>
  </si>
  <si>
    <t>Finance charges</t>
  </si>
  <si>
    <t>Total Interest &amp; Finance charges</t>
  </si>
  <si>
    <t>Cost of coal, towards stock</t>
  </si>
  <si>
    <t>Cost of coal for generation</t>
  </si>
  <si>
    <t>Cost of secondary fuel oil</t>
  </si>
  <si>
    <t>O&amp;M expenses</t>
  </si>
  <si>
    <t>Maintenance spares</t>
  </si>
  <si>
    <t>Less:</t>
  </si>
  <si>
    <t>Interest rate</t>
  </si>
  <si>
    <t>Interest on working capital</t>
  </si>
  <si>
    <t>Rate of Return on Equity</t>
  </si>
  <si>
    <t>Base rate of Return on Equity</t>
  </si>
  <si>
    <t>Effective Income Tax rate</t>
  </si>
  <si>
    <t>Income from rent of land or buildings</t>
  </si>
  <si>
    <t>Net income from sale of de-capitalised assets</t>
  </si>
  <si>
    <t>Income from sale of scrap</t>
  </si>
  <si>
    <t>Income from statutory investments</t>
  </si>
  <si>
    <t>Interest income on advances to suppliers/ contractors</t>
  </si>
  <si>
    <t>Income from rental from staff quarters</t>
  </si>
  <si>
    <t>Income from rental from contractors</t>
  </si>
  <si>
    <t>Income from hire charges from contactors and others</t>
  </si>
  <si>
    <t>Income from advertisements</t>
  </si>
  <si>
    <t xml:space="preserve">April-March    </t>
  </si>
  <si>
    <t>Form 9:  Planned &amp; Forced Outages</t>
  </si>
  <si>
    <t>Form 3.2:  Financing of Additional Capitalisation</t>
  </si>
  <si>
    <t>Additional capitalisation</t>
  </si>
  <si>
    <t>Others (Please Specify)</t>
  </si>
  <si>
    <t>Total (2+3+4+5)</t>
  </si>
  <si>
    <t>Opening Quantity</t>
  </si>
  <si>
    <t>Value ot stock</t>
  </si>
  <si>
    <t>MT</t>
  </si>
  <si>
    <t>Procurement</t>
  </si>
  <si>
    <t>Normative transit and handling loss</t>
  </si>
  <si>
    <t>Price</t>
  </si>
  <si>
    <t>Handling, sampling and such other similar charges</t>
  </si>
  <si>
    <t>Total amount charged (8+9+10)</t>
  </si>
  <si>
    <t>D</t>
  </si>
  <si>
    <t>Transportation</t>
  </si>
  <si>
    <t>Transportation charges</t>
  </si>
  <si>
    <t>By rail</t>
  </si>
  <si>
    <t>By road</t>
  </si>
  <si>
    <t>By ship</t>
  </si>
  <si>
    <t>Demurrage charges, if any</t>
  </si>
  <si>
    <t>Total Transportation charges (12+13+14+15)</t>
  </si>
  <si>
    <t>E</t>
  </si>
  <si>
    <t>Rs./MT</t>
  </si>
  <si>
    <t>Blending Ratio (Domestic/Imported)</t>
  </si>
  <si>
    <t>F</t>
  </si>
  <si>
    <t>Quality</t>
  </si>
  <si>
    <t>kcal/kg</t>
  </si>
  <si>
    <t>Similar details to be furnished for secondary fuel oil for coal based thermal plants with appropriate units.</t>
  </si>
  <si>
    <t>As billed and as received GCV, quantity of coal, and price should be submitted as certified by statutory auditor.</t>
  </si>
  <si>
    <t>Details to be provided for each source separately. In case of more than one source, add additional column.</t>
  </si>
  <si>
    <t>Break up of the amount charged by the Coal Company is to be provided separately.</t>
  </si>
  <si>
    <t>COD</t>
  </si>
  <si>
    <t>Form 11: Fuel Details for computation of Energy Charge Rate</t>
  </si>
  <si>
    <t>Secondary Fuel oil consumption</t>
  </si>
  <si>
    <t>Calorific Value of Secondary Fuel</t>
  </si>
  <si>
    <t>Landed Price of Secondary Fuel</t>
  </si>
  <si>
    <t>Landed Price of Coal</t>
  </si>
  <si>
    <t>Specific Coal Consumption</t>
  </si>
  <si>
    <t>ECR</t>
  </si>
  <si>
    <t>AUX</t>
  </si>
  <si>
    <t>SFC</t>
  </si>
  <si>
    <t>CVSF</t>
  </si>
  <si>
    <t>kcal/ml</t>
  </si>
  <si>
    <t>LPSF</t>
  </si>
  <si>
    <t>Rs./ml</t>
  </si>
  <si>
    <t>CVPF</t>
  </si>
  <si>
    <t>LPPF</t>
  </si>
  <si>
    <t>Rs./kg</t>
  </si>
  <si>
    <t>kg/kWh</t>
  </si>
  <si>
    <t>GSHR</t>
  </si>
  <si>
    <t>Gross Calorific Value of Coal</t>
  </si>
  <si>
    <r>
      <t xml:space="preserve">              </t>
    </r>
    <r>
      <rPr>
        <b/>
        <sz val="11"/>
        <rFont val="Arial"/>
        <family val="2"/>
      </rPr>
      <t xml:space="preserve">               </t>
    </r>
  </si>
  <si>
    <t>Form 13: Sales</t>
  </si>
  <si>
    <t>Beneficiary</t>
  </si>
  <si>
    <t>Beneficiary 1</t>
  </si>
  <si>
    <t>Beneficiary 2</t>
  </si>
  <si>
    <t>Beneficiary 3</t>
  </si>
  <si>
    <t>Form 14: Revenue from Sale of Electricity</t>
  </si>
  <si>
    <t>Fuel Surcharge</t>
  </si>
  <si>
    <t>Energy Charges Amount</t>
  </si>
  <si>
    <t>Form 15: Revenue Reconciliation</t>
  </si>
  <si>
    <t>MYT/Tariff Order</t>
  </si>
  <si>
    <t xml:space="preserve"> Tariff Filing Formats - Generation</t>
  </si>
  <si>
    <t>Form</t>
  </si>
  <si>
    <t>Checklist</t>
  </si>
  <si>
    <t>Tick</t>
  </si>
  <si>
    <t>Form 14</t>
  </si>
  <si>
    <t>Summary Sheet</t>
  </si>
  <si>
    <t>Form 2:  Operation and Maintenance Expenses</t>
  </si>
  <si>
    <t>Operation and Maintenance Expenses</t>
  </si>
  <si>
    <t>Employee Expenses</t>
  </si>
  <si>
    <t>Administration &amp; General Expenses</t>
  </si>
  <si>
    <t>Repair &amp; Maintenance Expenses</t>
  </si>
  <si>
    <t>Statement of Additional Capitalisation after COD</t>
  </si>
  <si>
    <t>Fixed Assets &amp; Depreciation</t>
  </si>
  <si>
    <t>Operational parameters</t>
  </si>
  <si>
    <t>Fuel Details for computation of Energy Charge Rate</t>
  </si>
  <si>
    <t>Sales</t>
  </si>
  <si>
    <t>Revenue Reconciliation</t>
  </si>
  <si>
    <t>Summary of true-up</t>
  </si>
  <si>
    <t>Phasing of Expenditure, Debt and Equity upto COD</t>
  </si>
  <si>
    <t>Interest During Construction and Finance Charges upto COD</t>
  </si>
  <si>
    <r>
      <rPr>
        <b/>
        <sz val="12"/>
        <rFont val="Arial"/>
        <family val="2"/>
      </rPr>
      <t>Note</t>
    </r>
    <r>
      <rPr>
        <sz val="12"/>
        <rFont val="Arial"/>
        <family val="2"/>
      </rPr>
      <t>: * Applicable only for new Generating Station/Unit for which Provisional/Final tariff approval is being sought</t>
    </r>
  </si>
  <si>
    <t>Form 19.1</t>
  </si>
  <si>
    <t>Form 19.2</t>
  </si>
  <si>
    <t>Form 17</t>
  </si>
  <si>
    <t>Form 18</t>
  </si>
  <si>
    <t>Form 19.3</t>
  </si>
  <si>
    <t>Form 19.4</t>
  </si>
  <si>
    <t>Form 19.5</t>
  </si>
  <si>
    <t>Form 19.6</t>
  </si>
  <si>
    <t>Form 19.7</t>
  </si>
  <si>
    <t>Form 19.8</t>
  </si>
  <si>
    <t>Plant Characteristics (Thermal)</t>
  </si>
  <si>
    <t>Plant Characteristics (Hydel)</t>
  </si>
  <si>
    <t>Unfunded past liabilities of pension &amp; gratuity</t>
  </si>
  <si>
    <t>AFC +Energy Charges</t>
  </si>
  <si>
    <t>MYT/ Tariff Order</t>
  </si>
  <si>
    <r>
      <t>Receivables</t>
    </r>
    <r>
      <rPr>
        <sz val="10"/>
        <rFont val="Arial"/>
        <family val="2"/>
      </rPr>
      <t>1</t>
    </r>
  </si>
  <si>
    <r>
      <t>Payables for Fuels</t>
    </r>
    <r>
      <rPr>
        <sz val="10"/>
        <rFont val="Arial"/>
        <family val="2"/>
      </rPr>
      <t>2</t>
    </r>
  </si>
  <si>
    <t>1 In case actual availability is less or more than normative value, the modification in the formula need to be done accordingly.</t>
  </si>
  <si>
    <r>
      <t>Addition of Normative Loan due to capitalisation during the year</t>
    </r>
    <r>
      <rPr>
        <sz val="10"/>
        <rFont val="Arial"/>
        <family val="2"/>
      </rPr>
      <t>1</t>
    </r>
  </si>
  <si>
    <t>1 In case actual loan is more than 75%, the modification in the formula need to be done accordingly.</t>
  </si>
  <si>
    <t>&lt;KTPS V&gt;</t>
  </si>
  <si>
    <t>Opening quantity of oil</t>
  </si>
  <si>
    <t>Quantity of oil suppllied by the oil company</t>
  </si>
  <si>
    <t>Adjustment in oil quantity supplied by the oil company</t>
  </si>
  <si>
    <t>oil supplied by oil company (3+4)</t>
  </si>
  <si>
    <t>Net oil supplied</t>
  </si>
  <si>
    <t>Amount charged by oil company</t>
  </si>
  <si>
    <t>Adjustment in amount charged by the oil company</t>
  </si>
  <si>
    <t>Adjustment in amount charged by the oil transporter</t>
  </si>
  <si>
    <t>Cost of diesel in transporting oil through MGR system, if
applicable</t>
  </si>
  <si>
    <t>Total amount charged for oil supplied including transportation (11+16)</t>
  </si>
  <si>
    <t>Landed cost of oil (2+17)/(1+7)</t>
  </si>
  <si>
    <t>Weighted average cost of oil for preceding three months</t>
  </si>
  <si>
    <t>GCV of Domestic oil of the opening oil stock as per bill
of oil Company</t>
  </si>
  <si>
    <t>GCV of Domestic oil supplied as per bill of oil Company</t>
  </si>
  <si>
    <t>GCV of Imported oil of the opening stock as per bill oil
Company</t>
  </si>
  <si>
    <t>GCV of Imported oil supplied as per bill oil Company</t>
  </si>
  <si>
    <t>Weighted average GCV of oil as Billed</t>
  </si>
  <si>
    <t>GCV of Domestic oil of the opening stock as received at
Station</t>
  </si>
  <si>
    <t>GCV of Domestic oil supplied as received at Station</t>
  </si>
  <si>
    <t>GCV of Imported oil of opening stock as received at
Station</t>
  </si>
  <si>
    <t>GCV of Imported oil of opening stock as received at Station</t>
  </si>
  <si>
    <t>Weighted average GCV of oil as Received</t>
  </si>
  <si>
    <t>Opening quantity of coal</t>
  </si>
  <si>
    <t>Quantity of coal suppllied by the coal company</t>
  </si>
  <si>
    <t>Adjustment in coal quantity supplied by the coal company (-/+)</t>
  </si>
  <si>
    <t>Coal supplied by coal company (3+4)</t>
  </si>
  <si>
    <t>Net coal supplied</t>
  </si>
  <si>
    <t>Amount charged by coal company</t>
  </si>
  <si>
    <t>Adjustment in amount charged by the coal company</t>
  </si>
  <si>
    <t>Adjustment in amount charged by the coal transporter</t>
  </si>
  <si>
    <t>Cost of diesel in transporting coal through MGR system, if applicable</t>
  </si>
  <si>
    <t>Total amount charged for coal supplied including transportation (11+16)</t>
  </si>
  <si>
    <t>Landed cost of coal (2+17)/(1+7)</t>
  </si>
  <si>
    <t>Weighted average cost of coal for preceding three months</t>
  </si>
  <si>
    <t>GCV of Domestic Coal of the opening coal stock as per bill of Coal Company</t>
  </si>
  <si>
    <t>GCV of Domestic Coal supplied as per bill of Coal Company</t>
  </si>
  <si>
    <t>GCV of Imported Coal of the opening stock as per bill Coal Company</t>
  </si>
  <si>
    <t>GCV of Imported Coal supplied as per bill Coal Company</t>
  </si>
  <si>
    <t>Weighted average GCV of coal as Billed</t>
  </si>
  <si>
    <t>GCV of Domestic Coal of the opening stock as received at Station</t>
  </si>
  <si>
    <t>GCV of Domestic Coal supplied as received at Station</t>
  </si>
  <si>
    <t>GCV of Imported Coal of opening stock as received at Station</t>
  </si>
  <si>
    <t>Weighted average GCV of coal as Received</t>
  </si>
  <si>
    <t>&lt;KTPS-V&gt;</t>
  </si>
  <si>
    <t>Water Charges</t>
  </si>
  <si>
    <t>Fuel (savings)/charge year end adjustment</t>
  </si>
  <si>
    <t>Difference bill issued after MTR order</t>
  </si>
  <si>
    <t>TSSPDCL (70.55%)</t>
  </si>
  <si>
    <t>TSNPDCL (29.45%)</t>
  </si>
  <si>
    <t>FY 2022-23</t>
  </si>
  <si>
    <t>FY 2023-24</t>
  </si>
  <si>
    <t>FY 2024-25</t>
  </si>
  <si>
    <t>FY 2025-26</t>
  </si>
  <si>
    <t>FY 2026-27</t>
  </si>
  <si>
    <t>FY 2027-28</t>
  </si>
  <si>
    <t>FY 2028-29</t>
  </si>
  <si>
    <t xml:space="preserve">2 X 250   </t>
  </si>
  <si>
    <t>Non-pithead</t>
  </si>
  <si>
    <t>Rs.in Crs</t>
  </si>
  <si>
    <t>2023-24</t>
  </si>
  <si>
    <t>01.10.1997                  01.09.1998</t>
  </si>
  <si>
    <t>Non-Pit Head</t>
  </si>
  <si>
    <t>FY 2019-20</t>
  </si>
  <si>
    <t>FY 2020-21</t>
  </si>
  <si>
    <t>FY 2021-22</t>
  </si>
  <si>
    <t>KL</t>
  </si>
  <si>
    <t>Rs./KL</t>
  </si>
  <si>
    <t>Year (n-1) (FY 2022-23)</t>
  </si>
  <si>
    <t>Current Year 'n' (FY 2023-24)</t>
  </si>
  <si>
    <t xml:space="preserve"> (FY 2022-23)</t>
  </si>
  <si>
    <t>Current Year 'n' ( FY 2023-24)</t>
  </si>
  <si>
    <t>Previous Year (n-1)  FY 2022-23</t>
  </si>
  <si>
    <t>Previous Year (n-1) (FY 2022-23)</t>
  </si>
  <si>
    <t>KTPS-V</t>
  </si>
  <si>
    <t>Oil Cost/kwh</t>
  </si>
  <si>
    <t>Rs/kwh</t>
  </si>
  <si>
    <t>Coal Cost/kwh</t>
  </si>
  <si>
    <t>Land &amp; Land Rights</t>
  </si>
  <si>
    <t>Lines &amp; Cable Network</t>
  </si>
  <si>
    <t>Capital Spares</t>
  </si>
  <si>
    <t>Hydralic Works</t>
  </si>
  <si>
    <t>Other Civil Works</t>
  </si>
  <si>
    <t>Furniture&amp; Fixtures</t>
  </si>
  <si>
    <t>Computers</t>
  </si>
  <si>
    <t>Intangible Assets</t>
  </si>
  <si>
    <t>Lines &amp; Cables</t>
  </si>
  <si>
    <t>TGGENCO</t>
  </si>
  <si>
    <t>&lt;TGGENCO&gt;</t>
  </si>
  <si>
    <t xml:space="preserve">                      -  </t>
  </si>
  <si>
    <t>Provisional</t>
  </si>
  <si>
    <t>Current Year 'n'                    (FY 2023-24)</t>
  </si>
  <si>
    <t>Sub Total</t>
  </si>
  <si>
    <t>2.2  Administration &amp; General Expenses</t>
  </si>
  <si>
    <t>KTPS V</t>
  </si>
  <si>
    <t>Form 3.1:  Statement of Additional Capitalisation after COD</t>
  </si>
  <si>
    <t>FY</t>
  </si>
  <si>
    <t>Name of the package (BTG, BoP, Civil Works etc.)</t>
  </si>
  <si>
    <t>Name of the work</t>
  </si>
  <si>
    <t>Total estimated cost* (Rs. Crore)</t>
  </si>
  <si>
    <t>Capital expenditure during the year (Rs. Crore)</t>
  </si>
  <si>
    <t>Capitalisation during the year (Rs. Crore)</t>
  </si>
  <si>
    <t>Asset group under which the capitalisation has been accounted (Land, Buldings, etc.)</t>
  </si>
  <si>
    <t>Scope of work</t>
  </si>
  <si>
    <t>Relevant Clause of the TSERC MYT Regulation, 2023 under which the capitalisation has been claimed</t>
  </si>
  <si>
    <t>Justification</t>
  </si>
  <si>
    <t>Year (2022-23)</t>
  </si>
  <si>
    <t>OTHER CIVIL WORKS</t>
  </si>
  <si>
    <t>VEHICLES</t>
  </si>
  <si>
    <t>FURNITURE &amp; FIXTURES</t>
  </si>
  <si>
    <t>OFFICE EQUIPMENT</t>
  </si>
  <si>
    <t>LINES &amp;CABLES</t>
  </si>
  <si>
    <t>CWIP PLANT AND MACHINERY</t>
  </si>
  <si>
    <t>PLANT &amp; MACHINERY &amp; LINES &amp;CABLES</t>
  </si>
  <si>
    <t>CWIP CAPITAL WORK IN PROGRESS - OTHERS</t>
  </si>
  <si>
    <t>CWIP PROVISIONS</t>
  </si>
  <si>
    <t>COMPUTERS</t>
  </si>
  <si>
    <t>Year (n+1)</t>
  </si>
  <si>
    <t>2024-25</t>
  </si>
  <si>
    <t xml:space="preserve">IT Initiatives </t>
  </si>
  <si>
    <t>IT</t>
  </si>
  <si>
    <t xml:space="preserve">The details are enclosed as annexure </t>
  </si>
  <si>
    <t>Year (n+2)</t>
  </si>
  <si>
    <t>2025-26</t>
  </si>
  <si>
    <t xml:space="preserve"> </t>
  </si>
  <si>
    <t>Year (n+3)</t>
  </si>
  <si>
    <t>2026-27</t>
  </si>
  <si>
    <t>Year (n+4)</t>
  </si>
  <si>
    <t>2027-28</t>
  </si>
  <si>
    <t>Year (n+5)</t>
  </si>
  <si>
    <t>2028-29</t>
  </si>
  <si>
    <t>*</t>
  </si>
  <si>
    <t>Total estimated cost to be supported by documentary evidences like work orders, investment approvals etc.</t>
  </si>
  <si>
    <t>2.1 Employee Expenses</t>
  </si>
  <si>
    <t>Form-1:  Summary Sheet</t>
  </si>
  <si>
    <t>Form-6:   Interest on working capital</t>
  </si>
  <si>
    <t>Form-7:   Return on Equity</t>
  </si>
  <si>
    <t>Form-8:  Non-Tariff Income</t>
  </si>
  <si>
    <t>Form-10:  Operational parameters</t>
  </si>
  <si>
    <t>Form 11.1:  Fuel Details for computation of Energy Charge Rate</t>
  </si>
  <si>
    <t>Form-12:  Energy Charge Rate</t>
  </si>
  <si>
    <t>Form-5:  Interest and finance charges on loan</t>
  </si>
  <si>
    <t>* Energy Charges provisionally computed for next control period FY 2024-25 to FY 2028-29 based on actual weighted average cost of primary fuel and secondary fuel during January-24, February-24 and March-24 with 2% escalation year on year. However, actual energy charges shall be claimed as per TGERC regulation 2 of 2023.</t>
  </si>
  <si>
    <t xml:space="preserve">The work -R&amp;M of  LP Bypass System was approved in Capital Investment order, Dt.29.12.2023 at Table No. 5.16 for Rs.8.0 Crs. </t>
  </si>
</sst>
</file>

<file path=xl/styles.xml><?xml version="1.0" encoding="utf-8"?>
<styleSheet xmlns="http://schemas.openxmlformats.org/spreadsheetml/2006/main">
  <numFmts count="12"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0_)"/>
    <numFmt numFmtId="167" formatCode="&quot;ß&quot;#,##0.00_);\(&quot;ß&quot;#,##0.00\)"/>
    <numFmt numFmtId="168" formatCode="0.000"/>
    <numFmt numFmtId="169" formatCode="0.000%"/>
    <numFmt numFmtId="170" formatCode="0.00000000"/>
    <numFmt numFmtId="171" formatCode="0.0000000"/>
    <numFmt numFmtId="172" formatCode="0.000000"/>
    <numFmt numFmtId="173" formatCode="0.0000"/>
    <numFmt numFmtId="174" formatCode="0.0000000000000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12"/>
      <name val="Tms Rmn"/>
    </font>
    <font>
      <sz val="10"/>
      <name val="Helv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indexed="9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vertAlign val="superscript"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24">
    <xf numFmtId="0" fontId="0" fillId="0" borderId="0"/>
    <xf numFmtId="0" fontId="11" fillId="0" borderId="0" applyNumberFormat="0" applyFill="0" applyBorder="0" applyAlignment="0" applyProtection="0"/>
    <xf numFmtId="0" fontId="12" fillId="0" borderId="1"/>
    <xf numFmtId="0" fontId="12" fillId="0" borderId="1"/>
    <xf numFmtId="38" fontId="13" fillId="2" borderId="0" applyNumberFormat="0" applyBorder="0" applyAlignment="0" applyProtection="0"/>
    <xf numFmtId="0" fontId="14" fillId="0" borderId="2" applyNumberFormat="0" applyAlignment="0" applyProtection="0">
      <alignment horizontal="left" vertical="center"/>
    </xf>
    <xf numFmtId="0" fontId="14" fillId="0" borderId="3">
      <alignment horizontal="left" vertical="center"/>
    </xf>
    <xf numFmtId="10" fontId="13" fillId="3" borderId="4" applyNumberFormat="0" applyBorder="0" applyAlignment="0" applyProtection="0"/>
    <xf numFmtId="37" fontId="15" fillId="0" borderId="0"/>
    <xf numFmtId="166" fontId="16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>
      <alignment vertical="center"/>
    </xf>
    <xf numFmtId="167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0" fillId="0" borderId="0"/>
    <xf numFmtId="0" fontId="18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0" fillId="0" borderId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10" fillId="0" borderId="0"/>
    <xf numFmtId="0" fontId="8" fillId="0" borderId="0"/>
    <xf numFmtId="0" fontId="10" fillId="0" borderId="0" applyBorder="0" applyProtection="0"/>
    <xf numFmtId="167" fontId="19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28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10">
    <xf numFmtId="0" fontId="0" fillId="0" borderId="0" xfId="0"/>
    <xf numFmtId="0" fontId="9" fillId="0" borderId="0" xfId="10" applyFont="1" applyAlignment="1">
      <alignment horizontal="center" vertical="center"/>
    </xf>
    <xf numFmtId="0" fontId="17" fillId="0" borderId="4" xfId="14" applyFont="1" applyBorder="1" applyAlignment="1">
      <alignment horizontal="center" vertical="center"/>
    </xf>
    <xf numFmtId="0" fontId="17" fillId="0" borderId="4" xfId="14" applyFont="1" applyBorder="1">
      <alignment vertical="center"/>
    </xf>
    <xf numFmtId="0" fontId="17" fillId="0" borderId="0" xfId="10" applyFont="1"/>
    <xf numFmtId="0" fontId="17" fillId="0" borderId="0" xfId="10" applyFont="1" applyAlignment="1">
      <alignment vertical="center"/>
    </xf>
    <xf numFmtId="0" fontId="9" fillId="0" borderId="0" xfId="14" applyFont="1">
      <alignment vertical="center"/>
    </xf>
    <xf numFmtId="0" fontId="14" fillId="0" borderId="0" xfId="14" applyFont="1" applyAlignment="1">
      <alignment horizontal="right" vertical="center"/>
    </xf>
    <xf numFmtId="0" fontId="9" fillId="0" borderId="4" xfId="14" applyFont="1" applyBorder="1" applyAlignment="1">
      <alignment horizontal="center" vertical="center"/>
    </xf>
    <xf numFmtId="0" fontId="9" fillId="0" borderId="4" xfId="14" applyFont="1" applyBorder="1">
      <alignment vertical="center"/>
    </xf>
    <xf numFmtId="0" fontId="9" fillId="0" borderId="4" xfId="14" applyFont="1" applyBorder="1" applyAlignment="1">
      <alignment horizontal="left" vertical="center"/>
    </xf>
    <xf numFmtId="0" fontId="9" fillId="0" borderId="4" xfId="14" applyFont="1" applyBorder="1" applyAlignment="1">
      <alignment vertical="top" wrapText="1"/>
    </xf>
    <xf numFmtId="0" fontId="9" fillId="6" borderId="4" xfId="14" applyFont="1" applyFill="1" applyBorder="1" applyAlignment="1">
      <alignment horizontal="center" vertical="center"/>
    </xf>
    <xf numFmtId="0" fontId="14" fillId="6" borderId="4" xfId="14" applyFont="1" applyFill="1" applyBorder="1">
      <alignment vertical="center"/>
    </xf>
    <xf numFmtId="0" fontId="9" fillId="6" borderId="4" xfId="14" applyFont="1" applyFill="1" applyBorder="1" applyAlignment="1">
      <alignment horizontal="left" vertical="center"/>
    </xf>
    <xf numFmtId="0" fontId="9" fillId="0" borderId="0" xfId="10" applyFont="1"/>
    <xf numFmtId="0" fontId="9" fillId="5" borderId="0" xfId="14" applyFont="1" applyFill="1">
      <alignment vertical="center"/>
    </xf>
    <xf numFmtId="0" fontId="14" fillId="0" borderId="8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7" fillId="0" borderId="0" xfId="14" applyFont="1">
      <alignment vertical="center"/>
    </xf>
    <xf numFmtId="0" fontId="22" fillId="0" borderId="4" xfId="14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left" vertical="center"/>
    </xf>
    <xf numFmtId="0" fontId="17" fillId="5" borderId="4" xfId="14" applyFont="1" applyFill="1" applyBorder="1" applyAlignment="1">
      <alignment horizontal="left" vertical="center"/>
    </xf>
    <xf numFmtId="0" fontId="17" fillId="0" borderId="4" xfId="14" applyFont="1" applyBorder="1" applyAlignment="1">
      <alignment vertical="top" wrapText="1"/>
    </xf>
    <xf numFmtId="0" fontId="22" fillId="0" borderId="4" xfId="14" applyFont="1" applyBorder="1">
      <alignment vertical="center"/>
    </xf>
    <xf numFmtId="0" fontId="17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22" fillId="0" borderId="0" xfId="10" applyFont="1" applyAlignment="1">
      <alignment horizontal="left" vertical="center"/>
    </xf>
    <xf numFmtId="0" fontId="22" fillId="0" borderId="0" xfId="10" applyFont="1" applyAlignment="1">
      <alignment horizontal="right" vertical="center"/>
    </xf>
    <xf numFmtId="0" fontId="22" fillId="0" borderId="0" xfId="14" applyFont="1" applyAlignment="1">
      <alignment horizontal="right" vertical="center"/>
    </xf>
    <xf numFmtId="0" fontId="17" fillId="0" borderId="4" xfId="1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4" xfId="10" applyFont="1" applyBorder="1" applyAlignment="1">
      <alignment horizontal="left" vertical="center"/>
    </xf>
    <xf numFmtId="0" fontId="22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horizontal="center" vertical="center" wrapText="1"/>
    </xf>
    <xf numFmtId="0" fontId="22" fillId="0" borderId="0" xfId="10" applyFont="1" applyAlignment="1">
      <alignment vertical="center"/>
    </xf>
    <xf numFmtId="0" fontId="22" fillId="0" borderId="0" xfId="14" applyFont="1" applyAlignment="1">
      <alignment horizontal="center" vertical="center"/>
    </xf>
    <xf numFmtId="0" fontId="17" fillId="0" borderId="0" xfId="10" applyFont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4" applyFont="1">
      <alignment vertical="center"/>
    </xf>
    <xf numFmtId="0" fontId="17" fillId="0" borderId="4" xfId="10" applyFont="1" applyBorder="1" applyAlignment="1">
      <alignment horizontal="left" vertical="center" wrapText="1"/>
    </xf>
    <xf numFmtId="0" fontId="22" fillId="0" borderId="4" xfId="10" applyFont="1" applyBorder="1" applyAlignment="1">
      <alignment vertical="center"/>
    </xf>
    <xf numFmtId="0" fontId="17" fillId="0" borderId="4" xfId="10" applyFont="1" applyBorder="1" applyAlignment="1">
      <alignment horizontal="right" vertical="center"/>
    </xf>
    <xf numFmtId="0" fontId="22" fillId="0" borderId="0" xfId="10" applyFont="1" applyAlignment="1">
      <alignment horizontal="centerContinuous"/>
    </xf>
    <xf numFmtId="0" fontId="17" fillId="0" borderId="0" xfId="10" applyFont="1" applyAlignment="1">
      <alignment horizontal="centerContinuous"/>
    </xf>
    <xf numFmtId="0" fontId="17" fillId="0" borderId="4" xfId="10" applyFont="1" applyBorder="1"/>
    <xf numFmtId="0" fontId="22" fillId="0" borderId="4" xfId="10" applyFont="1" applyBorder="1"/>
    <xf numFmtId="0" fontId="22" fillId="0" borderId="0" xfId="10" applyFont="1" applyAlignment="1">
      <alignment horizontal="justify" vertical="top" wrapText="1"/>
    </xf>
    <xf numFmtId="0" fontId="17" fillId="0" borderId="0" xfId="10" applyFont="1" applyAlignment="1">
      <alignment horizontal="left"/>
    </xf>
    <xf numFmtId="0" fontId="17" fillId="0" borderId="4" xfId="10" applyFont="1" applyBorder="1" applyAlignment="1">
      <alignment wrapText="1"/>
    </xf>
    <xf numFmtId="0" fontId="17" fillId="0" borderId="0" xfId="10" applyFont="1" applyAlignment="1">
      <alignment horizontal="left" vertical="center"/>
    </xf>
    <xf numFmtId="0" fontId="17" fillId="0" borderId="0" xfId="10" applyFont="1" applyAlignment="1">
      <alignment horizontal="right" vertical="center"/>
    </xf>
    <xf numFmtId="0" fontId="23" fillId="0" borderId="0" xfId="10" applyFont="1" applyAlignment="1">
      <alignment horizontal="left" vertical="center"/>
    </xf>
    <xf numFmtId="0" fontId="23" fillId="0" borderId="0" xfId="10" applyFont="1" applyAlignment="1">
      <alignment vertical="center"/>
    </xf>
    <xf numFmtId="0" fontId="23" fillId="0" borderId="0" xfId="10" applyFont="1" applyAlignment="1">
      <alignment horizontal="center" vertical="center"/>
    </xf>
    <xf numFmtId="0" fontId="17" fillId="0" borderId="4" xfId="10" quotePrefix="1" applyFont="1" applyBorder="1" applyAlignment="1">
      <alignment horizontal="left" vertical="top" wrapText="1"/>
    </xf>
    <xf numFmtId="0" fontId="17" fillId="0" borderId="4" xfId="10" applyFont="1" applyBorder="1" applyAlignment="1">
      <alignment horizontal="left"/>
    </xf>
    <xf numFmtId="0" fontId="22" fillId="0" borderId="4" xfId="10" applyFont="1" applyBorder="1" applyAlignment="1">
      <alignment horizontal="left"/>
    </xf>
    <xf numFmtId="0" fontId="17" fillId="0" borderId="0" xfId="14" applyFont="1" applyAlignment="1">
      <alignment horizontal="center" vertical="center"/>
    </xf>
    <xf numFmtId="0" fontId="17" fillId="0" borderId="4" xfId="10" applyFont="1" applyBorder="1" applyAlignment="1">
      <alignment horizontal="left" vertical="top" wrapText="1"/>
    </xf>
    <xf numFmtId="0" fontId="22" fillId="0" borderId="0" xfId="10" applyFont="1" applyAlignment="1">
      <alignment horizontal="left" vertical="center" wrapText="1"/>
    </xf>
    <xf numFmtId="0" fontId="22" fillId="0" borderId="0" xfId="10" applyFont="1" applyAlignment="1">
      <alignment horizontal="center" vertical="center" wrapText="1"/>
    </xf>
    <xf numFmtId="0" fontId="17" fillId="0" borderId="7" xfId="10" applyFont="1" applyBorder="1" applyAlignment="1">
      <alignment horizontal="center" vertical="center"/>
    </xf>
    <xf numFmtId="0" fontId="23" fillId="0" borderId="0" xfId="10" applyFont="1" applyAlignment="1">
      <alignment horizontal="right" vertical="center"/>
    </xf>
    <xf numFmtId="0" fontId="17" fillId="0" borderId="0" xfId="10" applyFont="1" applyAlignment="1">
      <alignment horizontal="center"/>
    </xf>
    <xf numFmtId="0" fontId="14" fillId="0" borderId="0" xfId="14" applyFont="1" applyAlignment="1">
      <alignment horizontal="center" vertical="center"/>
    </xf>
    <xf numFmtId="0" fontId="22" fillId="0" borderId="6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 wrapText="1"/>
    </xf>
    <xf numFmtId="0" fontId="17" fillId="0" borderId="9" xfId="14" applyFont="1" applyBorder="1">
      <alignment vertical="center"/>
    </xf>
    <xf numFmtId="0" fontId="22" fillId="0" borderId="4" xfId="10" applyFont="1" applyBorder="1" applyAlignment="1">
      <alignment vertical="center" wrapText="1"/>
    </xf>
    <xf numFmtId="0" fontId="22" fillId="4" borderId="4" xfId="14" applyFont="1" applyFill="1" applyBorder="1" applyAlignment="1">
      <alignment horizontal="center" vertical="center" wrapText="1"/>
    </xf>
    <xf numFmtId="0" fontId="22" fillId="0" borderId="0" xfId="10" applyFont="1" applyAlignment="1">
      <alignment horizontal="centerContinuous" vertical="center"/>
    </xf>
    <xf numFmtId="0" fontId="17" fillId="0" borderId="0" xfId="10" applyFont="1" applyAlignment="1">
      <alignment horizontal="centerContinuous" vertical="center"/>
    </xf>
    <xf numFmtId="0" fontId="22" fillId="4" borderId="4" xfId="10" quotePrefix="1" applyFont="1" applyFill="1" applyBorder="1" applyAlignment="1">
      <alignment horizontal="center" vertical="center" wrapText="1"/>
    </xf>
    <xf numFmtId="0" fontId="22" fillId="4" borderId="4" xfId="10" applyFont="1" applyFill="1" applyBorder="1" applyAlignment="1">
      <alignment horizontal="left" vertical="center" wrapText="1"/>
    </xf>
    <xf numFmtId="0" fontId="22" fillId="4" borderId="4" xfId="10" applyFont="1" applyFill="1" applyBorder="1" applyAlignment="1">
      <alignment horizontal="center" vertical="center"/>
    </xf>
    <xf numFmtId="0" fontId="17" fillId="4" borderId="4" xfId="14" applyFont="1" applyFill="1" applyBorder="1">
      <alignment vertical="center"/>
    </xf>
    <xf numFmtId="0" fontId="17" fillId="4" borderId="4" xfId="10" applyFont="1" applyFill="1" applyBorder="1" applyAlignment="1">
      <alignment horizontal="center" vertical="center"/>
    </xf>
    <xf numFmtId="0" fontId="17" fillId="4" borderId="4" xfId="10" applyFont="1" applyFill="1" applyBorder="1" applyAlignment="1">
      <alignment vertical="center" wrapText="1"/>
    </xf>
    <xf numFmtId="0" fontId="22" fillId="4" borderId="4" xfId="10" applyFont="1" applyFill="1" applyBorder="1" applyAlignment="1">
      <alignment vertical="center" wrapText="1"/>
    </xf>
    <xf numFmtId="0" fontId="17" fillId="4" borderId="4" xfId="10" applyFont="1" applyFill="1" applyBorder="1" applyAlignment="1">
      <alignment vertical="center"/>
    </xf>
    <xf numFmtId="0" fontId="22" fillId="4" borderId="0" xfId="10" applyFont="1" applyFill="1" applyAlignment="1">
      <alignment vertical="center"/>
    </xf>
    <xf numFmtId="0" fontId="17" fillId="4" borderId="0" xfId="10" applyFont="1" applyFill="1" applyAlignment="1">
      <alignment vertical="center"/>
    </xf>
    <xf numFmtId="166" fontId="17" fillId="0" borderId="0" xfId="10" applyNumberFormat="1" applyFont="1" applyAlignment="1">
      <alignment vertical="center"/>
    </xf>
    <xf numFmtId="0" fontId="24" fillId="0" borderId="0" xfId="10" applyFont="1" applyAlignment="1">
      <alignment horizontal="left" vertical="center"/>
    </xf>
    <xf numFmtId="0" fontId="17" fillId="0" borderId="0" xfId="0" applyFont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6" fillId="0" borderId="0" xfId="10" applyFont="1" applyAlignment="1">
      <alignment vertical="center"/>
    </xf>
    <xf numFmtId="16" fontId="22" fillId="0" borderId="4" xfId="10" applyNumberFormat="1" applyFont="1" applyBorder="1" applyAlignment="1">
      <alignment horizontal="center" vertical="center" wrapText="1"/>
    </xf>
    <xf numFmtId="2" fontId="17" fillId="0" borderId="4" xfId="0" applyNumberFormat="1" applyFont="1" applyBorder="1" applyAlignment="1">
      <alignment vertical="center"/>
    </xf>
    <xf numFmtId="2" fontId="22" fillId="0" borderId="4" xfId="0" applyNumberFormat="1" applyFont="1" applyBorder="1" applyAlignment="1">
      <alignment vertical="center"/>
    </xf>
    <xf numFmtId="2" fontId="22" fillId="6" borderId="4" xfId="0" applyNumberFormat="1" applyFont="1" applyFill="1" applyBorder="1" applyAlignment="1">
      <alignment vertical="center"/>
    </xf>
    <xf numFmtId="2" fontId="22" fillId="0" borderId="4" xfId="10" applyNumberFormat="1" applyFont="1" applyBorder="1" applyAlignment="1">
      <alignment horizontal="center" vertical="center" wrapText="1"/>
    </xf>
    <xf numFmtId="2" fontId="17" fillId="0" borderId="4" xfId="10" applyNumberFormat="1" applyFont="1" applyBorder="1" applyAlignment="1">
      <alignment horizontal="center" vertical="center" wrapText="1"/>
    </xf>
    <xf numFmtId="2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 applyAlignment="1">
      <alignment vertical="center"/>
    </xf>
    <xf numFmtId="0" fontId="22" fillId="0" borderId="9" xfId="14" applyFont="1" applyBorder="1">
      <alignment vertical="center"/>
    </xf>
    <xf numFmtId="2" fontId="22" fillId="6" borderId="9" xfId="14" applyNumberFormat="1" applyFont="1" applyFill="1" applyBorder="1">
      <alignment vertical="center"/>
    </xf>
    <xf numFmtId="10" fontId="17" fillId="0" borderId="9" xfId="39" applyNumberFormat="1" applyFont="1" applyBorder="1" applyAlignment="1">
      <alignment vertical="center"/>
    </xf>
    <xf numFmtId="10" fontId="17" fillId="0" borderId="9" xfId="14" applyNumberFormat="1" applyFont="1" applyBorder="1">
      <alignment vertical="center"/>
    </xf>
    <xf numFmtId="10" fontId="22" fillId="6" borderId="9" xfId="14" applyNumberFormat="1" applyFont="1" applyFill="1" applyBorder="1">
      <alignment vertical="center"/>
    </xf>
    <xf numFmtId="10" fontId="17" fillId="0" borderId="4" xfId="10" applyNumberFormat="1" applyFont="1" applyBorder="1" applyAlignment="1">
      <alignment vertical="center"/>
    </xf>
    <xf numFmtId="2" fontId="17" fillId="0" borderId="4" xfId="10" applyNumberFormat="1" applyFont="1" applyBorder="1" applyAlignment="1">
      <alignment vertical="center"/>
    </xf>
    <xf numFmtId="2" fontId="17" fillId="0" borderId="4" xfId="14" applyNumberFormat="1" applyFont="1" applyBorder="1" applyAlignment="1">
      <alignment horizontal="center" vertical="center"/>
    </xf>
    <xf numFmtId="2" fontId="22" fillId="6" borderId="4" xfId="10" applyNumberFormat="1" applyFont="1" applyFill="1" applyBorder="1" applyAlignment="1">
      <alignment horizontal="center" vertical="center" wrapText="1"/>
    </xf>
    <xf numFmtId="2" fontId="22" fillId="6" borderId="4" xfId="14" applyNumberFormat="1" applyFont="1" applyFill="1" applyBorder="1" applyAlignment="1">
      <alignment horizontal="center" vertical="center"/>
    </xf>
    <xf numFmtId="2" fontId="17" fillId="0" borderId="4" xfId="14" applyNumberFormat="1" applyFont="1" applyBorder="1">
      <alignment vertical="center"/>
    </xf>
    <xf numFmtId="10" fontId="22" fillId="6" borderId="4" xfId="14" applyNumberFormat="1" applyFont="1" applyFill="1" applyBorder="1">
      <alignment vertical="center"/>
    </xf>
    <xf numFmtId="2" fontId="22" fillId="6" borderId="4" xfId="10" applyNumberFormat="1" applyFont="1" applyFill="1" applyBorder="1"/>
    <xf numFmtId="2" fontId="17" fillId="0" borderId="4" xfId="10" applyNumberFormat="1" applyFont="1" applyBorder="1"/>
    <xf numFmtId="2" fontId="17" fillId="0" borderId="4" xfId="10" applyNumberFormat="1" applyFont="1" applyBorder="1" applyAlignment="1">
      <alignment horizontal="right" vertical="center"/>
    </xf>
    <xf numFmtId="2" fontId="22" fillId="0" borderId="4" xfId="14" applyNumberFormat="1" applyFont="1" applyBorder="1" applyAlignment="1">
      <alignment horizontal="center" vertical="center"/>
    </xf>
    <xf numFmtId="2" fontId="22" fillId="5" borderId="4" xfId="14" applyNumberFormat="1" applyFont="1" applyFill="1" applyBorder="1" applyAlignment="1">
      <alignment horizontal="center" vertical="center"/>
    </xf>
    <xf numFmtId="0" fontId="17" fillId="0" borderId="4" xfId="14" applyFont="1" applyBorder="1" applyAlignment="1">
      <alignment horizontal="right" vertical="center"/>
    </xf>
    <xf numFmtId="2" fontId="22" fillId="0" borderId="4" xfId="10" applyNumberFormat="1" applyFont="1" applyBorder="1" applyAlignment="1">
      <alignment vertical="center"/>
    </xf>
    <xf numFmtId="0" fontId="17" fillId="0" borderId="4" xfId="10" applyFont="1" applyBorder="1" applyAlignment="1">
      <alignment horizontal="right" vertical="center" wrapText="1"/>
    </xf>
    <xf numFmtId="2" fontId="17" fillId="0" borderId="4" xfId="10" applyNumberFormat="1" applyFont="1" applyBorder="1" applyAlignment="1">
      <alignment horizontal="right" vertical="center" wrapText="1"/>
    </xf>
    <xf numFmtId="0" fontId="17" fillId="0" borderId="9" xfId="14" applyFont="1" applyBorder="1" applyAlignment="1">
      <alignment horizontal="right" vertical="center"/>
    </xf>
    <xf numFmtId="2" fontId="22" fillId="6" borderId="9" xfId="14" applyNumberFormat="1" applyFont="1" applyFill="1" applyBorder="1" applyAlignment="1">
      <alignment horizontal="right" vertical="center"/>
    </xf>
    <xf numFmtId="10" fontId="22" fillId="6" borderId="4" xfId="10" applyNumberFormat="1" applyFont="1" applyFill="1" applyBorder="1" applyAlignment="1">
      <alignment vertical="center"/>
    </xf>
    <xf numFmtId="2" fontId="17" fillId="0" borderId="4" xfId="10" applyNumberFormat="1" applyFont="1" applyBorder="1" applyAlignment="1">
      <alignment vertical="top" wrapText="1"/>
    </xf>
    <xf numFmtId="2" fontId="22" fillId="7" borderId="4" xfId="14" applyNumberFormat="1" applyFont="1" applyFill="1" applyBorder="1">
      <alignment vertical="center"/>
    </xf>
    <xf numFmtId="2" fontId="22" fillId="0" borderId="4" xfId="10" applyNumberFormat="1" applyFont="1" applyBorder="1" applyAlignment="1">
      <alignment horizontal="right" vertical="center"/>
    </xf>
    <xf numFmtId="2" fontId="17" fillId="0" borderId="0" xfId="14" applyNumberFormat="1" applyFont="1">
      <alignment vertical="center"/>
    </xf>
    <xf numFmtId="2" fontId="17" fillId="0" borderId="0" xfId="10" applyNumberFormat="1" applyFont="1" applyAlignment="1">
      <alignment vertical="center"/>
    </xf>
    <xf numFmtId="0" fontId="14" fillId="0" borderId="4" xfId="14" applyFont="1" applyBorder="1" applyAlignment="1">
      <alignment horizontal="center" vertical="center" wrapText="1"/>
    </xf>
    <xf numFmtId="2" fontId="17" fillId="0" borderId="9" xfId="14" applyNumberFormat="1" applyFont="1" applyBorder="1" applyAlignment="1">
      <alignment horizontal="right" vertical="center"/>
    </xf>
    <xf numFmtId="169" fontId="17" fillId="0" borderId="9" xfId="14" applyNumberFormat="1" applyFont="1" applyBorder="1">
      <alignment vertical="center"/>
    </xf>
    <xf numFmtId="0" fontId="22" fillId="0" borderId="9" xfId="14" applyFont="1" applyBorder="1" applyAlignment="1">
      <alignment horizontal="center" vertical="center" wrapText="1"/>
    </xf>
    <xf numFmtId="2" fontId="17" fillId="0" borderId="4" xfId="14" applyNumberFormat="1" applyFont="1" applyBorder="1" applyAlignment="1">
      <alignment horizontal="right" vertical="center"/>
    </xf>
    <xf numFmtId="0" fontId="17" fillId="0" borderId="4" xfId="0" applyFont="1" applyBorder="1" applyAlignment="1">
      <alignment horizontal="right"/>
    </xf>
    <xf numFmtId="2" fontId="17" fillId="6" borderId="4" xfId="10" applyNumberFormat="1" applyFont="1" applyFill="1" applyBorder="1" applyAlignment="1">
      <alignment horizontal="right" vertical="center"/>
    </xf>
    <xf numFmtId="2" fontId="17" fillId="6" borderId="4" xfId="10" applyNumberFormat="1" applyFont="1" applyFill="1" applyBorder="1" applyAlignment="1">
      <alignment horizontal="right" vertical="center" wrapText="1"/>
    </xf>
    <xf numFmtId="0" fontId="25" fillId="0" borderId="4" xfId="0" applyFont="1" applyBorder="1" applyAlignment="1">
      <alignment horizontal="right"/>
    </xf>
    <xf numFmtId="2" fontId="22" fillId="6" borderId="4" xfId="10" applyNumberFormat="1" applyFont="1" applyFill="1" applyBorder="1" applyAlignment="1">
      <alignment horizontal="right" vertical="center"/>
    </xf>
    <xf numFmtId="10" fontId="17" fillId="0" borderId="9" xfId="129" applyNumberFormat="1" applyFont="1" applyBorder="1" applyAlignment="1">
      <alignment horizontal="right" vertical="center"/>
    </xf>
    <xf numFmtId="0" fontId="9" fillId="0" borderId="0" xfId="1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4" fillId="0" borderId="0" xfId="1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14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1" fontId="9" fillId="0" borderId="4" xfId="0" applyNumberFormat="1" applyFont="1" applyBorder="1" applyAlignment="1">
      <alignment vertical="center"/>
    </xf>
    <xf numFmtId="2" fontId="9" fillId="0" borderId="4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9" fillId="0" borderId="7" xfId="0" applyFont="1" applyBorder="1" applyAlignment="1">
      <alignment horizontal="center" vertical="center"/>
    </xf>
    <xf numFmtId="168" fontId="9" fillId="0" borderId="4" xfId="0" applyNumberFormat="1" applyFont="1" applyBorder="1" applyAlignment="1">
      <alignment vertical="center"/>
    </xf>
    <xf numFmtId="0" fontId="30" fillId="0" borderId="4" xfId="0" applyFont="1" applyBorder="1" applyAlignment="1">
      <alignment horizontal="center" vertical="center"/>
    </xf>
    <xf numFmtId="168" fontId="14" fillId="6" borderId="4" xfId="0" applyNumberFormat="1" applyFont="1" applyFill="1" applyBorder="1" applyAlignment="1">
      <alignment vertical="center"/>
    </xf>
    <xf numFmtId="0" fontId="14" fillId="0" borderId="0" xfId="14" applyFont="1">
      <alignment vertical="center"/>
    </xf>
    <xf numFmtId="0" fontId="9" fillId="0" borderId="0" xfId="10" applyFont="1" applyAlignment="1">
      <alignment vertical="center"/>
    </xf>
    <xf numFmtId="0" fontId="14" fillId="0" borderId="0" xfId="10" applyFont="1" applyAlignment="1">
      <alignment vertical="center"/>
    </xf>
    <xf numFmtId="0" fontId="9" fillId="0" borderId="0" xfId="14" applyFont="1" applyAlignment="1">
      <alignment horizontal="centerContinuous" vertical="center"/>
    </xf>
    <xf numFmtId="0" fontId="14" fillId="0" borderId="4" xfId="14" applyFont="1" applyBorder="1" applyAlignment="1">
      <alignment horizontal="left" vertical="center" wrapText="1"/>
    </xf>
    <xf numFmtId="0" fontId="9" fillId="0" borderId="4" xfId="14" quotePrefix="1" applyFont="1" applyBorder="1" applyAlignment="1">
      <alignment horizontal="center" vertical="center" wrapText="1"/>
    </xf>
    <xf numFmtId="0" fontId="9" fillId="0" borderId="4" xfId="10" applyFont="1" applyBorder="1" applyAlignment="1">
      <alignment vertical="center"/>
    </xf>
    <xf numFmtId="0" fontId="9" fillId="0" borderId="4" xfId="14" applyFont="1" applyBorder="1" applyAlignment="1">
      <alignment horizontal="center" vertical="center" wrapText="1"/>
    </xf>
    <xf numFmtId="0" fontId="9" fillId="0" borderId="4" xfId="14" applyFont="1" applyBorder="1" applyAlignment="1">
      <alignment horizontal="left" vertical="center" wrapText="1"/>
    </xf>
    <xf numFmtId="0" fontId="31" fillId="0" borderId="4" xfId="14" applyFont="1" applyBorder="1" applyAlignment="1">
      <alignment horizontal="center" vertical="center" wrapText="1"/>
    </xf>
    <xf numFmtId="0" fontId="9" fillId="0" borderId="4" xfId="10" applyFont="1" applyBorder="1" applyAlignment="1">
      <alignment horizontal="center" vertical="center" wrapText="1"/>
    </xf>
    <xf numFmtId="0" fontId="9" fillId="0" borderId="4" xfId="10" applyFont="1" applyBorder="1" applyAlignment="1">
      <alignment vertical="center" wrapText="1"/>
    </xf>
    <xf numFmtId="2" fontId="9" fillId="0" borderId="4" xfId="14" applyNumberFormat="1" applyFont="1" applyBorder="1" applyAlignment="1">
      <alignment horizontal="center" vertical="center" wrapText="1"/>
    </xf>
    <xf numFmtId="2" fontId="14" fillId="0" borderId="4" xfId="14" applyNumberFormat="1" applyFont="1" applyBorder="1" applyAlignment="1">
      <alignment horizontal="center" vertical="center" wrapText="1"/>
    </xf>
    <xf numFmtId="2" fontId="14" fillId="7" borderId="4" xfId="14" applyNumberFormat="1" applyFont="1" applyFill="1" applyBorder="1" applyAlignment="1">
      <alignment horizontal="center" vertical="center" wrapText="1"/>
    </xf>
    <xf numFmtId="0" fontId="9" fillId="0" borderId="4" xfId="14" applyFont="1" applyBorder="1" applyAlignment="1">
      <alignment vertical="center" wrapText="1"/>
    </xf>
    <xf numFmtId="0" fontId="14" fillId="0" borderId="4" xfId="14" applyFont="1" applyBorder="1" applyAlignment="1">
      <alignment vertical="center" wrapText="1"/>
    </xf>
    <xf numFmtId="2" fontId="9" fillId="0" borderId="4" xfId="10" applyNumberFormat="1" applyFont="1" applyBorder="1" applyAlignment="1">
      <alignment vertical="center"/>
    </xf>
    <xf numFmtId="0" fontId="14" fillId="7" borderId="4" xfId="14" applyFont="1" applyFill="1" applyBorder="1" applyAlignment="1">
      <alignment horizontal="center" vertical="center" wrapText="1"/>
    </xf>
    <xf numFmtId="0" fontId="14" fillId="0" borderId="0" xfId="14" applyFont="1" applyAlignment="1">
      <alignment horizontal="center" vertical="center" wrapText="1"/>
    </xf>
    <xf numFmtId="0" fontId="14" fillId="0" borderId="0" xfId="14" applyFont="1" applyAlignment="1">
      <alignment horizontal="left" vertical="center" wrapText="1"/>
    </xf>
    <xf numFmtId="0" fontId="9" fillId="0" borderId="0" xfId="14" quotePrefix="1" applyFont="1" applyAlignment="1">
      <alignment horizontal="center" vertical="center" wrapText="1"/>
    </xf>
    <xf numFmtId="0" fontId="32" fillId="0" borderId="0" xfId="10" applyFont="1" applyAlignment="1">
      <alignment horizontal="left" vertical="center"/>
    </xf>
    <xf numFmtId="0" fontId="9" fillId="0" borderId="0" xfId="10" applyFont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4" fillId="6" borderId="4" xfId="0" applyFont="1" applyFill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2" fontId="14" fillId="6" borderId="4" xfId="0" applyNumberFormat="1" applyFont="1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1" fontId="14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4" fontId="17" fillId="0" borderId="0" xfId="10" applyNumberFormat="1" applyFont="1" applyAlignment="1">
      <alignment vertical="center"/>
    </xf>
    <xf numFmtId="168" fontId="14" fillId="0" borderId="4" xfId="14" applyNumberFormat="1" applyFont="1" applyBorder="1" applyAlignment="1">
      <alignment horizontal="center" vertical="center" wrapText="1"/>
    </xf>
    <xf numFmtId="170" fontId="9" fillId="0" borderId="0" xfId="0" applyNumberFormat="1" applyFont="1" applyAlignment="1">
      <alignment vertical="center"/>
    </xf>
    <xf numFmtId="43" fontId="17" fillId="5" borderId="4" xfId="10" applyNumberFormat="1" applyFont="1" applyFill="1" applyBorder="1"/>
    <xf numFmtId="43" fontId="22" fillId="5" borderId="4" xfId="10" applyNumberFormat="1" applyFont="1" applyFill="1" applyBorder="1"/>
    <xf numFmtId="43" fontId="17" fillId="5" borderId="4" xfId="14" applyNumberFormat="1" applyFont="1" applyFill="1" applyBorder="1">
      <alignment vertical="center"/>
    </xf>
    <xf numFmtId="43" fontId="22" fillId="5" borderId="4" xfId="14" applyNumberFormat="1" applyFont="1" applyFill="1" applyBorder="1">
      <alignment vertical="center"/>
    </xf>
    <xf numFmtId="43" fontId="17" fillId="0" borderId="4" xfId="154" applyFont="1" applyBorder="1" applyAlignment="1">
      <alignment vertical="center"/>
    </xf>
    <xf numFmtId="2" fontId="29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vertical="center"/>
    </xf>
    <xf numFmtId="168" fontId="9" fillId="0" borderId="4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2" fontId="29" fillId="0" borderId="4" xfId="0" applyNumberFormat="1" applyFont="1" applyBorder="1" applyAlignment="1">
      <alignment horizontal="right" vertical="center"/>
    </xf>
    <xf numFmtId="168" fontId="14" fillId="6" borderId="4" xfId="0" applyNumberFormat="1" applyFont="1" applyFill="1" applyBorder="1" applyAlignment="1">
      <alignment horizontal="right" vertical="center"/>
    </xf>
    <xf numFmtId="171" fontId="9" fillId="0" borderId="0" xfId="0" applyNumberFormat="1" applyFont="1" applyAlignment="1">
      <alignment vertical="center"/>
    </xf>
    <xf numFmtId="172" fontId="9" fillId="0" borderId="0" xfId="0" applyNumberFormat="1" applyFont="1" applyAlignment="1">
      <alignment vertical="center"/>
    </xf>
    <xf numFmtId="2" fontId="9" fillId="0" borderId="4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/>
    </xf>
    <xf numFmtId="168" fontId="29" fillId="0" borderId="4" xfId="0" applyNumberFormat="1" applyFont="1" applyBorder="1" applyAlignment="1">
      <alignment horizontal="right" vertical="center"/>
    </xf>
    <xf numFmtId="0" fontId="22" fillId="0" borderId="3" xfId="14" applyFont="1" applyBorder="1" applyAlignment="1">
      <alignment horizontal="center" vertical="center" wrapText="1"/>
    </xf>
    <xf numFmtId="0" fontId="22" fillId="0" borderId="6" xfId="14" applyFont="1" applyBorder="1" applyAlignment="1">
      <alignment vertical="center" wrapText="1"/>
    </xf>
    <xf numFmtId="0" fontId="22" fillId="0" borderId="3" xfId="14" applyFont="1" applyBorder="1" applyAlignment="1">
      <alignment vertical="center" wrapText="1"/>
    </xf>
    <xf numFmtId="0" fontId="22" fillId="0" borderId="9" xfId="14" applyFont="1" applyBorder="1" applyAlignment="1">
      <alignment vertical="center" wrapText="1"/>
    </xf>
    <xf numFmtId="0" fontId="22" fillId="0" borderId="8" xfId="10" applyFont="1" applyBorder="1" applyAlignment="1">
      <alignment vertical="center" wrapText="1"/>
    </xf>
    <xf numFmtId="0" fontId="22" fillId="0" borderId="10" xfId="10" applyFont="1" applyBorder="1" applyAlignment="1">
      <alignment vertical="center" wrapText="1"/>
    </xf>
    <xf numFmtId="0" fontId="22" fillId="0" borderId="7" xfId="10" applyFont="1" applyBorder="1" applyAlignment="1">
      <alignment vertical="center" wrapText="1"/>
    </xf>
    <xf numFmtId="2" fontId="22" fillId="0" borderId="4" xfId="14" applyNumberFormat="1" applyFont="1" applyBorder="1" applyAlignment="1">
      <alignment horizontal="right" vertical="center"/>
    </xf>
    <xf numFmtId="2" fontId="22" fillId="6" borderId="4" xfId="14" applyNumberFormat="1" applyFont="1" applyFill="1" applyBorder="1" applyAlignment="1">
      <alignment horizontal="right" vertical="center"/>
    </xf>
    <xf numFmtId="0" fontId="17" fillId="0" borderId="0" xfId="10" applyFont="1" applyAlignment="1">
      <alignment vertical="center" wrapText="1"/>
    </xf>
    <xf numFmtId="0" fontId="9" fillId="0" borderId="0" xfId="10" applyFont="1" applyAlignment="1">
      <alignment vertical="center" wrapText="1"/>
    </xf>
    <xf numFmtId="0" fontId="14" fillId="0" borderId="0" xfId="10" applyFont="1" applyAlignment="1">
      <alignment horizontal="centerContinuous" vertical="center" wrapText="1"/>
    </xf>
    <xf numFmtId="0" fontId="9" fillId="0" borderId="0" xfId="1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9" fillId="0" borderId="4" xfId="0" applyFont="1" applyBorder="1" applyAlignment="1">
      <alignment vertical="center" wrapText="1"/>
    </xf>
    <xf numFmtId="0" fontId="29" fillId="0" borderId="7" xfId="0" applyFont="1" applyBorder="1" applyAlignment="1">
      <alignment vertical="center" wrapText="1"/>
    </xf>
    <xf numFmtId="0" fontId="30" fillId="0" borderId="4" xfId="0" applyFont="1" applyBorder="1" applyAlignment="1">
      <alignment horizontal="center" vertical="center" wrapText="1"/>
    </xf>
    <xf numFmtId="0" fontId="10" fillId="0" borderId="0" xfId="10" applyAlignment="1">
      <alignment vertical="center"/>
    </xf>
    <xf numFmtId="0" fontId="33" fillId="0" borderId="0" xfId="10" applyFont="1" applyAlignment="1">
      <alignment horizontal="left" vertical="center"/>
    </xf>
    <xf numFmtId="0" fontId="10" fillId="0" borderId="0" xfId="14" applyAlignment="1">
      <alignment vertical="center" wrapText="1"/>
    </xf>
    <xf numFmtId="0" fontId="10" fillId="0" borderId="0" xfId="14">
      <alignment vertical="center"/>
    </xf>
    <xf numFmtId="0" fontId="33" fillId="0" borderId="0" xfId="10" applyFont="1" applyAlignment="1">
      <alignment horizontal="center" vertical="center"/>
    </xf>
    <xf numFmtId="0" fontId="33" fillId="0" borderId="0" xfId="14" applyFont="1">
      <alignment vertical="center"/>
    </xf>
    <xf numFmtId="0" fontId="33" fillId="0" borderId="8" xfId="0" applyFont="1" applyBorder="1" applyAlignment="1">
      <alignment horizontal="center" vertical="center" wrapText="1"/>
    </xf>
    <xf numFmtId="0" fontId="33" fillId="0" borderId="4" xfId="10" applyFont="1" applyBorder="1" applyAlignment="1">
      <alignment horizontal="center" vertical="center" wrapText="1"/>
    </xf>
    <xf numFmtId="16" fontId="33" fillId="0" borderId="4" xfId="1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2" fontId="33" fillId="6" borderId="4" xfId="0" applyNumberFormat="1" applyFont="1" applyFill="1" applyBorder="1" applyAlignment="1">
      <alignment horizontal="right" vertical="center"/>
    </xf>
    <xf numFmtId="168" fontId="10" fillId="0" borderId="4" xfId="10" applyNumberFormat="1" applyBorder="1" applyAlignment="1">
      <alignment horizontal="right" vertical="center"/>
    </xf>
    <xf numFmtId="2" fontId="10" fillId="0" borderId="4" xfId="10" applyNumberFormat="1" applyBorder="1" applyAlignment="1">
      <alignment horizontal="right" vertical="center"/>
    </xf>
    <xf numFmtId="2" fontId="10" fillId="0" borderId="4" xfId="0" applyNumberFormat="1" applyFont="1" applyBorder="1" applyAlignment="1">
      <alignment horizontal="right" vertical="center"/>
    </xf>
    <xf numFmtId="0" fontId="33" fillId="0" borderId="9" xfId="0" applyFont="1" applyBorder="1" applyAlignment="1">
      <alignment vertical="center" wrapText="1"/>
    </xf>
    <xf numFmtId="0" fontId="33" fillId="0" borderId="4" xfId="0" applyFont="1" applyBorder="1" applyAlignment="1">
      <alignment vertical="center" wrapText="1"/>
    </xf>
    <xf numFmtId="0" fontId="10" fillId="0" borderId="4" xfId="10" applyBorder="1" applyAlignment="1">
      <alignment vertical="center" wrapText="1"/>
    </xf>
    <xf numFmtId="2" fontId="33" fillId="0" borderId="4" xfId="0" applyNumberFormat="1" applyFont="1" applyBorder="1" applyAlignment="1">
      <alignment horizontal="right" vertical="center"/>
    </xf>
    <xf numFmtId="0" fontId="10" fillId="0" borderId="0" xfId="14" applyAlignment="1">
      <alignment horizontal="right" vertical="center"/>
    </xf>
    <xf numFmtId="0" fontId="33" fillId="0" borderId="8" xfId="0" applyFont="1" applyBorder="1" applyAlignment="1">
      <alignment horizontal="right" vertical="center"/>
    </xf>
    <xf numFmtId="168" fontId="10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33" fillId="0" borderId="4" xfId="14" applyFont="1" applyBorder="1" applyAlignment="1">
      <alignment horizontal="center" vertical="center" wrapText="1"/>
    </xf>
    <xf numFmtId="0" fontId="14" fillId="0" borderId="0" xfId="10" applyFont="1" applyAlignment="1">
      <alignment horizontal="left" vertical="center"/>
    </xf>
    <xf numFmtId="0" fontId="14" fillId="4" borderId="13" xfId="68" applyFont="1" applyFill="1" applyBorder="1" applyAlignment="1">
      <alignment horizontal="center" vertical="center" wrapText="1"/>
    </xf>
    <xf numFmtId="0" fontId="14" fillId="4" borderId="14" xfId="68" applyFont="1" applyFill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9" fillId="4" borderId="4" xfId="68" applyFont="1" applyFill="1" applyBorder="1" applyAlignment="1">
      <alignment horizontal="center" vertical="center"/>
    </xf>
    <xf numFmtId="0" fontId="9" fillId="4" borderId="12" xfId="68" applyFont="1" applyFill="1" applyBorder="1" applyAlignment="1">
      <alignment horizontal="center" vertical="center"/>
    </xf>
    <xf numFmtId="0" fontId="14" fillId="4" borderId="13" xfId="68" applyFont="1" applyFill="1" applyBorder="1" applyAlignment="1">
      <alignment horizontal="center" vertical="center"/>
    </xf>
    <xf numFmtId="10" fontId="14" fillId="6" borderId="13" xfId="68" applyNumberFormat="1" applyFont="1" applyFill="1" applyBorder="1" applyAlignment="1">
      <alignment horizontal="center" vertical="center"/>
    </xf>
    <xf numFmtId="2" fontId="14" fillId="6" borderId="13" xfId="19" applyNumberFormat="1" applyFont="1" applyFill="1" applyBorder="1" applyAlignment="1">
      <alignment horizontal="center" vertical="center"/>
    </xf>
    <xf numFmtId="170" fontId="9" fillId="0" borderId="0" xfId="10" applyNumberFormat="1" applyFont="1" applyAlignment="1">
      <alignment vertical="center"/>
    </xf>
    <xf numFmtId="0" fontId="9" fillId="4" borderId="5" xfId="68" applyFont="1" applyFill="1" applyBorder="1" applyAlignment="1">
      <alignment horizontal="center" vertical="center"/>
    </xf>
    <xf numFmtId="0" fontId="9" fillId="4" borderId="4" xfId="68" applyFont="1" applyFill="1" applyBorder="1" applyAlignment="1">
      <alignment horizontal="left" vertical="center"/>
    </xf>
    <xf numFmtId="0" fontId="14" fillId="4" borderId="4" xfId="68" applyFont="1" applyFill="1" applyBorder="1" applyAlignment="1">
      <alignment horizontal="center" vertical="center"/>
    </xf>
    <xf numFmtId="10" fontId="9" fillId="4" borderId="4" xfId="39" applyNumberFormat="1" applyFont="1" applyFill="1" applyBorder="1" applyAlignment="1">
      <alignment horizontal="center" vertical="center"/>
    </xf>
    <xf numFmtId="2" fontId="14" fillId="6" borderId="16" xfId="68" applyNumberFormat="1" applyFont="1" applyFill="1" applyBorder="1" applyAlignment="1">
      <alignment horizontal="center" vertical="center"/>
    </xf>
    <xf numFmtId="2" fontId="9" fillId="0" borderId="4" xfId="68" applyNumberFormat="1" applyFont="1" applyBorder="1" applyAlignment="1">
      <alignment horizontal="center" vertical="center"/>
    </xf>
    <xf numFmtId="2" fontId="9" fillId="4" borderId="4" xfId="68" applyNumberFormat="1" applyFont="1" applyFill="1" applyBorder="1" applyAlignment="1">
      <alignment horizontal="center" vertical="center"/>
    </xf>
    <xf numFmtId="2" fontId="9" fillId="4" borderId="21" xfId="68" applyNumberFormat="1" applyFont="1" applyFill="1" applyBorder="1" applyAlignment="1">
      <alignment horizontal="center" vertical="center"/>
    </xf>
    <xf numFmtId="2" fontId="14" fillId="6" borderId="4" xfId="19" applyNumberFormat="1" applyFont="1" applyFill="1" applyBorder="1" applyAlignment="1">
      <alignment horizontal="center" vertical="center"/>
    </xf>
    <xf numFmtId="2" fontId="9" fillId="4" borderId="3" xfId="68" applyNumberFormat="1" applyFont="1" applyFill="1" applyBorder="1" applyAlignment="1">
      <alignment horizontal="center" vertical="center"/>
    </xf>
    <xf numFmtId="2" fontId="14" fillId="6" borderId="20" xfId="68" applyNumberFormat="1" applyFont="1" applyFill="1" applyBorder="1" applyAlignment="1">
      <alignment horizontal="center" vertical="center"/>
    </xf>
    <xf numFmtId="2" fontId="14" fillId="6" borderId="7" xfId="68" applyNumberFormat="1" applyFont="1" applyFill="1" applyBorder="1" applyAlignment="1">
      <alignment horizontal="center" vertical="center"/>
    </xf>
    <xf numFmtId="0" fontId="9" fillId="4" borderId="15" xfId="68" applyFont="1" applyFill="1" applyBorder="1" applyAlignment="1">
      <alignment horizontal="center" vertical="center"/>
    </xf>
    <xf numFmtId="0" fontId="14" fillId="4" borderId="16" xfId="68" applyFont="1" applyFill="1" applyBorder="1" applyAlignment="1">
      <alignment horizontal="center" vertical="center"/>
    </xf>
    <xf numFmtId="10" fontId="9" fillId="4" borderId="16" xfId="68" applyNumberFormat="1" applyFont="1" applyFill="1" applyBorder="1" applyAlignment="1">
      <alignment horizontal="center" vertical="center"/>
    </xf>
    <xf numFmtId="2" fontId="9" fillId="0" borderId="16" xfId="68" applyNumberFormat="1" applyFont="1" applyBorder="1" applyAlignment="1">
      <alignment horizontal="center" vertical="center"/>
    </xf>
    <xf numFmtId="2" fontId="9" fillId="4" borderId="16" xfId="68" applyNumberFormat="1" applyFont="1" applyFill="1" applyBorder="1" applyAlignment="1">
      <alignment horizontal="center" vertical="center"/>
    </xf>
    <xf numFmtId="2" fontId="14" fillId="6" borderId="7" xfId="19" applyNumberFormat="1" applyFont="1" applyFill="1" applyBorder="1" applyAlignment="1">
      <alignment horizontal="center" vertical="center"/>
    </xf>
    <xf numFmtId="2" fontId="9" fillId="4" borderId="18" xfId="68" applyNumberFormat="1" applyFont="1" applyFill="1" applyBorder="1" applyAlignment="1">
      <alignment horizontal="center" vertical="center"/>
    </xf>
    <xf numFmtId="0" fontId="9" fillId="4" borderId="4" xfId="68" applyFont="1" applyFill="1" applyBorder="1" applyAlignment="1">
      <alignment horizontal="left" vertical="center" wrapText="1"/>
    </xf>
    <xf numFmtId="2" fontId="14" fillId="6" borderId="4" xfId="68" applyNumberFormat="1" applyFont="1" applyFill="1" applyBorder="1" applyAlignment="1">
      <alignment horizontal="center" vertical="center"/>
    </xf>
    <xf numFmtId="2" fontId="14" fillId="6" borderId="6" xfId="68" applyNumberFormat="1" applyFont="1" applyFill="1" applyBorder="1" applyAlignment="1">
      <alignment horizontal="center" vertical="center"/>
    </xf>
    <xf numFmtId="10" fontId="35" fillId="0" borderId="4" xfId="39" applyNumberFormat="1" applyFont="1" applyFill="1" applyBorder="1" applyAlignment="1">
      <alignment horizontal="center" vertical="center"/>
    </xf>
    <xf numFmtId="2" fontId="9" fillId="7" borderId="4" xfId="68" applyNumberFormat="1" applyFont="1" applyFill="1" applyBorder="1" applyAlignment="1">
      <alignment horizontal="center" vertical="center"/>
    </xf>
    <xf numFmtId="2" fontId="9" fillId="4" borderId="4" xfId="19" applyNumberFormat="1" applyFont="1" applyFill="1" applyBorder="1" applyAlignment="1">
      <alignment horizontal="center" vertical="center"/>
    </xf>
    <xf numFmtId="172" fontId="17" fillId="0" borderId="0" xfId="0" applyNumberFormat="1" applyFont="1" applyAlignment="1">
      <alignment vertical="center"/>
    </xf>
    <xf numFmtId="170" fontId="17" fillId="0" borderId="0" xfId="14" applyNumberFormat="1" applyFont="1">
      <alignment vertical="center"/>
    </xf>
    <xf numFmtId="173" fontId="9" fillId="0" borderId="0" xfId="0" applyNumberFormat="1" applyFont="1" applyAlignment="1">
      <alignment vertical="center"/>
    </xf>
    <xf numFmtId="168" fontId="22" fillId="6" borderId="4" xfId="14" applyNumberFormat="1" applyFont="1" applyFill="1" applyBorder="1" applyAlignment="1">
      <alignment horizontal="center" vertical="center"/>
    </xf>
    <xf numFmtId="0" fontId="22" fillId="0" borderId="4" xfId="10" applyFont="1" applyBorder="1" applyAlignment="1">
      <alignment horizontal="left" vertical="center"/>
    </xf>
    <xf numFmtId="174" fontId="17" fillId="0" borderId="4" xfId="10" applyNumberFormat="1" applyFont="1" applyBorder="1" applyAlignment="1">
      <alignment vertical="center"/>
    </xf>
    <xf numFmtId="2" fontId="22" fillId="0" borderId="4" xfId="10" applyNumberFormat="1" applyFont="1" applyBorder="1" applyAlignment="1">
      <alignment vertical="center" wrapText="1"/>
    </xf>
    <xf numFmtId="171" fontId="17" fillId="0" borderId="0" xfId="14" applyNumberFormat="1" applyFont="1">
      <alignment vertical="center"/>
    </xf>
    <xf numFmtId="43" fontId="17" fillId="0" borderId="0" xfId="14" applyNumberFormat="1" applyFont="1">
      <alignment vertical="center"/>
    </xf>
    <xf numFmtId="0" fontId="9" fillId="5" borderId="22" xfId="68" applyFont="1" applyFill="1" applyBorder="1" applyAlignment="1">
      <alignment horizontal="center" vertical="center"/>
    </xf>
    <xf numFmtId="2" fontId="17" fillId="5" borderId="0" xfId="10" applyNumberFormat="1" applyFont="1" applyFill="1" applyAlignment="1">
      <alignment vertical="center"/>
    </xf>
    <xf numFmtId="0" fontId="17" fillId="5" borderId="0" xfId="10" applyFont="1" applyFill="1" applyAlignment="1">
      <alignment vertical="center"/>
    </xf>
    <xf numFmtId="0" fontId="14" fillId="4" borderId="13" xfId="68" applyFont="1" applyFill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17" fillId="0" borderId="4" xfId="10" applyFont="1" applyBorder="1" applyAlignment="1">
      <alignment vertical="center"/>
    </xf>
    <xf numFmtId="0" fontId="9" fillId="5" borderId="8" xfId="0" applyFont="1" applyFill="1" applyBorder="1" applyAlignment="1">
      <alignment vertical="center" wrapText="1"/>
    </xf>
    <xf numFmtId="0" fontId="36" fillId="0" borderId="4" xfId="0" applyFont="1" applyBorder="1" applyAlignment="1">
      <alignment vertical="center"/>
    </xf>
    <xf numFmtId="4" fontId="36" fillId="0" borderId="4" xfId="0" applyNumberFormat="1" applyFont="1" applyBorder="1" applyAlignment="1">
      <alignment vertical="center"/>
    </xf>
    <xf numFmtId="3" fontId="36" fillId="0" borderId="4" xfId="0" applyNumberFormat="1" applyFont="1" applyBorder="1" applyAlignment="1">
      <alignment vertical="center"/>
    </xf>
    <xf numFmtId="10" fontId="36" fillId="0" borderId="4" xfId="0" applyNumberFormat="1" applyFont="1" applyBorder="1" applyAlignment="1">
      <alignment vertical="center"/>
    </xf>
    <xf numFmtId="10" fontId="36" fillId="0" borderId="0" xfId="0" applyNumberFormat="1" applyFont="1" applyAlignment="1">
      <alignment vertical="center"/>
    </xf>
    <xf numFmtId="9" fontId="36" fillId="0" borderId="4" xfId="0" applyNumberFormat="1" applyFont="1" applyBorder="1" applyAlignment="1">
      <alignment vertical="center"/>
    </xf>
    <xf numFmtId="0" fontId="37" fillId="5" borderId="8" xfId="68" applyFont="1" applyFill="1" applyBorder="1" applyAlignment="1">
      <alignment horizontal="center" vertical="center"/>
    </xf>
    <xf numFmtId="10" fontId="38" fillId="5" borderId="8" xfId="39" applyNumberFormat="1" applyFont="1" applyFill="1" applyBorder="1" applyAlignment="1">
      <alignment horizontal="center" vertical="center"/>
    </xf>
    <xf numFmtId="2" fontId="36" fillId="5" borderId="8" xfId="68" applyNumberFormat="1" applyFont="1" applyFill="1" applyBorder="1" applyAlignment="1">
      <alignment horizontal="center" vertical="center"/>
    </xf>
    <xf numFmtId="2" fontId="36" fillId="5" borderId="8" xfId="19" applyNumberFormat="1" applyFont="1" applyFill="1" applyBorder="1" applyAlignment="1">
      <alignment horizontal="center" vertical="center"/>
    </xf>
    <xf numFmtId="2" fontId="37" fillId="5" borderId="8" xfId="68" applyNumberFormat="1" applyFont="1" applyFill="1" applyBorder="1" applyAlignment="1">
      <alignment horizontal="center" vertical="center"/>
    </xf>
    <xf numFmtId="2" fontId="36" fillId="5" borderId="23" xfId="68" applyNumberFormat="1" applyFont="1" applyFill="1" applyBorder="1" applyAlignment="1">
      <alignment horizontal="center" vertical="center"/>
    </xf>
    <xf numFmtId="2" fontId="37" fillId="5" borderId="10" xfId="19" applyNumberFormat="1" applyFont="1" applyFill="1" applyBorder="1" applyAlignment="1">
      <alignment horizontal="center" vertical="center"/>
    </xf>
    <xf numFmtId="2" fontId="36" fillId="5" borderId="24" xfId="68" applyNumberFormat="1" applyFont="1" applyFill="1" applyBorder="1" applyAlignment="1">
      <alignment horizontal="center" vertical="center"/>
    </xf>
    <xf numFmtId="2" fontId="37" fillId="5" borderId="23" xfId="68" applyNumberFormat="1" applyFont="1" applyFill="1" applyBorder="1" applyAlignment="1">
      <alignment horizontal="center" vertical="center"/>
    </xf>
    <xf numFmtId="0" fontId="36" fillId="0" borderId="4" xfId="0" applyFont="1" applyBorder="1"/>
    <xf numFmtId="0" fontId="36" fillId="0" borderId="4" xfId="0" applyFont="1" applyBorder="1" applyAlignment="1">
      <alignment wrapText="1"/>
    </xf>
    <xf numFmtId="4" fontId="36" fillId="0" borderId="4" xfId="0" applyNumberFormat="1" applyFont="1" applyBorder="1"/>
    <xf numFmtId="43" fontId="36" fillId="0" borderId="7" xfId="130" applyFont="1" applyBorder="1"/>
    <xf numFmtId="10" fontId="36" fillId="0" borderId="4" xfId="0" applyNumberFormat="1" applyFont="1" applyBorder="1"/>
    <xf numFmtId="43" fontId="36" fillId="0" borderId="4" xfId="130" applyFont="1" applyBorder="1"/>
    <xf numFmtId="0" fontId="36" fillId="0" borderId="10" xfId="0" applyFont="1" applyBorder="1" applyAlignment="1">
      <alignment wrapText="1"/>
    </xf>
    <xf numFmtId="10" fontId="36" fillId="0" borderId="0" xfId="0" applyNumberFormat="1" applyFont="1"/>
    <xf numFmtId="9" fontId="36" fillId="0" borderId="4" xfId="0" applyNumberFormat="1" applyFont="1" applyBorder="1"/>
    <xf numFmtId="4" fontId="37" fillId="0" borderId="4" xfId="0" applyNumberFormat="1" applyFont="1" applyBorder="1"/>
    <xf numFmtId="0" fontId="36" fillId="4" borderId="5" xfId="68" applyFont="1" applyFill="1" applyBorder="1" applyAlignment="1">
      <alignment horizontal="center" vertical="center"/>
    </xf>
    <xf numFmtId="0" fontId="36" fillId="4" borderId="4" xfId="68" applyFont="1" applyFill="1" applyBorder="1" applyAlignment="1">
      <alignment horizontal="left" vertical="center"/>
    </xf>
    <xf numFmtId="0" fontId="37" fillId="4" borderId="4" xfId="68" applyFont="1" applyFill="1" applyBorder="1" applyAlignment="1">
      <alignment horizontal="center" vertical="center"/>
    </xf>
    <xf numFmtId="10" fontId="36" fillId="4" borderId="4" xfId="39" applyNumberFormat="1" applyFont="1" applyFill="1" applyBorder="1" applyAlignment="1">
      <alignment horizontal="center" vertical="center"/>
    </xf>
    <xf numFmtId="2" fontId="37" fillId="6" borderId="16" xfId="68" applyNumberFormat="1" applyFont="1" applyFill="1" applyBorder="1" applyAlignment="1">
      <alignment horizontal="center" vertical="center"/>
    </xf>
    <xf numFmtId="2" fontId="36" fillId="0" borderId="4" xfId="68" applyNumberFormat="1" applyFont="1" applyBorder="1" applyAlignment="1">
      <alignment horizontal="center" vertical="center"/>
    </xf>
    <xf numFmtId="2" fontId="36" fillId="4" borderId="4" xfId="68" applyNumberFormat="1" applyFont="1" applyFill="1" applyBorder="1" applyAlignment="1">
      <alignment horizontal="center" vertical="center"/>
    </xf>
    <xf numFmtId="2" fontId="36" fillId="4" borderId="21" xfId="68" applyNumberFormat="1" applyFont="1" applyFill="1" applyBorder="1" applyAlignment="1">
      <alignment horizontal="center" vertical="center"/>
    </xf>
    <xf numFmtId="2" fontId="37" fillId="6" borderId="4" xfId="19" applyNumberFormat="1" applyFont="1" applyFill="1" applyBorder="1" applyAlignment="1">
      <alignment horizontal="center" vertical="center"/>
    </xf>
    <xf numFmtId="2" fontId="36" fillId="4" borderId="3" xfId="68" applyNumberFormat="1" applyFont="1" applyFill="1" applyBorder="1" applyAlignment="1">
      <alignment horizontal="center" vertical="center"/>
    </xf>
    <xf numFmtId="2" fontId="37" fillId="6" borderId="20" xfId="68" applyNumberFormat="1" applyFont="1" applyFill="1" applyBorder="1" applyAlignment="1">
      <alignment horizontal="center" vertical="center"/>
    </xf>
    <xf numFmtId="2" fontId="37" fillId="6" borderId="7" xfId="68" applyNumberFormat="1" applyFont="1" applyFill="1" applyBorder="1" applyAlignment="1">
      <alignment horizontal="center" vertical="center"/>
    </xf>
    <xf numFmtId="0" fontId="36" fillId="4" borderId="12" xfId="68" applyFont="1" applyFill="1" applyBorder="1" applyAlignment="1">
      <alignment horizontal="center" vertical="center"/>
    </xf>
    <xf numFmtId="0" fontId="37" fillId="4" borderId="13" xfId="68" applyFont="1" applyFill="1" applyBorder="1" applyAlignment="1">
      <alignment horizontal="center" vertical="center"/>
    </xf>
    <xf numFmtId="10" fontId="37" fillId="6" borderId="13" xfId="68" applyNumberFormat="1" applyFont="1" applyFill="1" applyBorder="1" applyAlignment="1">
      <alignment horizontal="center" vertical="center"/>
    </xf>
    <xf numFmtId="2" fontId="37" fillId="6" borderId="13" xfId="19" applyNumberFormat="1" applyFont="1" applyFill="1" applyBorder="1" applyAlignment="1">
      <alignment horizontal="center" vertical="center"/>
    </xf>
    <xf numFmtId="0" fontId="36" fillId="0" borderId="0" xfId="10" applyFont="1" applyAlignment="1">
      <alignment vertical="center"/>
    </xf>
    <xf numFmtId="2" fontId="36" fillId="0" borderId="0" xfId="10" applyNumberFormat="1" applyFont="1" applyAlignment="1">
      <alignment vertical="center"/>
    </xf>
    <xf numFmtId="2" fontId="22" fillId="6" borderId="9" xfId="14" applyNumberFormat="1" applyFont="1" applyFill="1" applyBorder="1" applyAlignment="1">
      <alignment vertical="center"/>
    </xf>
    <xf numFmtId="2" fontId="17" fillId="0" borderId="9" xfId="14" applyNumberFormat="1" applyFont="1" applyBorder="1" applyAlignment="1">
      <alignment vertical="center"/>
    </xf>
    <xf numFmtId="2" fontId="17" fillId="6" borderId="9" xfId="14" applyNumberFormat="1" applyFont="1" applyFill="1" applyBorder="1" applyAlignment="1">
      <alignment vertical="center"/>
    </xf>
    <xf numFmtId="2" fontId="17" fillId="7" borderId="9" xfId="14" applyNumberFormat="1" applyFont="1" applyFill="1" applyBorder="1" applyAlignment="1">
      <alignment vertical="center"/>
    </xf>
    <xf numFmtId="2" fontId="22" fillId="7" borderId="9" xfId="14" applyNumberFormat="1" applyFont="1" applyFill="1" applyBorder="1" applyAlignment="1">
      <alignment vertical="center"/>
    </xf>
    <xf numFmtId="10" fontId="17" fillId="0" borderId="9" xfId="14" applyNumberFormat="1" applyFont="1" applyBorder="1" applyAlignment="1">
      <alignment vertical="center"/>
    </xf>
    <xf numFmtId="10" fontId="17" fillId="7" borderId="9" xfId="14" applyNumberFormat="1" applyFont="1" applyFill="1" applyBorder="1" applyAlignment="1">
      <alignment vertical="center"/>
    </xf>
    <xf numFmtId="0" fontId="17" fillId="0" borderId="9" xfId="14" applyFont="1" applyBorder="1" applyAlignment="1">
      <alignment vertical="center"/>
    </xf>
    <xf numFmtId="0" fontId="33" fillId="0" borderId="4" xfId="10" applyFont="1" applyBorder="1" applyAlignment="1">
      <alignment vertical="center" wrapText="1"/>
    </xf>
    <xf numFmtId="0" fontId="14" fillId="0" borderId="0" xfId="14" applyFont="1" applyAlignment="1">
      <alignment horizontal="center" vertical="center"/>
    </xf>
    <xf numFmtId="0" fontId="9" fillId="0" borderId="0" xfId="10" applyFont="1" applyAlignment="1">
      <alignment horizontal="center" vertical="center"/>
    </xf>
    <xf numFmtId="0" fontId="14" fillId="0" borderId="0" xfId="10" applyFont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22" fillId="0" borderId="8" xfId="14" applyFont="1" applyBorder="1" applyAlignment="1">
      <alignment horizontal="center" vertical="center"/>
    </xf>
    <xf numFmtId="0" fontId="22" fillId="0" borderId="10" xfId="14" applyFont="1" applyBorder="1" applyAlignment="1">
      <alignment horizontal="center" vertical="center"/>
    </xf>
    <xf numFmtId="0" fontId="22" fillId="0" borderId="7" xfId="14" applyFont="1" applyBorder="1" applyAlignment="1">
      <alignment horizontal="center" vertical="center"/>
    </xf>
    <xf numFmtId="0" fontId="22" fillId="0" borderId="8" xfId="14" applyFont="1" applyBorder="1" applyAlignment="1">
      <alignment horizontal="center" vertical="center" wrapText="1"/>
    </xf>
    <xf numFmtId="0" fontId="22" fillId="0" borderId="10" xfId="14" applyFont="1" applyBorder="1" applyAlignment="1">
      <alignment horizontal="center" vertical="center" wrapText="1"/>
    </xf>
    <xf numFmtId="0" fontId="17" fillId="0" borderId="7" xfId="10" applyFont="1" applyBorder="1" applyAlignment="1">
      <alignment horizontal="center" vertical="center" wrapText="1"/>
    </xf>
    <xf numFmtId="0" fontId="22" fillId="0" borderId="4" xfId="14" applyFont="1" applyBorder="1" applyAlignment="1">
      <alignment horizontal="center" vertical="center"/>
    </xf>
    <xf numFmtId="0" fontId="17" fillId="0" borderId="4" xfId="10" applyFont="1" applyBorder="1" applyAlignment="1">
      <alignment horizontal="center" vertical="center"/>
    </xf>
    <xf numFmtId="0" fontId="22" fillId="0" borderId="4" xfId="14" applyFont="1" applyBorder="1" applyAlignment="1">
      <alignment horizontal="center" vertical="center" wrapText="1"/>
    </xf>
    <xf numFmtId="0" fontId="17" fillId="0" borderId="4" xfId="10" applyFont="1" applyBorder="1" applyAlignment="1">
      <alignment horizontal="center" vertical="center" wrapText="1"/>
    </xf>
    <xf numFmtId="0" fontId="22" fillId="0" borderId="6" xfId="14" applyFont="1" applyBorder="1" applyAlignment="1">
      <alignment horizontal="center" vertical="center" wrapText="1"/>
    </xf>
    <xf numFmtId="0" fontId="22" fillId="0" borderId="3" xfId="14" applyFont="1" applyBorder="1" applyAlignment="1">
      <alignment horizontal="center" vertical="center" wrapText="1"/>
    </xf>
    <xf numFmtId="0" fontId="22" fillId="0" borderId="9" xfId="14" applyFont="1" applyBorder="1" applyAlignment="1">
      <alignment horizontal="center" vertical="center" wrapText="1"/>
    </xf>
    <xf numFmtId="0" fontId="22" fillId="0" borderId="4" xfId="10" applyFont="1" applyBorder="1" applyAlignment="1">
      <alignment horizontal="center" vertical="center"/>
    </xf>
    <xf numFmtId="0" fontId="17" fillId="0" borderId="4" xfId="10" applyFont="1" applyBorder="1" applyAlignment="1">
      <alignment vertical="center"/>
    </xf>
    <xf numFmtId="0" fontId="22" fillId="0" borderId="0" xfId="14" applyFont="1" applyAlignment="1">
      <alignment horizontal="center" vertical="center"/>
    </xf>
    <xf numFmtId="0" fontId="22" fillId="0" borderId="6" xfId="10" applyFont="1" applyBorder="1" applyAlignment="1">
      <alignment horizontal="center" vertical="center"/>
    </xf>
    <xf numFmtId="0" fontId="22" fillId="0" borderId="3" xfId="10" applyFont="1" applyBorder="1" applyAlignment="1">
      <alignment horizontal="center" vertical="center"/>
    </xf>
    <xf numFmtId="0" fontId="22" fillId="0" borderId="9" xfId="10" applyFont="1" applyBorder="1" applyAlignment="1">
      <alignment horizontal="center" vertical="center"/>
    </xf>
    <xf numFmtId="0" fontId="22" fillId="0" borderId="0" xfId="10" applyFont="1" applyAlignment="1">
      <alignment horizontal="center" vertical="center"/>
    </xf>
    <xf numFmtId="0" fontId="22" fillId="0" borderId="0" xfId="10" applyFont="1" applyAlignment="1">
      <alignment horizontal="center"/>
    </xf>
    <xf numFmtId="0" fontId="14" fillId="4" borderId="17" xfId="68" applyFont="1" applyFill="1" applyBorder="1" applyAlignment="1">
      <alignment horizontal="center" vertical="center"/>
    </xf>
    <xf numFmtId="0" fontId="14" fillId="4" borderId="18" xfId="68" applyFont="1" applyFill="1" applyBorder="1" applyAlignment="1">
      <alignment horizontal="center" vertical="center"/>
    </xf>
    <xf numFmtId="0" fontId="14" fillId="4" borderId="19" xfId="68" applyFont="1" applyFill="1" applyBorder="1" applyAlignment="1">
      <alignment horizontal="center" vertical="center"/>
    </xf>
    <xf numFmtId="0" fontId="14" fillId="4" borderId="5" xfId="68" applyFont="1" applyFill="1" applyBorder="1" applyAlignment="1">
      <alignment horizontal="center" vertical="center" wrapText="1"/>
    </xf>
    <xf numFmtId="0" fontId="14" fillId="4" borderId="12" xfId="68" applyFont="1" applyFill="1" applyBorder="1" applyAlignment="1">
      <alignment horizontal="center" vertical="center" wrapText="1"/>
    </xf>
    <xf numFmtId="0" fontId="14" fillId="4" borderId="4" xfId="68" quotePrefix="1" applyFont="1" applyFill="1" applyBorder="1" applyAlignment="1">
      <alignment horizontal="center" vertical="center" wrapText="1"/>
    </xf>
    <xf numFmtId="0" fontId="14" fillId="4" borderId="13" xfId="68" quotePrefix="1" applyFont="1" applyFill="1" applyBorder="1" applyAlignment="1">
      <alignment horizontal="center" vertical="center" wrapText="1"/>
    </xf>
    <xf numFmtId="0" fontId="14" fillId="4" borderId="4" xfId="68" applyFont="1" applyFill="1" applyBorder="1" applyAlignment="1">
      <alignment horizontal="center" vertical="center" wrapText="1"/>
    </xf>
    <xf numFmtId="0" fontId="14" fillId="4" borderId="13" xfId="68" applyFont="1" applyFill="1" applyBorder="1" applyAlignment="1">
      <alignment horizontal="center" vertical="center" wrapText="1"/>
    </xf>
    <xf numFmtId="0" fontId="14" fillId="4" borderId="11" xfId="68" applyFont="1" applyFill="1" applyBorder="1" applyAlignment="1">
      <alignment horizontal="center" vertical="center" wrapText="1"/>
    </xf>
    <xf numFmtId="0" fontId="14" fillId="0" borderId="0" xfId="10" applyFont="1" applyAlignment="1">
      <alignment horizontal="center" vertical="center"/>
    </xf>
    <xf numFmtId="0" fontId="14" fillId="4" borderId="8" xfId="68" quotePrefix="1" applyFont="1" applyFill="1" applyBorder="1" applyAlignment="1">
      <alignment horizontal="center" vertical="center" wrapText="1"/>
    </xf>
    <xf numFmtId="0" fontId="17" fillId="0" borderId="0" xfId="10" applyFont="1" applyAlignment="1">
      <alignment horizontal="left" vertical="center" wrapText="1"/>
    </xf>
    <xf numFmtId="0" fontId="14" fillId="0" borderId="0" xfId="14" applyFont="1" applyAlignment="1">
      <alignment horizontal="center" vertical="top"/>
    </xf>
    <xf numFmtId="0" fontId="22" fillId="0" borderId="4" xfId="10" applyFont="1" applyBorder="1" applyAlignment="1">
      <alignment horizontal="center" vertical="center" wrapText="1"/>
    </xf>
    <xf numFmtId="0" fontId="10" fillId="0" borderId="4" xfId="10" applyBorder="1" applyAlignment="1">
      <alignment horizontal="center" vertical="center" wrapText="1"/>
    </xf>
    <xf numFmtId="0" fontId="10" fillId="0" borderId="4" xfId="10" applyBorder="1" applyAlignment="1">
      <alignment horizontal="center" vertical="center"/>
    </xf>
    <xf numFmtId="0" fontId="14" fillId="0" borderId="4" xfId="14" applyFont="1" applyBorder="1" applyAlignment="1">
      <alignment horizontal="center" vertical="center" wrapText="1"/>
    </xf>
    <xf numFmtId="0" fontId="14" fillId="0" borderId="4" xfId="14" quotePrefix="1" applyFont="1" applyBorder="1" applyAlignment="1">
      <alignment horizontal="center" vertical="center" wrapText="1"/>
    </xf>
    <xf numFmtId="0" fontId="14" fillId="0" borderId="4" xfId="10" applyFont="1" applyBorder="1" applyAlignment="1">
      <alignment horizontal="center" vertical="center"/>
    </xf>
    <xf numFmtId="0" fontId="9" fillId="0" borderId="4" xfId="10" applyFont="1" applyBorder="1" applyAlignment="1">
      <alignment horizontal="center" vertical="center" wrapText="1"/>
    </xf>
    <xf numFmtId="0" fontId="14" fillId="0" borderId="6" xfId="14" applyFont="1" applyBorder="1" applyAlignment="1">
      <alignment horizontal="center" vertical="center" wrapText="1"/>
    </xf>
    <xf numFmtId="0" fontId="14" fillId="0" borderId="3" xfId="14" applyFont="1" applyBorder="1" applyAlignment="1">
      <alignment horizontal="center" vertical="center" wrapText="1"/>
    </xf>
    <xf numFmtId="0" fontId="14" fillId="0" borderId="9" xfId="14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2" fillId="0" borderId="8" xfId="10" applyFont="1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 wrapText="1"/>
    </xf>
    <xf numFmtId="0" fontId="33" fillId="0" borderId="0" xfId="14" applyFont="1" applyAlignment="1">
      <alignment horizontal="center" vertical="center"/>
    </xf>
  </cellXfs>
  <cellStyles count="224">
    <cellStyle name="Body" xfId="1"/>
    <cellStyle name="Comma" xfId="130" builtinId="3"/>
    <cellStyle name="Comma  - Style1" xfId="2"/>
    <cellStyle name="Comma 10" xfId="112"/>
    <cellStyle name="Comma 10 2" xfId="113"/>
    <cellStyle name="Comma 10 2 2" xfId="202"/>
    <cellStyle name="Comma 10 3" xfId="153"/>
    <cellStyle name="Comma 10 3 2" xfId="223"/>
    <cellStyle name="Comma 10 4" xfId="201"/>
    <cellStyle name="Comma 11" xfId="110"/>
    <cellStyle name="Comma 11 2" xfId="19"/>
    <cellStyle name="Comma 11 2 2" xfId="96"/>
    <cellStyle name="Comma 11 2 2 2" xfId="188"/>
    <cellStyle name="Comma 11 2 3" xfId="72"/>
    <cellStyle name="Comma 11 2 3 2" xfId="172"/>
    <cellStyle name="Comma 11 2 4" xfId="133"/>
    <cellStyle name="Comma 11 2 4 2" xfId="207"/>
    <cellStyle name="Comma 11 2 5" xfId="157"/>
    <cellStyle name="Comma 12" xfId="149"/>
    <cellStyle name="Comma 13" xfId="154"/>
    <cellStyle name="Comma 14" xfId="155"/>
    <cellStyle name="Comma 15" xfId="205"/>
    <cellStyle name="Comma 2" xfId="24"/>
    <cellStyle name="Comma 2 2" xfId="25"/>
    <cellStyle name="Comma 2 2 2" xfId="63"/>
    <cellStyle name="Comma 2 2 3" xfId="76"/>
    <cellStyle name="Comma 2 3" xfId="26"/>
    <cellStyle name="Comma 2 3 2" xfId="77"/>
    <cellStyle name="Comma 2 4" xfId="56"/>
    <cellStyle name="Comma 2 5" xfId="75"/>
    <cellStyle name="Comma 3" xfId="27"/>
    <cellStyle name="Comma 3 2" xfId="62"/>
    <cellStyle name="Comma 3 2 2" xfId="103"/>
    <cellStyle name="Comma 3 2 2 2" xfId="193"/>
    <cellStyle name="Comma 3 2 3" xfId="85"/>
    <cellStyle name="Comma 3 2 3 2" xfId="177"/>
    <cellStyle name="Comma 3 2 4" xfId="141"/>
    <cellStyle name="Comma 3 2 4 2" xfId="212"/>
    <cellStyle name="Comma 3 2 5" xfId="163"/>
    <cellStyle name="Comma 3 3" xfId="78"/>
    <cellStyle name="Comma 4" xfId="28"/>
    <cellStyle name="Comma 4 2" xfId="64"/>
    <cellStyle name="Comma 4 2 2" xfId="104"/>
    <cellStyle name="Comma 4 2 2 2" xfId="194"/>
    <cellStyle name="Comma 4 2 3" xfId="86"/>
    <cellStyle name="Comma 4 2 3 2" xfId="178"/>
    <cellStyle name="Comma 4 2 4" xfId="142"/>
    <cellStyle name="Comma 4 2 4 2" xfId="213"/>
    <cellStyle name="Comma 4 2 5" xfId="164"/>
    <cellStyle name="Comma 4 3" xfId="79"/>
    <cellStyle name="Comma 5" xfId="29"/>
    <cellStyle name="Comma 5 2" xfId="80"/>
    <cellStyle name="Comma 5 3" xfId="136"/>
    <cellStyle name="Comma 6" xfId="48"/>
    <cellStyle name="Comma 6 2" xfId="49"/>
    <cellStyle name="Comma 6 3" xfId="50"/>
    <cellStyle name="Comma 6 4" xfId="51"/>
    <cellStyle name="Comma 6 5" xfId="101"/>
    <cellStyle name="Comma 6 6" xfId="83"/>
    <cellStyle name="Comma 6 7" xfId="161"/>
    <cellStyle name="Comma 7" xfId="21"/>
    <cellStyle name="Comma 8" xfId="65"/>
    <cellStyle name="Comma 8 2" xfId="105"/>
    <cellStyle name="Comma 8 2 2" xfId="195"/>
    <cellStyle name="Comma 8 3" xfId="87"/>
    <cellStyle name="Comma 8 3 2" xfId="179"/>
    <cellStyle name="Comma 8 4" xfId="143"/>
    <cellStyle name="Comma 8 4 2" xfId="214"/>
    <cellStyle name="Comma 8 5" xfId="165"/>
    <cellStyle name="Comma 9" xfId="111"/>
    <cellStyle name="Comma 9 2" xfId="151"/>
    <cellStyle name="Comma 9 2 2" xfId="221"/>
    <cellStyle name="Comma 9 3" xfId="200"/>
    <cellStyle name="Curren - Style2" xfId="3"/>
    <cellStyle name="Grey" xfId="4"/>
    <cellStyle name="Header1" xfId="5"/>
    <cellStyle name="Header2" xfId="6"/>
    <cellStyle name="Input [yellow]" xfId="7"/>
    <cellStyle name="no dec" xfId="8"/>
    <cellStyle name="Normal" xfId="0" builtinId="0"/>
    <cellStyle name="Normal - Style1" xfId="9"/>
    <cellStyle name="Normal 10" xfId="67"/>
    <cellStyle name="Normal 10 2" xfId="107"/>
    <cellStyle name="Normal 10 2 2" xfId="197"/>
    <cellStyle name="Normal 10 3" xfId="89"/>
    <cellStyle name="Normal 10 3 2" xfId="181"/>
    <cellStyle name="Normal 10 4" xfId="145"/>
    <cellStyle name="Normal 10 4 2" xfId="216"/>
    <cellStyle name="Normal 10 5" xfId="167"/>
    <cellStyle name="Normal 11" xfId="69"/>
    <cellStyle name="Normal 11 2" xfId="109"/>
    <cellStyle name="Normal 11 2 2" xfId="199"/>
    <cellStyle name="Normal 11 3" xfId="91"/>
    <cellStyle name="Normal 11 3 2" xfId="183"/>
    <cellStyle name="Normal 11 4" xfId="147"/>
    <cellStyle name="Normal 11 4 2" xfId="218"/>
    <cellStyle name="Normal 11 5" xfId="169"/>
    <cellStyle name="Normal 12" xfId="70"/>
    <cellStyle name="Normal 12 2" xfId="92"/>
    <cellStyle name="Normal 12 2 2" xfId="184"/>
    <cellStyle name="Normal 12 3" xfId="148"/>
    <cellStyle name="Normal 12 3 2" xfId="219"/>
    <cellStyle name="Normal 12 4" xfId="170"/>
    <cellStyle name="Normal 13" xfId="93"/>
    <cellStyle name="Normal 13 2" xfId="94"/>
    <cellStyle name="Normal 13 2 2" xfId="186"/>
    <cellStyle name="Normal 13 3" xfId="150"/>
    <cellStyle name="Normal 13 3 2" xfId="220"/>
    <cellStyle name="Normal 13 4" xfId="185"/>
    <cellStyle name="Normal 14" xfId="115"/>
    <cellStyle name="Normal 14 2" xfId="68"/>
    <cellStyle name="Normal 14 2 2" xfId="108"/>
    <cellStyle name="Normal 14 2 2 2" xfId="198"/>
    <cellStyle name="Normal 14 2 3" xfId="90"/>
    <cellStyle name="Normal 14 2 3 2" xfId="182"/>
    <cellStyle name="Normal 14 2 4" xfId="146"/>
    <cellStyle name="Normal 14 2 4 2" xfId="217"/>
    <cellStyle name="Normal 14 2 5" xfId="168"/>
    <cellStyle name="Normal 14 3" xfId="152"/>
    <cellStyle name="Normal 14 3 2" xfId="222"/>
    <cellStyle name="Normal 15" xfId="18"/>
    <cellStyle name="Normal 15 2" xfId="95"/>
    <cellStyle name="Normal 15 2 2" xfId="187"/>
    <cellStyle name="Normal 15 3" xfId="71"/>
    <cellStyle name="Normal 15 3 2" xfId="171"/>
    <cellStyle name="Normal 15 4" xfId="132"/>
    <cellStyle name="Normal 15 4 2" xfId="206"/>
    <cellStyle name="Normal 15 5" xfId="156"/>
    <cellStyle name="Normal 16" xfId="116"/>
    <cellStyle name="Normal 17" xfId="117"/>
    <cellStyle name="Normal 18" xfId="61"/>
    <cellStyle name="Normal 18 2" xfId="102"/>
    <cellStyle name="Normal 18 2 2" xfId="192"/>
    <cellStyle name="Normal 18 3" xfId="84"/>
    <cellStyle name="Normal 18 3 2" xfId="176"/>
    <cellStyle name="Normal 18 4" xfId="140"/>
    <cellStyle name="Normal 18 4 2" xfId="211"/>
    <cellStyle name="Normal 18 5" xfId="162"/>
    <cellStyle name="Normal 19" xfId="118"/>
    <cellStyle name="Normal 2" xfId="10"/>
    <cellStyle name="Normal 2 2" xfId="11"/>
    <cellStyle name="Normal 2 2 2" xfId="30"/>
    <cellStyle name="Normal 2 2 2 2" xfId="57"/>
    <cellStyle name="Normal 2 2_Working APR 2007-08 Mahagenco_Bhushan_1.3" xfId="31"/>
    <cellStyle name="Normal 2 3" xfId="12"/>
    <cellStyle name="Normal 2 4" xfId="52"/>
    <cellStyle name="Normal 2_ARR FINAL" xfId="32"/>
    <cellStyle name="Normal 20" xfId="119"/>
    <cellStyle name="Normal 21" xfId="120"/>
    <cellStyle name="Normal 22" xfId="114"/>
    <cellStyle name="Normal 24" xfId="122"/>
    <cellStyle name="Normal 25" xfId="123"/>
    <cellStyle name="Normal 26" xfId="124"/>
    <cellStyle name="Normal 27" xfId="125"/>
    <cellStyle name="Normal 28" xfId="126"/>
    <cellStyle name="Normal 29" xfId="127"/>
    <cellStyle name="Normal 3" xfId="13"/>
    <cellStyle name="Normal 3 2" xfId="33"/>
    <cellStyle name="Normal 3 2 2" xfId="58"/>
    <cellStyle name="Normal 30" xfId="128"/>
    <cellStyle name="Normal 39" xfId="22"/>
    <cellStyle name="Normal 4" xfId="34"/>
    <cellStyle name="Normal 4 2" xfId="59"/>
    <cellStyle name="Normal 5" xfId="35"/>
    <cellStyle name="Normal 5 2" xfId="36"/>
    <cellStyle name="Normal 5 3" xfId="99"/>
    <cellStyle name="Normal 5 3 2" xfId="190"/>
    <cellStyle name="Normal 5 4" xfId="81"/>
    <cellStyle name="Normal 5 4 2" xfId="174"/>
    <cellStyle name="Normal 5 5" xfId="138"/>
    <cellStyle name="Normal 5 5 2" xfId="209"/>
    <cellStyle name="Normal 5 6" xfId="159"/>
    <cellStyle name="Normal 6" xfId="37"/>
    <cellStyle name="Normal 7" xfId="38"/>
    <cellStyle name="Normal 7 2" xfId="100"/>
    <cellStyle name="Normal 7 2 2" xfId="191"/>
    <cellStyle name="Normal 7 3" xfId="82"/>
    <cellStyle name="Normal 7 3 2" xfId="175"/>
    <cellStyle name="Normal 7 4" xfId="139"/>
    <cellStyle name="Normal 7 4 2" xfId="210"/>
    <cellStyle name="Normal 7 5" xfId="160"/>
    <cellStyle name="Normal 8" xfId="53"/>
    <cellStyle name="Normal 9" xfId="54"/>
    <cellStyle name="Normal_FORMATS 5 YEAR ALOKE 2" xfId="14"/>
    <cellStyle name="Percent" xfId="129" builtinId="5"/>
    <cellStyle name="Percent [0]_#6 Temps &amp; Contractors" xfId="15"/>
    <cellStyle name="Percent [2]" xfId="16"/>
    <cellStyle name="Percent 10" xfId="74"/>
    <cellStyle name="Percent 11" xfId="135"/>
    <cellStyle name="Percent 12" xfId="137"/>
    <cellStyle name="Percent 13" xfId="131"/>
    <cellStyle name="Percent 14" xfId="204"/>
    <cellStyle name="Percent 2" xfId="39"/>
    <cellStyle name="Percent 2 2" xfId="40"/>
    <cellStyle name="Percent 2 3" xfId="60"/>
    <cellStyle name="Percent 3" xfId="41"/>
    <cellStyle name="Percent 3 2" xfId="42"/>
    <cellStyle name="Percent 4" xfId="23"/>
    <cellStyle name="Percent 41" xfId="20"/>
    <cellStyle name="Percent 41 2" xfId="97"/>
    <cellStyle name="Percent 41 2 2" xfId="189"/>
    <cellStyle name="Percent 41 3" xfId="73"/>
    <cellStyle name="Percent 41 3 2" xfId="173"/>
    <cellStyle name="Percent 41 4" xfId="134"/>
    <cellStyle name="Percent 41 4 2" xfId="208"/>
    <cellStyle name="Percent 41 5" xfId="158"/>
    <cellStyle name="Percent 5" xfId="43"/>
    <cellStyle name="Percent 5 2" xfId="44"/>
    <cellStyle name="Percent 5 3" xfId="45"/>
    <cellStyle name="Percent 6" xfId="46"/>
    <cellStyle name="Percent 6 2" xfId="47"/>
    <cellStyle name="Percent 7" xfId="66"/>
    <cellStyle name="Percent 7 2" xfId="106"/>
    <cellStyle name="Percent 7 2 2" xfId="196"/>
    <cellStyle name="Percent 7 3" xfId="88"/>
    <cellStyle name="Percent 7 3 2" xfId="180"/>
    <cellStyle name="Percent 7 4" xfId="144"/>
    <cellStyle name="Percent 7 4 2" xfId="215"/>
    <cellStyle name="Percent 7 5" xfId="166"/>
    <cellStyle name="Percent 8" xfId="121"/>
    <cellStyle name="Percent 8 2" xfId="203"/>
    <cellStyle name="Percent 9" xfId="98"/>
    <cellStyle name="Style 1" xfId="17"/>
    <cellStyle name="Style 2" xfId="55"/>
  </cellStyles>
  <dxfs count="0"/>
  <tableStyles count="0" defaultTableStyle="TableStyleMedium9" defaultPivotStyle="PivotStyleLight16"/>
  <colors>
    <mruColors>
      <color rgb="FFFBCB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h1\EMAIL\Performance\PERFORMANCE\ocm\Yearly_perf\OCMJAN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1\shared%20doc\ARR%202.6%20REV\Performance\PERFORMANCE\ocm\Yearly_perf\OCMJAN20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rformance\PERFORMANCE\ocm\Yearly_perf\OCMJAN2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2000-01"/>
      <sheetName val="04REL"/>
      <sheetName val="Inputs &amp; Assumptions"/>
      <sheetName val="Daily_input"/>
      <sheetName val="Daily_report"/>
      <sheetName val="Title"/>
      <sheetName val="CAPI_01-0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Assumptions"/>
      <sheetName val="A 3.7"/>
      <sheetName val="water_bal"/>
      <sheetName val="Daily_input"/>
      <sheetName val="Daily_report"/>
      <sheetName val="A_3_7"/>
      <sheetName val="Clause 9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Daily input"/>
      <sheetName val="Daily report"/>
      <sheetName val="OCM2"/>
      <sheetName val="OCM4"/>
      <sheetName val="OCM1"/>
      <sheetName val="OCM3"/>
      <sheetName val="OCM5"/>
      <sheetName val="OCM7"/>
      <sheetName val="INDEX"/>
      <sheetName val="OCM6"/>
      <sheetName val="highlight"/>
      <sheetName val="water"/>
      <sheetName val="AWARD"/>
      <sheetName val="CE"/>
      <sheetName val="hrawd"/>
      <sheetName val="04REL"/>
      <sheetName val="Daily_input"/>
      <sheetName val="Daily_report"/>
      <sheetName val="Instruction Shee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3.1"/>
    </sheetNames>
    <sheetDataSet>
      <sheetData sheetId="0" refreshError="1">
        <row r="18">
          <cell r="G18">
            <v>4.2106462590000007</v>
          </cell>
          <cell r="H18">
            <v>6.0626076170000003</v>
          </cell>
        </row>
        <row r="24">
          <cell r="H24">
            <v>0.17267858799999999</v>
          </cell>
        </row>
        <row r="30">
          <cell r="H30">
            <v>38.239999999999995</v>
          </cell>
        </row>
        <row r="36">
          <cell r="H36">
            <v>38.5</v>
          </cell>
        </row>
        <row r="42">
          <cell r="H42">
            <v>30</v>
          </cell>
        </row>
        <row r="48">
          <cell r="H48">
            <v>0</v>
          </cell>
        </row>
        <row r="54">
          <cell r="H54">
            <v>0.5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41"/>
  <sheetViews>
    <sheetView showGridLines="0" tabSelected="1" topLeftCell="B1" zoomScale="80" zoomScaleNormal="80" zoomScaleSheetLayoutView="80" workbookViewId="0">
      <selection activeCell="G18" sqref="G18"/>
    </sheetView>
  </sheetViews>
  <sheetFormatPr defaultColWidth="9.28515625" defaultRowHeight="15"/>
  <cols>
    <col min="1" max="1" width="6.28515625" style="6" customWidth="1"/>
    <col min="2" max="2" width="9.28515625" style="6" customWidth="1"/>
    <col min="3" max="3" width="16.28515625" style="6" customWidth="1"/>
    <col min="4" max="4" width="75.7109375" style="6" customWidth="1"/>
    <col min="5" max="5" width="17.7109375" style="6" customWidth="1"/>
    <col min="6" max="6" width="20.7109375" style="6" customWidth="1"/>
    <col min="7" max="15" width="18.7109375" style="6" customWidth="1"/>
    <col min="16" max="16384" width="9.28515625" style="6"/>
  </cols>
  <sheetData>
    <row r="2" spans="2:15" ht="15.75">
      <c r="B2" s="353" t="s">
        <v>510</v>
      </c>
      <c r="C2" s="353"/>
      <c r="D2" s="354"/>
      <c r="E2" s="354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15.75">
      <c r="B3" s="353" t="s">
        <v>497</v>
      </c>
      <c r="C3" s="353"/>
      <c r="D3" s="354"/>
      <c r="E3" s="354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s="15" customFormat="1" ht="15.75">
      <c r="B4" s="355" t="s">
        <v>382</v>
      </c>
      <c r="C4" s="355"/>
      <c r="D4" s="356"/>
      <c r="E4" s="356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D5" s="68" t="s">
        <v>384</v>
      </c>
    </row>
    <row r="6" spans="2:15" ht="15.75">
      <c r="N6" s="7"/>
    </row>
    <row r="7" spans="2:15" ht="15.75">
      <c r="B7" s="17" t="s">
        <v>209</v>
      </c>
      <c r="C7" s="17" t="s">
        <v>383</v>
      </c>
      <c r="D7" s="18" t="s">
        <v>7</v>
      </c>
      <c r="E7" s="18" t="s">
        <v>385</v>
      </c>
    </row>
    <row r="8" spans="2:15">
      <c r="B8" s="8">
        <v>1</v>
      </c>
      <c r="C8" s="8" t="s">
        <v>6</v>
      </c>
      <c r="D8" s="9" t="s">
        <v>387</v>
      </c>
      <c r="E8" s="10"/>
    </row>
    <row r="9" spans="2:15">
      <c r="B9" s="8">
        <f>B8+1</f>
        <v>2</v>
      </c>
      <c r="C9" s="8" t="s">
        <v>287</v>
      </c>
      <c r="D9" s="9" t="s">
        <v>389</v>
      </c>
      <c r="E9" s="10"/>
    </row>
    <row r="10" spans="2:15">
      <c r="B10" s="8">
        <f>B9+1</f>
        <v>3</v>
      </c>
      <c r="C10" s="8" t="s">
        <v>24</v>
      </c>
      <c r="D10" s="9" t="s">
        <v>390</v>
      </c>
      <c r="E10" s="10"/>
    </row>
    <row r="11" spans="2:15">
      <c r="B11" s="8">
        <f>B10+1</f>
        <v>4</v>
      </c>
      <c r="C11" s="8" t="s">
        <v>25</v>
      </c>
      <c r="D11" s="9" t="s">
        <v>391</v>
      </c>
      <c r="E11" s="10"/>
    </row>
    <row r="12" spans="2:15">
      <c r="B12" s="8">
        <f>B11+1</f>
        <v>5</v>
      </c>
      <c r="C12" s="8" t="s">
        <v>288</v>
      </c>
      <c r="D12" s="9" t="s">
        <v>392</v>
      </c>
      <c r="E12" s="10"/>
    </row>
    <row r="13" spans="2:15">
      <c r="B13" s="8">
        <f t="shared" ref="B13:B39" si="0">B12+1</f>
        <v>6</v>
      </c>
      <c r="C13" s="8" t="s">
        <v>22</v>
      </c>
      <c r="D13" s="9" t="s">
        <v>237</v>
      </c>
      <c r="E13" s="10"/>
    </row>
    <row r="14" spans="2:15">
      <c r="B14" s="8">
        <f t="shared" si="0"/>
        <v>7</v>
      </c>
      <c r="C14" s="8" t="s">
        <v>27</v>
      </c>
      <c r="D14" s="9" t="s">
        <v>393</v>
      </c>
      <c r="E14" s="10"/>
    </row>
    <row r="15" spans="2:15">
      <c r="B15" s="8">
        <f t="shared" si="0"/>
        <v>8</v>
      </c>
      <c r="C15" s="8" t="s">
        <v>28</v>
      </c>
      <c r="D15" s="11" t="s">
        <v>206</v>
      </c>
      <c r="E15" s="10"/>
    </row>
    <row r="16" spans="2:15">
      <c r="B16" s="8">
        <f t="shared" si="0"/>
        <v>9</v>
      </c>
      <c r="C16" s="8" t="s">
        <v>23</v>
      </c>
      <c r="D16" s="11" t="s">
        <v>394</v>
      </c>
      <c r="E16" s="10"/>
    </row>
    <row r="17" spans="2:5">
      <c r="B17" s="8">
        <f t="shared" si="0"/>
        <v>10</v>
      </c>
      <c r="C17" s="8" t="s">
        <v>29</v>
      </c>
      <c r="D17" s="9" t="s">
        <v>262</v>
      </c>
      <c r="E17" s="10"/>
    </row>
    <row r="18" spans="2:5">
      <c r="B18" s="8">
        <f t="shared" si="0"/>
        <v>11</v>
      </c>
      <c r="C18" s="8" t="s">
        <v>30</v>
      </c>
      <c r="D18" s="11" t="s">
        <v>306</v>
      </c>
      <c r="E18" s="10"/>
    </row>
    <row r="19" spans="2:5">
      <c r="B19" s="8">
        <f t="shared" si="0"/>
        <v>12</v>
      </c>
      <c r="C19" s="8" t="s">
        <v>31</v>
      </c>
      <c r="D19" s="11" t="s">
        <v>263</v>
      </c>
      <c r="E19" s="10"/>
    </row>
    <row r="20" spans="2:5">
      <c r="B20" s="8">
        <f t="shared" si="0"/>
        <v>13</v>
      </c>
      <c r="C20" s="8" t="s">
        <v>32</v>
      </c>
      <c r="D20" s="11" t="s">
        <v>164</v>
      </c>
      <c r="E20" s="10"/>
    </row>
    <row r="21" spans="2:5">
      <c r="B21" s="8">
        <f t="shared" si="0"/>
        <v>14</v>
      </c>
      <c r="C21" s="8" t="s">
        <v>33</v>
      </c>
      <c r="D21" s="11" t="s">
        <v>26</v>
      </c>
      <c r="E21" s="10"/>
    </row>
    <row r="22" spans="2:5">
      <c r="B22" s="8">
        <f t="shared" si="0"/>
        <v>15</v>
      </c>
      <c r="C22" s="8" t="s">
        <v>34</v>
      </c>
      <c r="D22" s="9" t="s">
        <v>395</v>
      </c>
      <c r="E22" s="10"/>
    </row>
    <row r="23" spans="2:5">
      <c r="B23" s="8">
        <f t="shared" si="0"/>
        <v>16</v>
      </c>
      <c r="C23" s="8" t="s">
        <v>35</v>
      </c>
      <c r="D23" s="9" t="s">
        <v>396</v>
      </c>
      <c r="E23" s="10"/>
    </row>
    <row r="24" spans="2:5">
      <c r="B24" s="8">
        <f t="shared" si="0"/>
        <v>17</v>
      </c>
      <c r="C24" s="8" t="s">
        <v>172</v>
      </c>
      <c r="D24" s="9" t="s">
        <v>266</v>
      </c>
      <c r="E24" s="10"/>
    </row>
    <row r="25" spans="2:5">
      <c r="B25" s="8">
        <f t="shared" si="0"/>
        <v>18</v>
      </c>
      <c r="C25" s="8" t="s">
        <v>181</v>
      </c>
      <c r="D25" s="9" t="s">
        <v>397</v>
      </c>
      <c r="E25" s="10"/>
    </row>
    <row r="26" spans="2:5">
      <c r="B26" s="8">
        <f t="shared" si="0"/>
        <v>19</v>
      </c>
      <c r="C26" s="8" t="s">
        <v>386</v>
      </c>
      <c r="D26" s="9" t="s">
        <v>246</v>
      </c>
      <c r="E26" s="10"/>
    </row>
    <row r="27" spans="2:5">
      <c r="B27" s="8">
        <f t="shared" si="0"/>
        <v>20</v>
      </c>
      <c r="C27" s="8" t="s">
        <v>239</v>
      </c>
      <c r="D27" s="9" t="s">
        <v>398</v>
      </c>
      <c r="E27" s="10"/>
    </row>
    <row r="28" spans="2:5">
      <c r="B28" s="8">
        <f t="shared" si="0"/>
        <v>21</v>
      </c>
      <c r="C28" s="8" t="s">
        <v>240</v>
      </c>
      <c r="D28" s="11" t="s">
        <v>399</v>
      </c>
      <c r="E28" s="10"/>
    </row>
    <row r="29" spans="2:5" ht="15.75">
      <c r="B29" s="12"/>
      <c r="C29" s="12"/>
      <c r="D29" s="13" t="s">
        <v>245</v>
      </c>
      <c r="E29" s="14"/>
    </row>
    <row r="30" spans="2:5">
      <c r="B30" s="8">
        <f>B28+1</f>
        <v>22</v>
      </c>
      <c r="C30" s="8" t="s">
        <v>405</v>
      </c>
      <c r="D30" s="9" t="s">
        <v>413</v>
      </c>
      <c r="E30" s="10"/>
    </row>
    <row r="31" spans="2:5">
      <c r="B31" s="8">
        <f>B30+1</f>
        <v>23</v>
      </c>
      <c r="C31" s="8" t="s">
        <v>406</v>
      </c>
      <c r="D31" s="9" t="s">
        <v>414</v>
      </c>
      <c r="E31" s="10"/>
    </row>
    <row r="32" spans="2:5">
      <c r="B32" s="8">
        <f>B31+1</f>
        <v>24</v>
      </c>
      <c r="C32" s="8" t="s">
        <v>403</v>
      </c>
      <c r="D32" s="9" t="s">
        <v>201</v>
      </c>
      <c r="E32" s="10"/>
    </row>
    <row r="33" spans="2:5">
      <c r="B33" s="8">
        <f t="shared" si="0"/>
        <v>25</v>
      </c>
      <c r="C33" s="8" t="s">
        <v>404</v>
      </c>
      <c r="D33" s="9" t="s">
        <v>202</v>
      </c>
      <c r="E33" s="10"/>
    </row>
    <row r="34" spans="2:5">
      <c r="B34" s="8">
        <f t="shared" si="0"/>
        <v>26</v>
      </c>
      <c r="C34" s="8" t="s">
        <v>407</v>
      </c>
      <c r="D34" s="9" t="s">
        <v>203</v>
      </c>
      <c r="E34" s="10"/>
    </row>
    <row r="35" spans="2:5">
      <c r="B35" s="8">
        <f t="shared" si="0"/>
        <v>27</v>
      </c>
      <c r="C35" s="8" t="s">
        <v>408</v>
      </c>
      <c r="D35" s="9" t="s">
        <v>204</v>
      </c>
      <c r="E35" s="10"/>
    </row>
    <row r="36" spans="2:5">
      <c r="B36" s="8">
        <f t="shared" si="0"/>
        <v>28</v>
      </c>
      <c r="C36" s="8" t="s">
        <v>409</v>
      </c>
      <c r="D36" s="9" t="s">
        <v>223</v>
      </c>
      <c r="E36" s="10"/>
    </row>
    <row r="37" spans="2:5">
      <c r="B37" s="8">
        <f t="shared" si="0"/>
        <v>29</v>
      </c>
      <c r="C37" s="8" t="s">
        <v>410</v>
      </c>
      <c r="D37" s="9" t="s">
        <v>205</v>
      </c>
      <c r="E37" s="10"/>
    </row>
    <row r="38" spans="2:5">
      <c r="B38" s="8">
        <f t="shared" si="0"/>
        <v>30</v>
      </c>
      <c r="C38" s="8" t="s">
        <v>411</v>
      </c>
      <c r="D38" s="9" t="s">
        <v>400</v>
      </c>
      <c r="E38" s="10"/>
    </row>
    <row r="39" spans="2:5">
      <c r="B39" s="8">
        <f t="shared" si="0"/>
        <v>31</v>
      </c>
      <c r="C39" s="8" t="s">
        <v>412</v>
      </c>
      <c r="D39" s="9" t="s">
        <v>401</v>
      </c>
      <c r="E39" s="10"/>
    </row>
    <row r="41" spans="2:5" ht="15.75">
      <c r="B41" s="16" t="s">
        <v>402</v>
      </c>
      <c r="C41" s="16"/>
    </row>
  </sheetData>
  <mergeCells count="3">
    <mergeCell ref="B2:E2"/>
    <mergeCell ref="B4:E4"/>
    <mergeCell ref="B3:E3"/>
  </mergeCells>
  <phoneticPr fontId="13" type="noConversion"/>
  <pageMargins left="0.55000000000000004" right="0.23622047244094491" top="1.1023622047244095" bottom="0.98425196850393704" header="0.23622047244094491" footer="0.23622047244094491"/>
  <pageSetup paperSize="9" scale="7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Q84"/>
  <sheetViews>
    <sheetView showGridLines="0" view="pageBreakPreview" topLeftCell="A48" zoomScale="90" zoomScaleNormal="80" zoomScaleSheetLayoutView="90" workbookViewId="0">
      <selection activeCell="A53" sqref="A53:XFD53"/>
    </sheetView>
  </sheetViews>
  <sheetFormatPr defaultColWidth="9.28515625" defaultRowHeight="15"/>
  <cols>
    <col min="1" max="1" width="4.28515625" style="5" customWidth="1"/>
    <col min="2" max="2" width="6.28515625" style="155" customWidth="1"/>
    <col min="3" max="3" width="34.42578125" style="155" customWidth="1"/>
    <col min="4" max="15" width="12.5703125" style="155" customWidth="1"/>
    <col min="16" max="16" width="13.7109375" style="5" bestFit="1" customWidth="1"/>
    <col min="17" max="22" width="11.7109375" style="5" bestFit="1" customWidth="1"/>
    <col min="23" max="16384" width="9.28515625" style="5"/>
  </cols>
  <sheetData>
    <row r="1" spans="2:15" ht="9" customHeight="1">
      <c r="B1" s="248"/>
    </row>
    <row r="2" spans="2:15" ht="15.75">
      <c r="B2" s="353" t="s">
        <v>511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</row>
    <row r="3" spans="2:15" ht="15.75">
      <c r="B3" s="353" t="s">
        <v>467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</row>
    <row r="4" spans="2:15" ht="12.75" customHeight="1">
      <c r="B4" s="388" t="s">
        <v>291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</row>
    <row r="5" spans="2:15" ht="9" customHeight="1" thickBot="1">
      <c r="K5" s="143"/>
      <c r="N5" s="156" t="s">
        <v>4</v>
      </c>
    </row>
    <row r="6" spans="2:15" ht="13.5" customHeight="1">
      <c r="B6" s="378" t="s">
        <v>473</v>
      </c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80"/>
    </row>
    <row r="7" spans="2:15" ht="14.25" customHeight="1">
      <c r="B7" s="381" t="s">
        <v>2</v>
      </c>
      <c r="C7" s="383" t="s">
        <v>286</v>
      </c>
      <c r="D7" s="385" t="s">
        <v>275</v>
      </c>
      <c r="E7" s="385" t="s">
        <v>276</v>
      </c>
      <c r="F7" s="385" t="s">
        <v>277</v>
      </c>
      <c r="G7" s="385"/>
      <c r="H7" s="385"/>
      <c r="I7" s="385"/>
      <c r="J7" s="385" t="s">
        <v>278</v>
      </c>
      <c r="K7" s="385"/>
      <c r="L7" s="385"/>
      <c r="M7" s="385"/>
      <c r="N7" s="385" t="s">
        <v>279</v>
      </c>
      <c r="O7" s="387"/>
    </row>
    <row r="8" spans="2:15" ht="90.75" customHeight="1" thickBot="1">
      <c r="B8" s="382"/>
      <c r="C8" s="389"/>
      <c r="D8" s="386"/>
      <c r="E8" s="386"/>
      <c r="F8" s="249" t="s">
        <v>280</v>
      </c>
      <c r="G8" s="249" t="s">
        <v>138</v>
      </c>
      <c r="H8" s="249" t="s">
        <v>281</v>
      </c>
      <c r="I8" s="249" t="s">
        <v>282</v>
      </c>
      <c r="J8" s="249" t="s">
        <v>283</v>
      </c>
      <c r="K8" s="249" t="s">
        <v>138</v>
      </c>
      <c r="L8" s="249" t="s">
        <v>284</v>
      </c>
      <c r="M8" s="249" t="s">
        <v>285</v>
      </c>
      <c r="N8" s="249" t="s">
        <v>280</v>
      </c>
      <c r="O8" s="250" t="s">
        <v>282</v>
      </c>
    </row>
    <row r="9" spans="2:15" ht="21" customHeight="1">
      <c r="B9" s="149">
        <v>1</v>
      </c>
      <c r="C9" s="181" t="s">
        <v>501</v>
      </c>
      <c r="D9" s="301">
        <v>1000</v>
      </c>
      <c r="E9" s="301">
        <v>0</v>
      </c>
      <c r="F9" s="302">
        <v>3.5194374000000002</v>
      </c>
      <c r="G9" s="302">
        <v>0</v>
      </c>
      <c r="H9" s="303"/>
      <c r="I9" s="302">
        <f>F9+G9+H9</f>
        <v>3.5194374000000002</v>
      </c>
      <c r="J9" s="302">
        <v>0</v>
      </c>
      <c r="K9" s="302">
        <v>0</v>
      </c>
      <c r="L9" s="303">
        <v>0</v>
      </c>
      <c r="M9" s="302">
        <f>J9+K9+L9</f>
        <v>0</v>
      </c>
      <c r="N9" s="302">
        <f>F9-J9</f>
        <v>3.5194374000000002</v>
      </c>
      <c r="O9" s="302">
        <f>I9-M9</f>
        <v>3.5194374000000002</v>
      </c>
    </row>
    <row r="10" spans="2:15" ht="21" customHeight="1">
      <c r="B10" s="149">
        <v>2</v>
      </c>
      <c r="C10" s="181" t="s">
        <v>128</v>
      </c>
      <c r="D10" s="301">
        <v>1100</v>
      </c>
      <c r="E10" s="304">
        <v>3.3399999999999999E-2</v>
      </c>
      <c r="F10" s="302">
        <v>92.475650603999995</v>
      </c>
      <c r="G10" s="302">
        <v>0</v>
      </c>
      <c r="H10" s="303"/>
      <c r="I10" s="302">
        <f t="shared" ref="I10:I20" si="0">F10+G10+H10</f>
        <v>92.475650603999995</v>
      </c>
      <c r="J10" s="302">
        <v>83.188647451999998</v>
      </c>
      <c r="K10" s="302">
        <v>1.9719046E-2</v>
      </c>
      <c r="L10" s="303">
        <v>0</v>
      </c>
      <c r="M10" s="302">
        <f t="shared" ref="M10:M20" si="1">J10+K10+L10</f>
        <v>83.208366498000004</v>
      </c>
      <c r="N10" s="302">
        <f t="shared" ref="N10:N20" si="2">F10-J10</f>
        <v>9.2870031519999969</v>
      </c>
      <c r="O10" s="302">
        <f t="shared" ref="O10:O20" si="3">I10-M10</f>
        <v>9.2672841059999911</v>
      </c>
    </row>
    <row r="11" spans="2:15" ht="21" customHeight="1">
      <c r="B11" s="149">
        <v>3</v>
      </c>
      <c r="C11" s="181" t="s">
        <v>502</v>
      </c>
      <c r="D11" s="301">
        <v>1200</v>
      </c>
      <c r="E11" s="304">
        <v>5.28E-2</v>
      </c>
      <c r="F11" s="302">
        <v>66.012123699</v>
      </c>
      <c r="G11" s="302">
        <v>3.1453504420000002</v>
      </c>
      <c r="H11" s="303"/>
      <c r="I11" s="302">
        <f t="shared" si="0"/>
        <v>69.157474140999994</v>
      </c>
      <c r="J11" s="302">
        <v>19.999651150999998</v>
      </c>
      <c r="K11" s="302">
        <f>21.121037788-13.1</f>
        <v>8.0210377879999992</v>
      </c>
      <c r="L11" s="303">
        <v>0</v>
      </c>
      <c r="M11" s="302">
        <f t="shared" si="1"/>
        <v>28.020688938999996</v>
      </c>
      <c r="N11" s="302">
        <f t="shared" si="2"/>
        <v>46.012472548000005</v>
      </c>
      <c r="O11" s="302">
        <f t="shared" si="3"/>
        <v>41.136785201999999</v>
      </c>
    </row>
    <row r="12" spans="2:15" ht="21" customHeight="1">
      <c r="B12" s="149">
        <v>4</v>
      </c>
      <c r="C12" s="181" t="s">
        <v>127</v>
      </c>
      <c r="D12" s="301">
        <v>1300</v>
      </c>
      <c r="E12" s="304">
        <v>5.28E-2</v>
      </c>
      <c r="F12" s="302">
        <f>1825.978457062-88.18</f>
        <v>1737.7984570619999</v>
      </c>
      <c r="G12" s="302">
        <v>1.1457504919999999</v>
      </c>
      <c r="H12" s="303"/>
      <c r="I12" s="302">
        <f>F12+G12+H12+0.004</f>
        <v>1738.9482075539997</v>
      </c>
      <c r="J12" s="302">
        <f>1645.935801436-209.71</f>
        <v>1436.225801436</v>
      </c>
      <c r="K12" s="302">
        <v>3.6944305810000002</v>
      </c>
      <c r="L12" s="303">
        <v>0</v>
      </c>
      <c r="M12" s="302">
        <f t="shared" si="1"/>
        <v>1439.920232017</v>
      </c>
      <c r="N12" s="302">
        <f t="shared" si="2"/>
        <v>301.57265562599991</v>
      </c>
      <c r="O12" s="302">
        <f t="shared" si="3"/>
        <v>299.02797553699975</v>
      </c>
    </row>
    <row r="13" spans="2:15" ht="21" customHeight="1">
      <c r="B13" s="149">
        <v>5</v>
      </c>
      <c r="C13" s="181" t="s">
        <v>503</v>
      </c>
      <c r="D13" s="301">
        <v>1400</v>
      </c>
      <c r="E13" s="304">
        <v>5.28E-2</v>
      </c>
      <c r="F13" s="302">
        <v>51.957960874000001</v>
      </c>
      <c r="G13" s="302">
        <v>0</v>
      </c>
      <c r="H13" s="303"/>
      <c r="I13" s="302">
        <f t="shared" si="0"/>
        <v>51.957960874000001</v>
      </c>
      <c r="J13" s="302">
        <v>46.460420891000005</v>
      </c>
      <c r="K13" s="302">
        <v>2.748769996</v>
      </c>
      <c r="L13" s="303">
        <v>0</v>
      </c>
      <c r="M13" s="302">
        <f t="shared" si="1"/>
        <v>49.209190887000005</v>
      </c>
      <c r="N13" s="302">
        <f t="shared" si="2"/>
        <v>5.4975399829999958</v>
      </c>
      <c r="O13" s="302">
        <f t="shared" si="3"/>
        <v>2.7487699869999958</v>
      </c>
    </row>
    <row r="14" spans="2:15" ht="21" customHeight="1">
      <c r="B14" s="149">
        <v>6</v>
      </c>
      <c r="C14" s="181" t="s">
        <v>504</v>
      </c>
      <c r="D14" s="301">
        <v>1500</v>
      </c>
      <c r="E14" s="304">
        <v>5.28E-2</v>
      </c>
      <c r="F14" s="302">
        <v>195.84311880000001</v>
      </c>
      <c r="G14" s="302">
        <v>0</v>
      </c>
      <c r="H14" s="303"/>
      <c r="I14" s="302">
        <f t="shared" si="0"/>
        <v>195.84311880000001</v>
      </c>
      <c r="J14" s="302">
        <v>150.361278083</v>
      </c>
      <c r="K14" s="302">
        <f>12.948764419-5</f>
        <v>7.9487644189999997</v>
      </c>
      <c r="L14" s="303">
        <v>0</v>
      </c>
      <c r="M14" s="302">
        <f t="shared" si="1"/>
        <v>158.31004250199999</v>
      </c>
      <c r="N14" s="302">
        <f t="shared" si="2"/>
        <v>45.481840717000011</v>
      </c>
      <c r="O14" s="302">
        <f t="shared" si="3"/>
        <v>37.533076298000026</v>
      </c>
    </row>
    <row r="15" spans="2:15" ht="21" customHeight="1">
      <c r="B15" s="149">
        <v>7</v>
      </c>
      <c r="C15" s="181" t="s">
        <v>505</v>
      </c>
      <c r="D15" s="301">
        <v>1600</v>
      </c>
      <c r="E15" s="304">
        <v>3.3399999999999999E-2</v>
      </c>
      <c r="F15" s="302">
        <v>116.12008710000001</v>
      </c>
      <c r="G15" s="302">
        <v>1.4292060310000001</v>
      </c>
      <c r="H15" s="303"/>
      <c r="I15" s="302">
        <f t="shared" si="0"/>
        <v>117.54929313100001</v>
      </c>
      <c r="J15" s="302">
        <v>60.451405510000001</v>
      </c>
      <c r="K15" s="302">
        <f>24.883369622-13</f>
        <v>11.883369622</v>
      </c>
      <c r="L15" s="303">
        <v>0</v>
      </c>
      <c r="M15" s="302">
        <f t="shared" si="1"/>
        <v>72.334775132000004</v>
      </c>
      <c r="N15" s="302">
        <f t="shared" si="2"/>
        <v>55.668681590000006</v>
      </c>
      <c r="O15" s="302">
        <f t="shared" si="3"/>
        <v>45.214517999000009</v>
      </c>
    </row>
    <row r="16" spans="2:15" ht="21" customHeight="1">
      <c r="B16" s="149">
        <v>8</v>
      </c>
      <c r="C16" s="181" t="s">
        <v>132</v>
      </c>
      <c r="D16" s="301">
        <v>1700</v>
      </c>
      <c r="E16" s="305">
        <v>9.5000000000000001E-2</v>
      </c>
      <c r="F16" s="302">
        <v>0.75288279999999996</v>
      </c>
      <c r="G16" s="302">
        <v>0.24672152799999997</v>
      </c>
      <c r="H16" s="303"/>
      <c r="I16" s="302">
        <f t="shared" si="0"/>
        <v>0.99960432799999999</v>
      </c>
      <c r="J16" s="302">
        <v>0.180813208</v>
      </c>
      <c r="K16" s="302">
        <v>6.8842700000000007E-2</v>
      </c>
      <c r="L16" s="303">
        <v>0</v>
      </c>
      <c r="M16" s="302">
        <f t="shared" si="1"/>
        <v>0.24965590800000001</v>
      </c>
      <c r="N16" s="302">
        <f t="shared" si="2"/>
        <v>0.57206959199999996</v>
      </c>
      <c r="O16" s="302">
        <f t="shared" si="3"/>
        <v>0.74994841999999995</v>
      </c>
    </row>
    <row r="17" spans="2:17" ht="21" customHeight="1">
      <c r="B17" s="149">
        <v>9</v>
      </c>
      <c r="C17" s="181" t="s">
        <v>506</v>
      </c>
      <c r="D17" s="301">
        <v>1800</v>
      </c>
      <c r="E17" s="304">
        <v>6.3299999999999995E-2</v>
      </c>
      <c r="F17" s="302">
        <v>1.082133416</v>
      </c>
      <c r="G17" s="302">
        <v>7.3940060000000002E-2</v>
      </c>
      <c r="H17" s="303"/>
      <c r="I17" s="302">
        <f t="shared" si="0"/>
        <v>1.156073476</v>
      </c>
      <c r="J17" s="302">
        <v>0.78890561199999998</v>
      </c>
      <c r="K17" s="302">
        <v>3.5856088000000001E-2</v>
      </c>
      <c r="L17" s="303">
        <v>0</v>
      </c>
      <c r="M17" s="302">
        <f t="shared" si="1"/>
        <v>0.82476169999999993</v>
      </c>
      <c r="N17" s="302">
        <f t="shared" si="2"/>
        <v>0.29322780400000004</v>
      </c>
      <c r="O17" s="302">
        <f t="shared" si="3"/>
        <v>0.33131177600000006</v>
      </c>
    </row>
    <row r="18" spans="2:17" ht="21" customHeight="1">
      <c r="B18" s="149">
        <v>10</v>
      </c>
      <c r="C18" s="181" t="s">
        <v>507</v>
      </c>
      <c r="D18" s="301">
        <v>1900</v>
      </c>
      <c r="E18" s="306">
        <v>0.15</v>
      </c>
      <c r="F18" s="302">
        <v>2.9947062999999998</v>
      </c>
      <c r="G18" s="302">
        <v>3.015986E-3</v>
      </c>
      <c r="H18" s="303"/>
      <c r="I18" s="302">
        <f t="shared" si="0"/>
        <v>2.9977222859999997</v>
      </c>
      <c r="J18" s="302">
        <v>2.3937966510000002</v>
      </c>
      <c r="K18" s="302">
        <v>0.111443549</v>
      </c>
      <c r="L18" s="303">
        <v>0</v>
      </c>
      <c r="M18" s="302">
        <f t="shared" si="1"/>
        <v>2.5052402000000003</v>
      </c>
      <c r="N18" s="302">
        <f t="shared" si="2"/>
        <v>0.60090964899999966</v>
      </c>
      <c r="O18" s="302">
        <f t="shared" si="3"/>
        <v>0.49248208599999943</v>
      </c>
    </row>
    <row r="19" spans="2:17" ht="21" customHeight="1">
      <c r="B19" s="149">
        <v>11</v>
      </c>
      <c r="C19" s="181" t="s">
        <v>134</v>
      </c>
      <c r="D19" s="301">
        <v>2100</v>
      </c>
      <c r="E19" s="304">
        <v>6.3299999999999995E-2</v>
      </c>
      <c r="F19" s="302">
        <v>1.3031322289999998</v>
      </c>
      <c r="G19" s="302">
        <v>1.2739997999999999E-2</v>
      </c>
      <c r="H19" s="303"/>
      <c r="I19" s="302">
        <f t="shared" si="0"/>
        <v>1.3158722269999998</v>
      </c>
      <c r="J19" s="302">
        <v>0.71728944699999997</v>
      </c>
      <c r="K19" s="302">
        <v>5.6992766E-2</v>
      </c>
      <c r="L19" s="303">
        <v>0</v>
      </c>
      <c r="M19" s="302">
        <f t="shared" si="1"/>
        <v>0.774282213</v>
      </c>
      <c r="N19" s="302">
        <f t="shared" si="2"/>
        <v>0.58584278199999984</v>
      </c>
      <c r="O19" s="302">
        <f t="shared" si="3"/>
        <v>0.54159001399999984</v>
      </c>
    </row>
    <row r="20" spans="2:17" ht="21" customHeight="1">
      <c r="B20" s="252"/>
      <c r="C20" s="181" t="s">
        <v>508</v>
      </c>
      <c r="D20" s="301">
        <v>2200</v>
      </c>
      <c r="E20" s="304">
        <v>0.15</v>
      </c>
      <c r="F20" s="302">
        <v>1.8204499999999998E-2</v>
      </c>
      <c r="G20" s="302">
        <v>0</v>
      </c>
      <c r="H20" s="303"/>
      <c r="I20" s="302">
        <f t="shared" si="0"/>
        <v>1.8204499999999998E-2</v>
      </c>
      <c r="J20" s="302">
        <v>1.8204499999999998E-2</v>
      </c>
      <c r="K20" s="302">
        <v>0</v>
      </c>
      <c r="L20" s="303">
        <v>0</v>
      </c>
      <c r="M20" s="302">
        <f t="shared" si="1"/>
        <v>1.8204499999999998E-2</v>
      </c>
      <c r="N20" s="302">
        <f t="shared" si="2"/>
        <v>0</v>
      </c>
      <c r="O20" s="302">
        <f t="shared" si="3"/>
        <v>0</v>
      </c>
    </row>
    <row r="21" spans="2:17" s="294" customFormat="1" ht="21" customHeight="1">
      <c r="B21" s="292">
        <v>1</v>
      </c>
      <c r="C21" s="300" t="s">
        <v>515</v>
      </c>
      <c r="D21" s="307"/>
      <c r="E21" s="308"/>
      <c r="F21" s="309">
        <v>2269.8799999999997</v>
      </c>
      <c r="G21" s="309">
        <v>6.0567245370000009</v>
      </c>
      <c r="H21" s="310"/>
      <c r="I21" s="311">
        <f>F21+G21+H21</f>
        <v>2275.9367245369995</v>
      </c>
      <c r="J21" s="312">
        <v>1800.7900000000002</v>
      </c>
      <c r="K21" s="313">
        <v>34.585999999999949</v>
      </c>
      <c r="L21" s="314"/>
      <c r="M21" s="315">
        <f>J21+K21-L21</f>
        <v>1835.3760000000002</v>
      </c>
      <c r="N21" s="311">
        <f>F21-J21</f>
        <v>469.08999999999946</v>
      </c>
      <c r="O21" s="311">
        <f>I21-M21</f>
        <v>440.56072453699926</v>
      </c>
      <c r="P21" s="293"/>
    </row>
    <row r="22" spans="2:17" ht="16.5" thickBot="1">
      <c r="B22" s="253"/>
      <c r="C22" s="254" t="s">
        <v>139</v>
      </c>
      <c r="D22" s="254"/>
      <c r="E22" s="255"/>
      <c r="F22" s="256">
        <f>ROUND(SUM(F9:F20),2)</f>
        <v>2269.88</v>
      </c>
      <c r="G22" s="256">
        <f t="shared" ref="G22:O22" si="4">ROUND(SUM(G9:G20),2)</f>
        <v>6.06</v>
      </c>
      <c r="H22" s="256">
        <f t="shared" si="4"/>
        <v>0</v>
      </c>
      <c r="I22" s="256">
        <f t="shared" si="4"/>
        <v>2275.94</v>
      </c>
      <c r="J22" s="256">
        <f t="shared" si="4"/>
        <v>1800.79</v>
      </c>
      <c r="K22" s="256">
        <f>ROUND(SUM(K9:K20),2)</f>
        <v>34.590000000000003</v>
      </c>
      <c r="L22" s="256">
        <f t="shared" si="4"/>
        <v>0</v>
      </c>
      <c r="M22" s="256">
        <f t="shared" si="4"/>
        <v>1835.38</v>
      </c>
      <c r="N22" s="256">
        <f t="shared" si="4"/>
        <v>469.09</v>
      </c>
      <c r="O22" s="256">
        <f t="shared" si="4"/>
        <v>440.56</v>
      </c>
      <c r="P22" s="129"/>
    </row>
    <row r="23" spans="2:17" ht="9" customHeight="1" thickBot="1">
      <c r="E23" s="257"/>
    </row>
    <row r="24" spans="2:17" ht="15.75">
      <c r="B24" s="378" t="s">
        <v>474</v>
      </c>
      <c r="C24" s="379"/>
      <c r="D24" s="379"/>
      <c r="E24" s="379"/>
      <c r="F24" s="379"/>
      <c r="G24" s="379"/>
      <c r="H24" s="379"/>
      <c r="I24" s="379"/>
      <c r="J24" s="379"/>
      <c r="K24" s="379"/>
      <c r="L24" s="379"/>
      <c r="M24" s="379"/>
      <c r="N24" s="379"/>
      <c r="O24" s="380"/>
    </row>
    <row r="25" spans="2:17" ht="14.25" customHeight="1">
      <c r="B25" s="381" t="s">
        <v>2</v>
      </c>
      <c r="C25" s="383" t="s">
        <v>286</v>
      </c>
      <c r="D25" s="385" t="s">
        <v>275</v>
      </c>
      <c r="E25" s="385" t="s">
        <v>276</v>
      </c>
      <c r="F25" s="385" t="s">
        <v>277</v>
      </c>
      <c r="G25" s="385"/>
      <c r="H25" s="385"/>
      <c r="I25" s="385"/>
      <c r="J25" s="385" t="s">
        <v>278</v>
      </c>
      <c r="K25" s="385"/>
      <c r="L25" s="385"/>
      <c r="M25" s="385"/>
      <c r="N25" s="385" t="s">
        <v>279</v>
      </c>
      <c r="O25" s="387"/>
    </row>
    <row r="26" spans="2:17" ht="79.5" thickBot="1">
      <c r="B26" s="382"/>
      <c r="C26" s="384"/>
      <c r="D26" s="386"/>
      <c r="E26" s="386"/>
      <c r="F26" s="249" t="s">
        <v>280</v>
      </c>
      <c r="G26" s="249" t="s">
        <v>138</v>
      </c>
      <c r="H26" s="249" t="s">
        <v>281</v>
      </c>
      <c r="I26" s="249" t="s">
        <v>282</v>
      </c>
      <c r="J26" s="249" t="s">
        <v>283</v>
      </c>
      <c r="K26" s="249" t="s">
        <v>138</v>
      </c>
      <c r="L26" s="249" t="s">
        <v>284</v>
      </c>
      <c r="M26" s="249" t="s">
        <v>285</v>
      </c>
      <c r="N26" s="249" t="s">
        <v>280</v>
      </c>
      <c r="O26" s="250" t="s">
        <v>282</v>
      </c>
    </row>
    <row r="27" spans="2:17" ht="18">
      <c r="B27" s="316">
        <v>1</v>
      </c>
      <c r="C27" s="317" t="s">
        <v>501</v>
      </c>
      <c r="D27" s="316">
        <v>1000</v>
      </c>
      <c r="E27" s="316">
        <v>0</v>
      </c>
      <c r="F27" s="318">
        <f t="shared" ref="F27:F38" si="5">I9</f>
        <v>3.5194374000000002</v>
      </c>
      <c r="G27" s="319">
        <v>0</v>
      </c>
      <c r="H27" s="318">
        <v>0</v>
      </c>
      <c r="I27" s="318">
        <f>F27+G27-H27</f>
        <v>3.5194374000000002</v>
      </c>
      <c r="J27" s="318">
        <f t="shared" ref="J27:J38" si="6">M9</f>
        <v>0</v>
      </c>
      <c r="K27" s="319">
        <v>0</v>
      </c>
      <c r="L27" s="318"/>
      <c r="M27" s="318">
        <f t="shared" ref="M27:M38" si="7">J27+K27+L27</f>
        <v>0</v>
      </c>
      <c r="N27" s="318">
        <f>F27-J27</f>
        <v>3.5194374000000002</v>
      </c>
      <c r="O27" s="318">
        <f>I27-M27</f>
        <v>3.5194374000000002</v>
      </c>
      <c r="Q27" s="186"/>
    </row>
    <row r="28" spans="2:17" ht="18">
      <c r="B28" s="316">
        <v>2</v>
      </c>
      <c r="C28" s="317" t="s">
        <v>128</v>
      </c>
      <c r="D28" s="316">
        <v>1100</v>
      </c>
      <c r="E28" s="320">
        <v>3.3399999999999999E-2</v>
      </c>
      <c r="F28" s="318">
        <f t="shared" si="5"/>
        <v>92.475650603999995</v>
      </c>
      <c r="G28" s="321">
        <v>0</v>
      </c>
      <c r="H28" s="318">
        <v>0</v>
      </c>
      <c r="I28" s="318">
        <f t="shared" ref="I28:I38" si="8">F28+G28-H28</f>
        <v>92.475650603999995</v>
      </c>
      <c r="J28" s="318">
        <f t="shared" si="6"/>
        <v>83.208366498000004</v>
      </c>
      <c r="K28" s="321">
        <v>1.9719046E-2</v>
      </c>
      <c r="L28" s="318"/>
      <c r="M28" s="318">
        <f t="shared" si="7"/>
        <v>83.22808554400001</v>
      </c>
      <c r="N28" s="318">
        <f t="shared" ref="N28:N38" si="9">F28-J28</f>
        <v>9.2672841059999911</v>
      </c>
      <c r="O28" s="318">
        <f t="shared" ref="O28:O38" si="10">I28-M28</f>
        <v>9.2475650599999852</v>
      </c>
      <c r="Q28" s="186"/>
    </row>
    <row r="29" spans="2:17" ht="18">
      <c r="B29" s="316">
        <v>3</v>
      </c>
      <c r="C29" s="317" t="s">
        <v>509</v>
      </c>
      <c r="D29" s="316">
        <v>1200</v>
      </c>
      <c r="E29" s="320">
        <v>5.28E-2</v>
      </c>
      <c r="F29" s="318">
        <f t="shared" si="5"/>
        <v>69.157474140999994</v>
      </c>
      <c r="G29" s="321">
        <v>0</v>
      </c>
      <c r="H29" s="318">
        <v>0</v>
      </c>
      <c r="I29" s="318">
        <f t="shared" si="8"/>
        <v>69.157474140999994</v>
      </c>
      <c r="J29" s="318">
        <f t="shared" si="6"/>
        <v>28.020688938999996</v>
      </c>
      <c r="K29" s="321">
        <v>8.0210377879999992</v>
      </c>
      <c r="L29" s="318"/>
      <c r="M29" s="318">
        <f t="shared" si="7"/>
        <v>36.041726726999997</v>
      </c>
      <c r="N29" s="318">
        <f t="shared" si="9"/>
        <v>41.136785201999999</v>
      </c>
      <c r="O29" s="318">
        <f t="shared" si="10"/>
        <v>33.115747413999998</v>
      </c>
      <c r="Q29" s="186"/>
    </row>
    <row r="30" spans="2:17" ht="18">
      <c r="B30" s="316">
        <v>4</v>
      </c>
      <c r="C30" s="317" t="s">
        <v>127</v>
      </c>
      <c r="D30" s="316">
        <v>1300</v>
      </c>
      <c r="E30" s="320">
        <v>5.28E-2</v>
      </c>
      <c r="F30" s="318">
        <f t="shared" si="5"/>
        <v>1738.9482075539997</v>
      </c>
      <c r="G30" s="321">
        <v>0.03</v>
      </c>
      <c r="H30" s="318">
        <v>0</v>
      </c>
      <c r="I30" s="318">
        <f t="shared" si="8"/>
        <v>1738.9782075539997</v>
      </c>
      <c r="J30" s="318">
        <f t="shared" si="6"/>
        <v>1439.920232017</v>
      </c>
      <c r="K30" s="321">
        <f>3.694430581+1</f>
        <v>4.6944305810000007</v>
      </c>
      <c r="L30" s="318"/>
      <c r="M30" s="318">
        <f>J30+K30+L30</f>
        <v>1444.614662598</v>
      </c>
      <c r="N30" s="318">
        <f t="shared" si="9"/>
        <v>299.02797553699975</v>
      </c>
      <c r="O30" s="318">
        <f>I30-M30+0.01</f>
        <v>294.37354495599971</v>
      </c>
      <c r="Q30" s="186"/>
    </row>
    <row r="31" spans="2:17" ht="18">
      <c r="B31" s="316">
        <v>5</v>
      </c>
      <c r="C31" s="317" t="s">
        <v>503</v>
      </c>
      <c r="D31" s="316">
        <v>1400</v>
      </c>
      <c r="E31" s="320">
        <v>5.28E-2</v>
      </c>
      <c r="F31" s="318">
        <f t="shared" si="5"/>
        <v>51.957960874000001</v>
      </c>
      <c r="G31" s="321">
        <v>0</v>
      </c>
      <c r="H31" s="318">
        <v>0</v>
      </c>
      <c r="I31" s="318">
        <f t="shared" si="8"/>
        <v>51.957960874000001</v>
      </c>
      <c r="J31" s="318">
        <f t="shared" si="6"/>
        <v>49.209190887000005</v>
      </c>
      <c r="K31" s="321">
        <v>2.748769996</v>
      </c>
      <c r="L31" s="318"/>
      <c r="M31" s="318">
        <f t="shared" si="7"/>
        <v>51.957960883000005</v>
      </c>
      <c r="N31" s="318">
        <f t="shared" si="9"/>
        <v>2.7487699869999958</v>
      </c>
      <c r="O31" s="318">
        <f t="shared" si="10"/>
        <v>-9.0000042973770178E-9</v>
      </c>
      <c r="Q31" s="186"/>
    </row>
    <row r="32" spans="2:17" ht="18">
      <c r="B32" s="316">
        <v>6</v>
      </c>
      <c r="C32" s="317" t="s">
        <v>504</v>
      </c>
      <c r="D32" s="316">
        <v>1500</v>
      </c>
      <c r="E32" s="320">
        <v>5.28E-2</v>
      </c>
      <c r="F32" s="318">
        <f t="shared" si="5"/>
        <v>195.84311880000001</v>
      </c>
      <c r="G32" s="321">
        <v>0</v>
      </c>
      <c r="H32" s="318">
        <v>0</v>
      </c>
      <c r="I32" s="318">
        <f t="shared" si="8"/>
        <v>195.84311880000001</v>
      </c>
      <c r="J32" s="318">
        <f t="shared" si="6"/>
        <v>158.31004250199999</v>
      </c>
      <c r="K32" s="321">
        <v>7.9487644189999997</v>
      </c>
      <c r="L32" s="318"/>
      <c r="M32" s="318">
        <f t="shared" si="7"/>
        <v>166.25880692099997</v>
      </c>
      <c r="N32" s="318">
        <f t="shared" si="9"/>
        <v>37.533076298000026</v>
      </c>
      <c r="O32" s="318">
        <f t="shared" si="10"/>
        <v>29.58431187900004</v>
      </c>
      <c r="Q32" s="186"/>
    </row>
    <row r="33" spans="2:17" ht="18">
      <c r="B33" s="316">
        <v>7</v>
      </c>
      <c r="C33" s="317" t="s">
        <v>505</v>
      </c>
      <c r="D33" s="316">
        <v>1600</v>
      </c>
      <c r="E33" s="320">
        <v>3.3399999999999999E-2</v>
      </c>
      <c r="F33" s="318">
        <f t="shared" si="5"/>
        <v>117.54929313100001</v>
      </c>
      <c r="G33" s="321">
        <v>0</v>
      </c>
      <c r="H33" s="318">
        <v>0</v>
      </c>
      <c r="I33" s="318">
        <f t="shared" si="8"/>
        <v>117.54929313100001</v>
      </c>
      <c r="J33" s="318">
        <f t="shared" si="6"/>
        <v>72.334775132000004</v>
      </c>
      <c r="K33" s="321">
        <f>11.883369622-0.1</f>
        <v>11.783369622</v>
      </c>
      <c r="L33" s="318"/>
      <c r="M33" s="318">
        <f t="shared" si="7"/>
        <v>84.118144753999999</v>
      </c>
      <c r="N33" s="318">
        <f t="shared" si="9"/>
        <v>45.214517999000009</v>
      </c>
      <c r="O33" s="318">
        <f t="shared" si="10"/>
        <v>33.431148377000014</v>
      </c>
      <c r="Q33" s="186"/>
    </row>
    <row r="34" spans="2:17" ht="18">
      <c r="B34" s="316">
        <v>8</v>
      </c>
      <c r="C34" s="322" t="s">
        <v>132</v>
      </c>
      <c r="D34" s="316">
        <v>1700</v>
      </c>
      <c r="E34" s="323">
        <v>9.5000000000000001E-2</v>
      </c>
      <c r="F34" s="318">
        <f t="shared" si="5"/>
        <v>0.99960432799999999</v>
      </c>
      <c r="G34" s="321">
        <v>0</v>
      </c>
      <c r="H34" s="318">
        <v>0</v>
      </c>
      <c r="I34" s="318">
        <f t="shared" si="8"/>
        <v>0.99960432799999999</v>
      </c>
      <c r="J34" s="318">
        <f t="shared" si="6"/>
        <v>0.24965590800000001</v>
      </c>
      <c r="K34" s="321">
        <v>6.8842700000000007E-2</v>
      </c>
      <c r="L34" s="318"/>
      <c r="M34" s="318">
        <f t="shared" si="7"/>
        <v>0.31849860800000002</v>
      </c>
      <c r="N34" s="318">
        <f t="shared" si="9"/>
        <v>0.74994841999999995</v>
      </c>
      <c r="O34" s="318">
        <f t="shared" si="10"/>
        <v>0.68110571999999991</v>
      </c>
      <c r="Q34" s="186"/>
    </row>
    <row r="35" spans="2:17" ht="18">
      <c r="B35" s="316">
        <v>9</v>
      </c>
      <c r="C35" s="317" t="s">
        <v>506</v>
      </c>
      <c r="D35" s="316">
        <v>1800</v>
      </c>
      <c r="E35" s="320">
        <v>6.3299999999999995E-2</v>
      </c>
      <c r="F35" s="318">
        <f t="shared" si="5"/>
        <v>1.156073476</v>
      </c>
      <c r="G35" s="321">
        <v>0.06</v>
      </c>
      <c r="H35" s="318">
        <v>0</v>
      </c>
      <c r="I35" s="318">
        <f t="shared" si="8"/>
        <v>1.216073476</v>
      </c>
      <c r="J35" s="318">
        <f t="shared" si="6"/>
        <v>0.82476169999999993</v>
      </c>
      <c r="K35" s="321">
        <v>3.5856088000000001E-2</v>
      </c>
      <c r="L35" s="318"/>
      <c r="M35" s="318">
        <f t="shared" si="7"/>
        <v>0.86061778799999988</v>
      </c>
      <c r="N35" s="318">
        <f t="shared" si="9"/>
        <v>0.33131177600000006</v>
      </c>
      <c r="O35" s="318">
        <f t="shared" si="10"/>
        <v>0.35545568800000016</v>
      </c>
      <c r="Q35" s="186"/>
    </row>
    <row r="36" spans="2:17" ht="18">
      <c r="B36" s="316">
        <v>10</v>
      </c>
      <c r="C36" s="317" t="s">
        <v>507</v>
      </c>
      <c r="D36" s="316">
        <v>1900</v>
      </c>
      <c r="E36" s="324">
        <v>0.15</v>
      </c>
      <c r="F36" s="318">
        <f t="shared" si="5"/>
        <v>2.9977222859999997</v>
      </c>
      <c r="G36" s="321">
        <v>7.0000000000000007E-2</v>
      </c>
      <c r="H36" s="318">
        <v>0</v>
      </c>
      <c r="I36" s="318">
        <f t="shared" si="8"/>
        <v>3.0677222859999995</v>
      </c>
      <c r="J36" s="318">
        <f t="shared" si="6"/>
        <v>2.5052402000000003</v>
      </c>
      <c r="K36" s="321">
        <v>0.111443549</v>
      </c>
      <c r="L36" s="318"/>
      <c r="M36" s="318">
        <f t="shared" si="7"/>
        <v>2.6166837490000003</v>
      </c>
      <c r="N36" s="318">
        <f t="shared" si="9"/>
        <v>0.49248208599999943</v>
      </c>
      <c r="O36" s="318">
        <f t="shared" si="10"/>
        <v>0.45103853699999918</v>
      </c>
      <c r="Q36" s="186"/>
    </row>
    <row r="37" spans="2:17" ht="18">
      <c r="B37" s="316">
        <v>11</v>
      </c>
      <c r="C37" s="317" t="s">
        <v>134</v>
      </c>
      <c r="D37" s="316">
        <v>2100</v>
      </c>
      <c r="E37" s="320">
        <v>6.3299999999999995E-2</v>
      </c>
      <c r="F37" s="318">
        <f t="shared" si="5"/>
        <v>1.3158722269999998</v>
      </c>
      <c r="G37" s="321">
        <v>0.01</v>
      </c>
      <c r="H37" s="318">
        <v>0</v>
      </c>
      <c r="I37" s="318">
        <f t="shared" si="8"/>
        <v>1.3258722269999998</v>
      </c>
      <c r="J37" s="318">
        <f t="shared" si="6"/>
        <v>0.774282213</v>
      </c>
      <c r="K37" s="321">
        <v>5.6992766E-2</v>
      </c>
      <c r="L37" s="318"/>
      <c r="M37" s="318">
        <f t="shared" si="7"/>
        <v>0.83127497900000002</v>
      </c>
      <c r="N37" s="318">
        <f t="shared" si="9"/>
        <v>0.54159001399999984</v>
      </c>
      <c r="O37" s="318">
        <f t="shared" si="10"/>
        <v>0.49459724799999982</v>
      </c>
      <c r="Q37" s="186"/>
    </row>
    <row r="38" spans="2:17" ht="18.75" thickBot="1">
      <c r="B38" s="316">
        <v>12</v>
      </c>
      <c r="C38" s="317" t="s">
        <v>508</v>
      </c>
      <c r="D38" s="316">
        <v>2200</v>
      </c>
      <c r="E38" s="320">
        <v>0.15</v>
      </c>
      <c r="F38" s="318">
        <f t="shared" si="5"/>
        <v>1.8204499999999998E-2</v>
      </c>
      <c r="G38" s="321">
        <v>0</v>
      </c>
      <c r="H38" s="318">
        <v>0</v>
      </c>
      <c r="I38" s="318">
        <f t="shared" si="8"/>
        <v>1.8204499999999998E-2</v>
      </c>
      <c r="J38" s="318">
        <f t="shared" si="6"/>
        <v>1.8204499999999998E-2</v>
      </c>
      <c r="K38" s="321">
        <v>0</v>
      </c>
      <c r="L38" s="325"/>
      <c r="M38" s="318">
        <f t="shared" si="7"/>
        <v>1.8204499999999998E-2</v>
      </c>
      <c r="N38" s="318">
        <f t="shared" si="9"/>
        <v>0</v>
      </c>
      <c r="O38" s="318">
        <f t="shared" si="10"/>
        <v>0</v>
      </c>
      <c r="Q38" s="186"/>
    </row>
    <row r="39" spans="2:17" ht="18">
      <c r="B39" s="326"/>
      <c r="C39" s="327" t="s">
        <v>139</v>
      </c>
      <c r="D39" s="328"/>
      <c r="E39" s="329">
        <v>1.5594955538954932E-2</v>
      </c>
      <c r="F39" s="330">
        <v>2275.94</v>
      </c>
      <c r="G39" s="331">
        <v>0.17</v>
      </c>
      <c r="H39" s="332">
        <v>0</v>
      </c>
      <c r="I39" s="330">
        <v>2276.11</v>
      </c>
      <c r="J39" s="333">
        <v>1835.38</v>
      </c>
      <c r="K39" s="334">
        <v>35.494508680549899</v>
      </c>
      <c r="L39" s="335"/>
      <c r="M39" s="336">
        <v>1870.87450868055</v>
      </c>
      <c r="N39" s="337">
        <v>440.55999999999995</v>
      </c>
      <c r="O39" s="337">
        <v>405.23549131945015</v>
      </c>
      <c r="P39" s="129"/>
    </row>
    <row r="40" spans="2:17" ht="18.75" thickBot="1">
      <c r="B40" s="338"/>
      <c r="C40" s="339" t="s">
        <v>139</v>
      </c>
      <c r="D40" s="339"/>
      <c r="E40" s="340">
        <f>IFERROR((K40-L40)/AVERAGE(F40,I40),0)</f>
        <v>1.5592974593864304E-2</v>
      </c>
      <c r="F40" s="341">
        <f>ROUND(SUM(F27:F38),2)</f>
        <v>2275.94</v>
      </c>
      <c r="G40" s="341">
        <f t="shared" ref="G40:N40" si="11">ROUND(SUM(G27:G38),2)</f>
        <v>0.17</v>
      </c>
      <c r="H40" s="341">
        <f t="shared" si="11"/>
        <v>0</v>
      </c>
      <c r="I40" s="341">
        <f t="shared" si="11"/>
        <v>2276.11</v>
      </c>
      <c r="J40" s="341">
        <f t="shared" si="11"/>
        <v>1835.38</v>
      </c>
      <c r="K40" s="341">
        <f t="shared" si="11"/>
        <v>35.49</v>
      </c>
      <c r="L40" s="341">
        <f t="shared" si="11"/>
        <v>0</v>
      </c>
      <c r="M40" s="341">
        <f>J40+K40</f>
        <v>1870.8700000000001</v>
      </c>
      <c r="N40" s="341">
        <f t="shared" si="11"/>
        <v>440.56</v>
      </c>
      <c r="O40" s="341">
        <f>I40-M40</f>
        <v>405.24</v>
      </c>
      <c r="P40" s="129"/>
    </row>
    <row r="41" spans="2:17" ht="18.75" thickBot="1">
      <c r="B41" s="342"/>
      <c r="C41" s="342"/>
      <c r="D41" s="342"/>
      <c r="E41" s="342"/>
      <c r="F41" s="343"/>
      <c r="G41" s="342"/>
      <c r="H41" s="342"/>
      <c r="I41" s="342"/>
      <c r="J41" s="342"/>
      <c r="K41" s="342"/>
      <c r="L41" s="342"/>
      <c r="M41" s="343"/>
      <c r="N41" s="342"/>
      <c r="O41" s="342"/>
    </row>
    <row r="42" spans="2:17" ht="15.75">
      <c r="B42" s="378" t="s">
        <v>475</v>
      </c>
      <c r="C42" s="379"/>
      <c r="D42" s="379"/>
      <c r="E42" s="379"/>
      <c r="F42" s="379"/>
      <c r="G42" s="379"/>
      <c r="H42" s="379"/>
      <c r="I42" s="379"/>
      <c r="J42" s="379"/>
      <c r="K42" s="379"/>
      <c r="L42" s="379"/>
      <c r="M42" s="379"/>
      <c r="N42" s="379"/>
      <c r="O42" s="380"/>
    </row>
    <row r="43" spans="2:17" ht="15.75">
      <c r="B43" s="381" t="s">
        <v>2</v>
      </c>
      <c r="C43" s="383" t="s">
        <v>286</v>
      </c>
      <c r="D43" s="385" t="s">
        <v>275</v>
      </c>
      <c r="E43" s="385" t="s">
        <v>276</v>
      </c>
      <c r="F43" s="385" t="s">
        <v>277</v>
      </c>
      <c r="G43" s="385"/>
      <c r="H43" s="385"/>
      <c r="I43" s="385"/>
      <c r="J43" s="385" t="s">
        <v>278</v>
      </c>
      <c r="K43" s="385"/>
      <c r="L43" s="385"/>
      <c r="M43" s="385"/>
      <c r="N43" s="385" t="s">
        <v>279</v>
      </c>
      <c r="O43" s="387"/>
    </row>
    <row r="44" spans="2:17" ht="79.5" thickBot="1">
      <c r="B44" s="382"/>
      <c r="C44" s="384"/>
      <c r="D44" s="386"/>
      <c r="E44" s="386"/>
      <c r="F44" s="249" t="s">
        <v>280</v>
      </c>
      <c r="G44" s="249" t="s">
        <v>138</v>
      </c>
      <c r="H44" s="249" t="s">
        <v>281</v>
      </c>
      <c r="I44" s="249" t="s">
        <v>282</v>
      </c>
      <c r="J44" s="249" t="s">
        <v>283</v>
      </c>
      <c r="K44" s="249" t="s">
        <v>138</v>
      </c>
      <c r="L44" s="249" t="s">
        <v>284</v>
      </c>
      <c r="M44" s="249" t="s">
        <v>285</v>
      </c>
      <c r="N44" s="249" t="s">
        <v>280</v>
      </c>
      <c r="O44" s="250" t="s">
        <v>282</v>
      </c>
    </row>
    <row r="45" spans="2:17" ht="24.75" customHeight="1" thickBot="1">
      <c r="B45" s="270"/>
      <c r="C45" s="259"/>
      <c r="D45" s="271"/>
      <c r="E45" s="272"/>
      <c r="F45" s="262"/>
      <c r="G45" s="273"/>
      <c r="H45" s="274"/>
      <c r="I45" s="262"/>
      <c r="J45" s="265"/>
      <c r="K45" s="275"/>
      <c r="L45" s="276"/>
      <c r="M45" s="268"/>
      <c r="N45" s="269"/>
      <c r="O45" s="269"/>
    </row>
    <row r="46" spans="2:17" ht="24.75" customHeight="1" thickBot="1">
      <c r="B46" s="258"/>
      <c r="C46" s="277"/>
      <c r="D46" s="260"/>
      <c r="E46" s="261"/>
      <c r="F46" s="278"/>
      <c r="G46" s="263"/>
      <c r="H46" s="264"/>
      <c r="I46" s="278"/>
      <c r="J46" s="265"/>
      <c r="K46" s="266"/>
      <c r="L46" s="267"/>
      <c r="M46" s="279"/>
      <c r="N46" s="278"/>
      <c r="O46" s="278"/>
    </row>
    <row r="47" spans="2:17" ht="24.75" customHeight="1" thickBot="1">
      <c r="B47" s="258"/>
      <c r="C47" s="259"/>
      <c r="D47" s="260"/>
      <c r="E47" s="261"/>
      <c r="F47" s="278"/>
      <c r="G47" s="263"/>
      <c r="H47" s="264"/>
      <c r="I47" s="278"/>
      <c r="J47" s="265"/>
      <c r="K47" s="266"/>
      <c r="L47" s="267"/>
      <c r="M47" s="279"/>
      <c r="N47" s="278"/>
      <c r="O47" s="278"/>
    </row>
    <row r="48" spans="2:17" ht="24.75" customHeight="1">
      <c r="B48" s="258"/>
      <c r="C48" s="181"/>
      <c r="D48" s="260"/>
      <c r="E48" s="280"/>
      <c r="F48" s="278"/>
      <c r="G48" s="281">
        <f>[4]F3.1!H30</f>
        <v>38.239999999999995</v>
      </c>
      <c r="H48" s="282">
        <v>0</v>
      </c>
      <c r="I48" s="278"/>
      <c r="J48" s="265"/>
      <c r="K48" s="266">
        <v>35.52510868054992</v>
      </c>
      <c r="L48" s="267"/>
      <c r="M48" s="279"/>
      <c r="N48" s="278"/>
      <c r="O48" s="278"/>
    </row>
    <row r="49" spans="2:15" ht="24.75" customHeight="1" thickBot="1">
      <c r="B49" s="253"/>
      <c r="C49" s="254" t="s">
        <v>139</v>
      </c>
      <c r="D49" s="254"/>
      <c r="E49" s="255">
        <f>IFERROR((K49-L49)/AVERAGE(F49,I49),0)</f>
        <v>1.5477799035630381E-2</v>
      </c>
      <c r="F49" s="256">
        <f>I40</f>
        <v>2276.11</v>
      </c>
      <c r="G49" s="256">
        <f>G48</f>
        <v>38.239999999999995</v>
      </c>
      <c r="H49" s="256">
        <v>0</v>
      </c>
      <c r="I49" s="256">
        <f>F49+G49-H43</f>
        <v>2314.35</v>
      </c>
      <c r="J49" s="256">
        <f>M40</f>
        <v>1870.8700000000001</v>
      </c>
      <c r="K49" s="256">
        <f>SUM(K46:K48)</f>
        <v>35.52510868054992</v>
      </c>
      <c r="L49" s="256">
        <f>SUM(L46:L48)</f>
        <v>0</v>
      </c>
      <c r="M49" s="256">
        <f>J49+K49-L49</f>
        <v>1906.39510868055</v>
      </c>
      <c r="N49" s="256">
        <f>F49-J49</f>
        <v>405.24</v>
      </c>
      <c r="O49" s="256">
        <f>I49-M49</f>
        <v>407.95489131944987</v>
      </c>
    </row>
    <row r="50" spans="2:15" ht="24.75" customHeight="1" thickBot="1"/>
    <row r="51" spans="2:15" ht="24.75" customHeight="1">
      <c r="B51" s="378" t="s">
        <v>476</v>
      </c>
      <c r="C51" s="379"/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80"/>
    </row>
    <row r="52" spans="2:15" ht="24.75" customHeight="1">
      <c r="B52" s="381" t="s">
        <v>2</v>
      </c>
      <c r="C52" s="383" t="s">
        <v>286</v>
      </c>
      <c r="D52" s="385" t="s">
        <v>275</v>
      </c>
      <c r="E52" s="385" t="s">
        <v>276</v>
      </c>
      <c r="F52" s="385" t="s">
        <v>277</v>
      </c>
      <c r="G52" s="385"/>
      <c r="H52" s="385"/>
      <c r="I52" s="385"/>
      <c r="J52" s="385" t="s">
        <v>278</v>
      </c>
      <c r="K52" s="385"/>
      <c r="L52" s="385"/>
      <c r="M52" s="385"/>
      <c r="N52" s="385" t="s">
        <v>279</v>
      </c>
      <c r="O52" s="387"/>
    </row>
    <row r="53" spans="2:15" ht="36.75" customHeight="1" thickBot="1">
      <c r="B53" s="382"/>
      <c r="C53" s="384"/>
      <c r="D53" s="386"/>
      <c r="E53" s="386"/>
      <c r="F53" s="295" t="s">
        <v>280</v>
      </c>
      <c r="G53" s="295" t="s">
        <v>138</v>
      </c>
      <c r="H53" s="295" t="s">
        <v>281</v>
      </c>
      <c r="I53" s="295" t="s">
        <v>282</v>
      </c>
      <c r="J53" s="295" t="s">
        <v>283</v>
      </c>
      <c r="K53" s="295" t="s">
        <v>138</v>
      </c>
      <c r="L53" s="295" t="s">
        <v>284</v>
      </c>
      <c r="M53" s="295" t="s">
        <v>285</v>
      </c>
      <c r="N53" s="295" t="s">
        <v>280</v>
      </c>
      <c r="O53" s="250" t="s">
        <v>282</v>
      </c>
    </row>
    <row r="54" spans="2:15" ht="24.75" customHeight="1" thickBot="1">
      <c r="B54" s="270"/>
      <c r="C54" s="259"/>
      <c r="D54" s="271"/>
      <c r="E54" s="272"/>
      <c r="F54" s="262"/>
      <c r="G54" s="273"/>
      <c r="H54" s="274"/>
      <c r="I54" s="262"/>
      <c r="J54" s="265"/>
      <c r="K54" s="275"/>
      <c r="L54" s="276"/>
      <c r="M54" s="268"/>
      <c r="N54" s="269"/>
      <c r="O54" s="269"/>
    </row>
    <row r="55" spans="2:15" ht="24.75" customHeight="1" thickBot="1">
      <c r="B55" s="258"/>
      <c r="C55" s="277"/>
      <c r="D55" s="260"/>
      <c r="E55" s="261"/>
      <c r="F55" s="278"/>
      <c r="G55" s="263"/>
      <c r="H55" s="264"/>
      <c r="I55" s="278"/>
      <c r="J55" s="265"/>
      <c r="K55" s="266"/>
      <c r="L55" s="267"/>
      <c r="M55" s="279"/>
      <c r="N55" s="278"/>
      <c r="O55" s="278"/>
    </row>
    <row r="56" spans="2:15" ht="24.75" customHeight="1">
      <c r="B56" s="258"/>
      <c r="C56" s="259"/>
      <c r="D56" s="260"/>
      <c r="E56" s="261"/>
      <c r="F56" s="278"/>
      <c r="G56" s="263">
        <f>[4]F3.1!H36</f>
        <v>38.5</v>
      </c>
      <c r="H56" s="264"/>
      <c r="I56" s="278"/>
      <c r="J56" s="265"/>
      <c r="K56" s="266">
        <v>44.129108680549848</v>
      </c>
      <c r="L56" s="267"/>
      <c r="M56" s="279"/>
      <c r="N56" s="278"/>
      <c r="O56" s="278"/>
    </row>
    <row r="57" spans="2:15" ht="24.75" customHeight="1" thickBot="1">
      <c r="B57" s="253"/>
      <c r="C57" s="254" t="s">
        <v>139</v>
      </c>
      <c r="D57" s="254"/>
      <c r="E57" s="255">
        <f>IFERROR((K57-L57)/AVERAGE(F57,I57),0)</f>
        <v>1.8910313970067642E-2</v>
      </c>
      <c r="F57" s="256">
        <f>I49</f>
        <v>2314.35</v>
      </c>
      <c r="G57" s="256">
        <f>SUM(G54:G56)</f>
        <v>38.5</v>
      </c>
      <c r="H57" s="256">
        <f>SUM(H54:H56)</f>
        <v>0</v>
      </c>
      <c r="I57" s="256">
        <f>F57+G57-H51</f>
        <v>2352.85</v>
      </c>
      <c r="J57" s="256">
        <f>M49</f>
        <v>1906.39510868055</v>
      </c>
      <c r="K57" s="256">
        <f>SUM(K54:K56)</f>
        <v>44.129108680549848</v>
      </c>
      <c r="L57" s="256">
        <f>SUM(L54:L56)</f>
        <v>0</v>
      </c>
      <c r="M57" s="256">
        <f>J57+K57-L57</f>
        <v>1950.5242173611</v>
      </c>
      <c r="N57" s="256">
        <f>F57-J57</f>
        <v>407.95489131944987</v>
      </c>
      <c r="O57" s="256">
        <f>I57-M57</f>
        <v>402.32578263889991</v>
      </c>
    </row>
    <row r="58" spans="2:15" ht="24.75" customHeight="1" thickBot="1"/>
    <row r="59" spans="2:15" ht="24.75" customHeight="1">
      <c r="B59" s="378" t="s">
        <v>477</v>
      </c>
      <c r="C59" s="379"/>
      <c r="D59" s="379"/>
      <c r="E59" s="379"/>
      <c r="F59" s="379"/>
      <c r="G59" s="379"/>
      <c r="H59" s="379"/>
      <c r="I59" s="379"/>
      <c r="J59" s="379"/>
      <c r="K59" s="379"/>
      <c r="L59" s="379"/>
      <c r="M59" s="379"/>
      <c r="N59" s="379"/>
      <c r="O59" s="380"/>
    </row>
    <row r="60" spans="2:15" ht="24.75" customHeight="1">
      <c r="B60" s="381" t="s">
        <v>2</v>
      </c>
      <c r="C60" s="383" t="s">
        <v>286</v>
      </c>
      <c r="D60" s="385" t="s">
        <v>275</v>
      </c>
      <c r="E60" s="385" t="s">
        <v>276</v>
      </c>
      <c r="F60" s="385" t="s">
        <v>277</v>
      </c>
      <c r="G60" s="385"/>
      <c r="H60" s="385"/>
      <c r="I60" s="385"/>
      <c r="J60" s="385" t="s">
        <v>278</v>
      </c>
      <c r="K60" s="385"/>
      <c r="L60" s="385"/>
      <c r="M60" s="385"/>
      <c r="N60" s="385" t="s">
        <v>279</v>
      </c>
      <c r="O60" s="387"/>
    </row>
    <row r="61" spans="2:15" ht="24.75" customHeight="1" thickBot="1">
      <c r="B61" s="382"/>
      <c r="C61" s="384"/>
      <c r="D61" s="386"/>
      <c r="E61" s="386"/>
      <c r="F61" s="295" t="s">
        <v>280</v>
      </c>
      <c r="G61" s="295" t="s">
        <v>138</v>
      </c>
      <c r="H61" s="295" t="s">
        <v>281</v>
      </c>
      <c r="I61" s="295" t="s">
        <v>282</v>
      </c>
      <c r="J61" s="295" t="s">
        <v>283</v>
      </c>
      <c r="K61" s="295" t="s">
        <v>138</v>
      </c>
      <c r="L61" s="295" t="s">
        <v>284</v>
      </c>
      <c r="M61" s="295" t="s">
        <v>285</v>
      </c>
      <c r="N61" s="295" t="s">
        <v>280</v>
      </c>
      <c r="O61" s="250" t="s">
        <v>282</v>
      </c>
    </row>
    <row r="62" spans="2:15" ht="24.75" customHeight="1" thickBot="1">
      <c r="B62" s="270"/>
      <c r="C62" s="259"/>
      <c r="D62" s="271"/>
      <c r="E62" s="272"/>
      <c r="F62" s="262"/>
      <c r="G62" s="273"/>
      <c r="H62" s="274"/>
      <c r="I62" s="262"/>
      <c r="J62" s="265"/>
      <c r="K62" s="275"/>
      <c r="L62" s="276"/>
      <c r="M62" s="268"/>
      <c r="N62" s="269"/>
      <c r="O62" s="269"/>
    </row>
    <row r="63" spans="2:15" ht="24.75" customHeight="1" thickBot="1">
      <c r="B63" s="258"/>
      <c r="C63" s="277"/>
      <c r="D63" s="260"/>
      <c r="E63" s="261"/>
      <c r="F63" s="278"/>
      <c r="G63" s="263"/>
      <c r="H63" s="264"/>
      <c r="I63" s="278"/>
      <c r="J63" s="265"/>
      <c r="K63" s="266"/>
      <c r="L63" s="267"/>
      <c r="M63" s="279"/>
      <c r="N63" s="278"/>
      <c r="O63" s="278"/>
    </row>
    <row r="64" spans="2:15" ht="24.75" customHeight="1" thickBot="1">
      <c r="B64" s="258"/>
      <c r="C64" s="259"/>
      <c r="D64" s="260"/>
      <c r="E64" s="261"/>
      <c r="F64" s="278"/>
      <c r="G64" s="263"/>
      <c r="H64" s="264"/>
      <c r="I64" s="278"/>
      <c r="J64" s="265"/>
      <c r="K64" s="266"/>
      <c r="L64" s="267"/>
      <c r="M64" s="279"/>
      <c r="N64" s="278"/>
      <c r="O64" s="278"/>
    </row>
    <row r="65" spans="2:15" ht="24.75" customHeight="1">
      <c r="B65" s="258"/>
      <c r="C65" s="181"/>
      <c r="D65" s="260"/>
      <c r="E65" s="280"/>
      <c r="F65" s="278"/>
      <c r="G65" s="263">
        <f>'F3'!K11</f>
        <v>30</v>
      </c>
      <c r="H65" s="282"/>
      <c r="I65" s="278"/>
      <c r="J65" s="265"/>
      <c r="K65" s="266">
        <v>55.679108680549838</v>
      </c>
      <c r="L65" s="267"/>
      <c r="M65" s="279"/>
      <c r="N65" s="278"/>
      <c r="O65" s="278"/>
    </row>
    <row r="66" spans="2:15" ht="24.75" customHeight="1" thickBot="1">
      <c r="B66" s="253"/>
      <c r="C66" s="254" t="s">
        <v>139</v>
      </c>
      <c r="D66" s="254"/>
      <c r="E66" s="255">
        <f>IFERROR((K66-L66)/AVERAGE(F66,I66),0)</f>
        <v>2.3514626636209998E-2</v>
      </c>
      <c r="F66" s="256">
        <f>I57</f>
        <v>2352.85</v>
      </c>
      <c r="G66" s="256">
        <f>SUM(G63:G65)</f>
        <v>30</v>
      </c>
      <c r="H66" s="256">
        <f>SUM(H63:H65)</f>
        <v>0</v>
      </c>
      <c r="I66" s="256">
        <f>F66+G66-H60</f>
        <v>2382.85</v>
      </c>
      <c r="J66" s="256">
        <f>M57</f>
        <v>1950.5242173611</v>
      </c>
      <c r="K66" s="256">
        <f>SUM(K63:K65)</f>
        <v>55.679108680549838</v>
      </c>
      <c r="L66" s="256">
        <f>SUM(L63:L65)</f>
        <v>0</v>
      </c>
      <c r="M66" s="256">
        <f>J66+K66-L66</f>
        <v>2006.2033260416499</v>
      </c>
      <c r="N66" s="256">
        <f>F66-J66</f>
        <v>402.32578263889991</v>
      </c>
      <c r="O66" s="256">
        <f>I66-M66</f>
        <v>376.64667395834999</v>
      </c>
    </row>
    <row r="67" spans="2:15" ht="15.75" thickBot="1"/>
    <row r="68" spans="2:15" ht="15.75">
      <c r="B68" s="378" t="s">
        <v>478</v>
      </c>
      <c r="C68" s="379"/>
      <c r="D68" s="379"/>
      <c r="E68" s="379"/>
      <c r="F68" s="379"/>
      <c r="G68" s="379"/>
      <c r="H68" s="379"/>
      <c r="I68" s="379"/>
      <c r="J68" s="379"/>
      <c r="K68" s="379"/>
      <c r="L68" s="379"/>
      <c r="M68" s="379"/>
      <c r="N68" s="379"/>
      <c r="O68" s="380"/>
    </row>
    <row r="69" spans="2:15" ht="15.75">
      <c r="B69" s="381" t="s">
        <v>2</v>
      </c>
      <c r="C69" s="383" t="s">
        <v>286</v>
      </c>
      <c r="D69" s="385" t="s">
        <v>275</v>
      </c>
      <c r="E69" s="385" t="s">
        <v>276</v>
      </c>
      <c r="F69" s="385" t="s">
        <v>277</v>
      </c>
      <c r="G69" s="385"/>
      <c r="H69" s="385"/>
      <c r="I69" s="385"/>
      <c r="J69" s="385" t="s">
        <v>278</v>
      </c>
      <c r="K69" s="385"/>
      <c r="L69" s="385"/>
      <c r="M69" s="385"/>
      <c r="N69" s="385" t="s">
        <v>279</v>
      </c>
      <c r="O69" s="387"/>
    </row>
    <row r="70" spans="2:15" ht="79.5" thickBot="1">
      <c r="B70" s="382"/>
      <c r="C70" s="384"/>
      <c r="D70" s="386"/>
      <c r="E70" s="386"/>
      <c r="F70" s="249" t="s">
        <v>280</v>
      </c>
      <c r="G70" s="249" t="s">
        <v>138</v>
      </c>
      <c r="H70" s="249" t="s">
        <v>281</v>
      </c>
      <c r="I70" s="249" t="s">
        <v>282</v>
      </c>
      <c r="J70" s="249" t="s">
        <v>283</v>
      </c>
      <c r="K70" s="249" t="s">
        <v>138</v>
      </c>
      <c r="L70" s="249" t="s">
        <v>284</v>
      </c>
      <c r="M70" s="249" t="s">
        <v>285</v>
      </c>
      <c r="N70" s="249" t="s">
        <v>280</v>
      </c>
      <c r="O70" s="250" t="s">
        <v>282</v>
      </c>
    </row>
    <row r="71" spans="2:15" ht="16.5" thickBot="1">
      <c r="B71" s="270"/>
      <c r="C71" s="259"/>
      <c r="D71" s="271"/>
      <c r="E71" s="272"/>
      <c r="F71" s="262"/>
      <c r="G71" s="273"/>
      <c r="H71" s="274"/>
      <c r="I71" s="262"/>
      <c r="J71" s="265"/>
      <c r="K71" s="275"/>
      <c r="L71" s="276"/>
      <c r="M71" s="268"/>
      <c r="N71" s="269"/>
      <c r="O71" s="269"/>
    </row>
    <row r="72" spans="2:15" ht="16.5" thickBot="1">
      <c r="B72" s="258"/>
      <c r="C72" s="277"/>
      <c r="D72" s="260"/>
      <c r="E72" s="261"/>
      <c r="F72" s="278"/>
      <c r="G72" s="263"/>
      <c r="H72" s="264"/>
      <c r="I72" s="278"/>
      <c r="J72" s="265"/>
      <c r="K72" s="266"/>
      <c r="L72" s="267"/>
      <c r="M72" s="279"/>
      <c r="N72" s="278"/>
      <c r="O72" s="278"/>
    </row>
    <row r="73" spans="2:15" ht="16.5" thickBot="1">
      <c r="B73" s="258"/>
      <c r="C73" s="259"/>
      <c r="D73" s="260"/>
      <c r="E73" s="261"/>
      <c r="F73" s="278"/>
      <c r="G73" s="263"/>
      <c r="H73" s="264"/>
      <c r="I73" s="278"/>
      <c r="J73" s="265"/>
      <c r="K73" s="266"/>
      <c r="L73" s="267"/>
      <c r="M73" s="279"/>
      <c r="N73" s="278"/>
      <c r="O73" s="278"/>
    </row>
    <row r="74" spans="2:15" ht="15.75">
      <c r="B74" s="258"/>
      <c r="C74" s="251"/>
      <c r="D74" s="260"/>
      <c r="E74" s="280"/>
      <c r="F74" s="278"/>
      <c r="G74" s="263">
        <f>'F3'!L11</f>
        <v>0</v>
      </c>
      <c r="H74" s="282"/>
      <c r="I74" s="278"/>
      <c r="J74" s="265"/>
      <c r="K74" s="266">
        <v>69.179108680549803</v>
      </c>
      <c r="L74" s="267"/>
      <c r="M74" s="279"/>
      <c r="N74" s="278"/>
      <c r="O74" s="278"/>
    </row>
    <row r="75" spans="2:15" ht="16.5" thickBot="1">
      <c r="B75" s="253"/>
      <c r="C75" s="254" t="s">
        <v>139</v>
      </c>
      <c r="D75" s="254"/>
      <c r="E75" s="255">
        <f>IFERROR((K75-L75)/AVERAGE(F75,I75),0)</f>
        <v>2.9032087072434189E-2</v>
      </c>
      <c r="F75" s="256">
        <f>I66</f>
        <v>2382.85</v>
      </c>
      <c r="G75" s="256">
        <f>SUM(G72:G74)</f>
        <v>0</v>
      </c>
      <c r="H75" s="256">
        <f>SUM(H72:H74)</f>
        <v>0</v>
      </c>
      <c r="I75" s="256">
        <f>F75+G75-H69</f>
        <v>2382.85</v>
      </c>
      <c r="J75" s="256">
        <f>M66</f>
        <v>2006.2033260416499</v>
      </c>
      <c r="K75" s="256">
        <f>SUM(K72:K74)</f>
        <v>69.179108680549803</v>
      </c>
      <c r="L75" s="256">
        <f>SUM(L72:L74)</f>
        <v>0</v>
      </c>
      <c r="M75" s="256">
        <f>J75+K75-L75</f>
        <v>2075.3824347221998</v>
      </c>
      <c r="N75" s="256">
        <f>F75-J75</f>
        <v>376.64667395834999</v>
      </c>
      <c r="O75" s="256">
        <f>I75-M75</f>
        <v>307.46756527780008</v>
      </c>
    </row>
    <row r="76" spans="2:15" ht="15.75" thickBot="1"/>
    <row r="77" spans="2:15" ht="15.75">
      <c r="B77" s="378" t="s">
        <v>479</v>
      </c>
      <c r="C77" s="379"/>
      <c r="D77" s="379"/>
      <c r="E77" s="379"/>
      <c r="F77" s="379"/>
      <c r="G77" s="379"/>
      <c r="H77" s="379"/>
      <c r="I77" s="379"/>
      <c r="J77" s="379"/>
      <c r="K77" s="379"/>
      <c r="L77" s="379"/>
      <c r="M77" s="379"/>
      <c r="N77" s="379"/>
      <c r="O77" s="380"/>
    </row>
    <row r="78" spans="2:15" ht="15.75">
      <c r="B78" s="381" t="s">
        <v>2</v>
      </c>
      <c r="C78" s="383" t="s">
        <v>286</v>
      </c>
      <c r="D78" s="385" t="s">
        <v>275</v>
      </c>
      <c r="E78" s="385" t="s">
        <v>276</v>
      </c>
      <c r="F78" s="385" t="s">
        <v>277</v>
      </c>
      <c r="G78" s="385"/>
      <c r="H78" s="385"/>
      <c r="I78" s="385"/>
      <c r="J78" s="385" t="s">
        <v>278</v>
      </c>
      <c r="K78" s="385"/>
      <c r="L78" s="385"/>
      <c r="M78" s="385"/>
      <c r="N78" s="385" t="s">
        <v>279</v>
      </c>
      <c r="O78" s="387"/>
    </row>
    <row r="79" spans="2:15" ht="79.5" thickBot="1">
      <c r="B79" s="382"/>
      <c r="C79" s="384"/>
      <c r="D79" s="386"/>
      <c r="E79" s="386"/>
      <c r="F79" s="249" t="s">
        <v>280</v>
      </c>
      <c r="G79" s="249" t="s">
        <v>138</v>
      </c>
      <c r="H79" s="249" t="s">
        <v>281</v>
      </c>
      <c r="I79" s="249" t="s">
        <v>282</v>
      </c>
      <c r="J79" s="249" t="s">
        <v>283</v>
      </c>
      <c r="K79" s="249" t="s">
        <v>138</v>
      </c>
      <c r="L79" s="249" t="s">
        <v>284</v>
      </c>
      <c r="M79" s="249" t="s">
        <v>285</v>
      </c>
      <c r="N79" s="249" t="s">
        <v>280</v>
      </c>
      <c r="O79" s="250" t="s">
        <v>282</v>
      </c>
    </row>
    <row r="80" spans="2:15" ht="16.5" thickBot="1">
      <c r="B80" s="270"/>
      <c r="C80" s="259"/>
      <c r="D80" s="271"/>
      <c r="E80" s="272"/>
      <c r="F80" s="262"/>
      <c r="G80" s="273"/>
      <c r="H80" s="274"/>
      <c r="I80" s="262"/>
      <c r="J80" s="265"/>
      <c r="K80" s="275"/>
      <c r="L80" s="276"/>
      <c r="M80" s="268"/>
      <c r="N80" s="269"/>
      <c r="O80" s="269"/>
    </row>
    <row r="81" spans="2:15" ht="16.5" thickBot="1">
      <c r="B81" s="258"/>
      <c r="C81" s="277"/>
      <c r="D81" s="260"/>
      <c r="E81" s="261"/>
      <c r="F81" s="278"/>
      <c r="G81" s="263"/>
      <c r="H81" s="264"/>
      <c r="I81" s="278"/>
      <c r="J81" s="265"/>
      <c r="K81" s="266"/>
      <c r="L81" s="267"/>
      <c r="M81" s="279"/>
      <c r="N81" s="278"/>
      <c r="O81" s="278"/>
    </row>
    <row r="82" spans="2:15" ht="16.5" thickBot="1">
      <c r="B82" s="258"/>
      <c r="C82" s="259"/>
      <c r="D82" s="260"/>
      <c r="E82" s="261"/>
      <c r="F82" s="278"/>
      <c r="G82" s="263"/>
      <c r="H82" s="264"/>
      <c r="I82" s="278"/>
      <c r="J82" s="265"/>
      <c r="K82" s="266"/>
      <c r="L82" s="267"/>
      <c r="M82" s="279"/>
      <c r="N82" s="278"/>
      <c r="O82" s="278"/>
    </row>
    <row r="83" spans="2:15" ht="15.75">
      <c r="B83" s="258"/>
      <c r="C83" s="251"/>
      <c r="D83" s="260"/>
      <c r="E83" s="280"/>
      <c r="F83" s="278"/>
      <c r="G83" s="263">
        <f>'F3'!M11</f>
        <v>0.5</v>
      </c>
      <c r="H83" s="282"/>
      <c r="I83" s="278"/>
      <c r="J83" s="265"/>
      <c r="K83" s="266">
        <v>69.179108680549689</v>
      </c>
      <c r="L83" s="267"/>
      <c r="M83" s="279"/>
      <c r="N83" s="278"/>
      <c r="O83" s="278"/>
    </row>
    <row r="84" spans="2:15" ht="16.5" thickBot="1">
      <c r="B84" s="253"/>
      <c r="C84" s="254" t="s">
        <v>139</v>
      </c>
      <c r="D84" s="254"/>
      <c r="E84" s="255">
        <f>IFERROR((K84-L84)/AVERAGE(F84,I84),0)</f>
        <v>2.9029041450442571E-2</v>
      </c>
      <c r="F84" s="256">
        <f>I75</f>
        <v>2382.85</v>
      </c>
      <c r="G84" s="256">
        <f>SUM(G81:G83)</f>
        <v>0.5</v>
      </c>
      <c r="H84" s="256">
        <f>SUM(H81:H83)</f>
        <v>0</v>
      </c>
      <c r="I84" s="256">
        <f>F84+G84-H78</f>
        <v>2383.35</v>
      </c>
      <c r="J84" s="256">
        <f>M75</f>
        <v>2075.3824347221998</v>
      </c>
      <c r="K84" s="256">
        <f>SUM(K81:K83)</f>
        <v>69.179108680549689</v>
      </c>
      <c r="L84" s="256">
        <f>SUM(L81:L83)</f>
        <v>0</v>
      </c>
      <c r="M84" s="256">
        <f>J84+K84-L84</f>
        <v>2144.5615434027495</v>
      </c>
      <c r="N84" s="256">
        <f>F84-J84</f>
        <v>307.46756527780008</v>
      </c>
      <c r="O84" s="256">
        <f>I84-M84</f>
        <v>238.78845659725039</v>
      </c>
    </row>
  </sheetData>
  <mergeCells count="59">
    <mergeCell ref="B2:O2"/>
    <mergeCell ref="B3:O3"/>
    <mergeCell ref="B4:O4"/>
    <mergeCell ref="B6:O6"/>
    <mergeCell ref="J25:M25"/>
    <mergeCell ref="N25:O25"/>
    <mergeCell ref="B24:O24"/>
    <mergeCell ref="B7:B8"/>
    <mergeCell ref="C7:C8"/>
    <mergeCell ref="D7:D8"/>
    <mergeCell ref="E7:E8"/>
    <mergeCell ref="F7:I7"/>
    <mergeCell ref="J7:M7"/>
    <mergeCell ref="N7:O7"/>
    <mergeCell ref="B25:B26"/>
    <mergeCell ref="C25:C26"/>
    <mergeCell ref="D25:D26"/>
    <mergeCell ref="E25:E26"/>
    <mergeCell ref="F25:I25"/>
    <mergeCell ref="B42:O42"/>
    <mergeCell ref="B43:B44"/>
    <mergeCell ref="C43:C44"/>
    <mergeCell ref="D43:D44"/>
    <mergeCell ref="E43:E44"/>
    <mergeCell ref="F43:I43"/>
    <mergeCell ref="J43:M43"/>
    <mergeCell ref="N43:O43"/>
    <mergeCell ref="B51:O51"/>
    <mergeCell ref="B52:B53"/>
    <mergeCell ref="C52:C53"/>
    <mergeCell ref="D52:D53"/>
    <mergeCell ref="E52:E53"/>
    <mergeCell ref="F52:I52"/>
    <mergeCell ref="J52:M52"/>
    <mergeCell ref="N52:O52"/>
    <mergeCell ref="B59:O59"/>
    <mergeCell ref="B60:B61"/>
    <mergeCell ref="C60:C61"/>
    <mergeCell ref="D60:D61"/>
    <mergeCell ref="E60:E61"/>
    <mergeCell ref="F60:I60"/>
    <mergeCell ref="J60:M60"/>
    <mergeCell ref="N60:O60"/>
    <mergeCell ref="B68:O68"/>
    <mergeCell ref="B69:B70"/>
    <mergeCell ref="C69:C70"/>
    <mergeCell ref="D69:D70"/>
    <mergeCell ref="E69:E70"/>
    <mergeCell ref="F69:I69"/>
    <mergeCell ref="J69:M69"/>
    <mergeCell ref="N69:O69"/>
    <mergeCell ref="B77:O77"/>
    <mergeCell ref="B78:B79"/>
    <mergeCell ref="C78:C79"/>
    <mergeCell ref="D78:D79"/>
    <mergeCell ref="E78:E79"/>
    <mergeCell ref="F78:I78"/>
    <mergeCell ref="J78:M78"/>
    <mergeCell ref="N78:O78"/>
  </mergeCells>
  <pageMargins left="0" right="0" top="0" bottom="0" header="0.23622047244094491" footer="0.23622047244094491"/>
  <pageSetup paperSize="9" scale="69" fitToHeight="0" orientation="landscape" r:id="rId1"/>
  <headerFooter alignWithMargins="0">
    <oddHeader>&amp;F</oddHeader>
  </headerFooter>
  <rowBreaks count="2" manualBreakCount="2">
    <brk id="41" max="14" man="1"/>
    <brk id="6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1:M61"/>
  <sheetViews>
    <sheetView showGridLines="0" view="pageBreakPreview" topLeftCell="A7" zoomScale="90" zoomScaleNormal="80" zoomScaleSheetLayoutView="90" workbookViewId="0">
      <selection activeCell="E27" sqref="E27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49.7109375" style="5" customWidth="1"/>
    <col min="4" max="13" width="14.1406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B2" s="353" t="s">
        <v>510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2:13" ht="15.75">
      <c r="B3" s="353" t="s">
        <v>497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2:13" ht="14.25" customHeight="1">
      <c r="B4" s="353" t="s">
        <v>564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5" spans="2:13" ht="15">
      <c r="B5" s="39" t="s">
        <v>57</v>
      </c>
      <c r="C5" s="30" t="s">
        <v>293</v>
      </c>
      <c r="D5" s="31"/>
      <c r="E5" s="31"/>
      <c r="F5" s="31"/>
      <c r="G5" s="31"/>
      <c r="H5" s="31"/>
      <c r="I5" s="31"/>
      <c r="J5" s="31"/>
    </row>
    <row r="6" spans="2:13" ht="15">
      <c r="M6" s="32" t="s">
        <v>4</v>
      </c>
    </row>
    <row r="7" spans="2:13" s="19" customFormat="1" ht="15" customHeight="1">
      <c r="B7" s="360" t="s">
        <v>209</v>
      </c>
      <c r="C7" s="363" t="s">
        <v>18</v>
      </c>
      <c r="D7" s="367" t="s">
        <v>491</v>
      </c>
      <c r="E7" s="368"/>
      <c r="F7" s="369"/>
      <c r="G7" s="297" t="s">
        <v>492</v>
      </c>
      <c r="H7" s="298"/>
      <c r="I7" s="370" t="s">
        <v>251</v>
      </c>
      <c r="J7" s="370"/>
      <c r="K7" s="370"/>
      <c r="L7" s="370"/>
      <c r="M7" s="370"/>
    </row>
    <row r="8" spans="2:13" s="19" customFormat="1" ht="30">
      <c r="B8" s="361"/>
      <c r="C8" s="363"/>
      <c r="D8" s="296" t="s">
        <v>381</v>
      </c>
      <c r="E8" s="296" t="s">
        <v>269</v>
      </c>
      <c r="F8" s="296" t="s">
        <v>225</v>
      </c>
      <c r="G8" s="296" t="s">
        <v>381</v>
      </c>
      <c r="H8" s="296" t="s">
        <v>268</v>
      </c>
      <c r="I8" s="296" t="s">
        <v>475</v>
      </c>
      <c r="J8" s="296" t="s">
        <v>476</v>
      </c>
      <c r="K8" s="296" t="s">
        <v>477</v>
      </c>
      <c r="L8" s="296" t="s">
        <v>478</v>
      </c>
      <c r="M8" s="296" t="s">
        <v>479</v>
      </c>
    </row>
    <row r="9" spans="2:13" s="19" customFormat="1" ht="15">
      <c r="B9" s="362"/>
      <c r="C9" s="364"/>
      <c r="D9" s="296" t="s">
        <v>10</v>
      </c>
      <c r="E9" s="296" t="s">
        <v>12</v>
      </c>
      <c r="F9" s="296" t="s">
        <v>258</v>
      </c>
      <c r="G9" s="296" t="s">
        <v>10</v>
      </c>
      <c r="H9" s="296" t="s">
        <v>513</v>
      </c>
      <c r="I9" s="296" t="s">
        <v>8</v>
      </c>
      <c r="J9" s="296" t="s">
        <v>8</v>
      </c>
      <c r="K9" s="296" t="s">
        <v>8</v>
      </c>
      <c r="L9" s="296" t="s">
        <v>8</v>
      </c>
      <c r="M9" s="296" t="s">
        <v>8</v>
      </c>
    </row>
    <row r="10" spans="2:13">
      <c r="B10" s="65">
        <v>1</v>
      </c>
      <c r="C10" s="33" t="s">
        <v>188</v>
      </c>
      <c r="D10" s="108">
        <f>E10</f>
        <v>1588.9159999999999</v>
      </c>
      <c r="E10" s="107">
        <f>'F4'!F22*70%</f>
        <v>1588.9159999999999</v>
      </c>
      <c r="F10" s="107">
        <f>E10</f>
        <v>1588.9159999999999</v>
      </c>
      <c r="G10" s="98"/>
      <c r="H10" s="98">
        <f>'F4'!F49*70%</f>
        <v>1593.277</v>
      </c>
      <c r="I10" s="98">
        <f>H10+H14</f>
        <v>1593.396</v>
      </c>
      <c r="J10" s="98">
        <f t="shared" ref="J10:M10" si="0">I10+I14</f>
        <v>1622.076</v>
      </c>
      <c r="K10" s="98">
        <f t="shared" si="0"/>
        <v>1650.951</v>
      </c>
      <c r="L10" s="98">
        <f t="shared" si="0"/>
        <v>1673.451</v>
      </c>
      <c r="M10" s="98">
        <f t="shared" si="0"/>
        <v>1673.451</v>
      </c>
    </row>
    <row r="11" spans="2:13">
      <c r="B11" s="26">
        <f>B10+1</f>
        <v>2</v>
      </c>
      <c r="C11" s="33" t="s">
        <v>189</v>
      </c>
      <c r="D11" s="108">
        <f>E11</f>
        <v>1800.79</v>
      </c>
      <c r="E11" s="107">
        <f>'F4'!J22</f>
        <v>1800.79</v>
      </c>
      <c r="F11" s="107">
        <f>E11</f>
        <v>1800.79</v>
      </c>
      <c r="G11" s="98"/>
      <c r="H11" s="98">
        <f>'F4'!J40</f>
        <v>1835.38</v>
      </c>
      <c r="I11" s="98">
        <f>'F4'!J49</f>
        <v>1870.8700000000001</v>
      </c>
      <c r="J11" s="98">
        <f>'F4'!J57</f>
        <v>1906.39510868055</v>
      </c>
      <c r="K11" s="98">
        <f>'F4'!J66</f>
        <v>1950.5242173611</v>
      </c>
      <c r="L11" s="98">
        <f>'F4'!J75</f>
        <v>2006.2033260416499</v>
      </c>
      <c r="M11" s="98">
        <f>'F4'!J84</f>
        <v>2075.3824347221998</v>
      </c>
    </row>
    <row r="12" spans="2:13" ht="15">
      <c r="B12" s="26">
        <f t="shared" ref="B12:B22" si="1">B11+1</f>
        <v>3</v>
      </c>
      <c r="C12" s="35" t="s">
        <v>190</v>
      </c>
      <c r="D12" s="344">
        <f>IF((D10-D11)&lt;0,0,(D10-D11))</f>
        <v>0</v>
      </c>
      <c r="E12" s="344">
        <f>IF((E10-E11)&lt;0,0,(E10-E11))</f>
        <v>0</v>
      </c>
      <c r="F12" s="344">
        <f t="shared" ref="F12:M12" si="2">IF((F10-F11)&lt;0,0,(F10-F11))</f>
        <v>0</v>
      </c>
      <c r="G12" s="344">
        <f t="shared" si="2"/>
        <v>0</v>
      </c>
      <c r="H12" s="344">
        <f t="shared" si="2"/>
        <v>0</v>
      </c>
      <c r="I12" s="344">
        <f t="shared" si="2"/>
        <v>0</v>
      </c>
      <c r="J12" s="344">
        <f t="shared" si="2"/>
        <v>0</v>
      </c>
      <c r="K12" s="344">
        <f t="shared" si="2"/>
        <v>0</v>
      </c>
      <c r="L12" s="344">
        <f t="shared" si="2"/>
        <v>0</v>
      </c>
      <c r="M12" s="344">
        <f t="shared" si="2"/>
        <v>0</v>
      </c>
    </row>
    <row r="13" spans="2:13" ht="28.5">
      <c r="B13" s="26">
        <f t="shared" si="1"/>
        <v>4</v>
      </c>
      <c r="C13" s="70" t="s">
        <v>191</v>
      </c>
      <c r="D13" s="345"/>
      <c r="E13" s="345"/>
      <c r="F13" s="345"/>
      <c r="G13" s="345"/>
      <c r="H13" s="345"/>
      <c r="I13" s="345"/>
      <c r="J13" s="345"/>
      <c r="K13" s="345"/>
      <c r="L13" s="345"/>
      <c r="M13" s="345"/>
    </row>
    <row r="14" spans="2:13" s="38" customFormat="1" ht="28.5">
      <c r="B14" s="26">
        <f t="shared" si="1"/>
        <v>5</v>
      </c>
      <c r="C14" s="43" t="s">
        <v>421</v>
      </c>
      <c r="D14" s="345"/>
      <c r="E14" s="115">
        <f>F3.1!H18*0.7</f>
        <v>4.2419999999999991</v>
      </c>
      <c r="F14" s="115">
        <f>E14</f>
        <v>4.2419999999999991</v>
      </c>
      <c r="G14" s="121"/>
      <c r="H14" s="121">
        <f>'F4'!G40*0.7</f>
        <v>0.11899999999999999</v>
      </c>
      <c r="I14" s="121">
        <f>[4]F3.1!H30*75%</f>
        <v>28.679999999999996</v>
      </c>
      <c r="J14" s="121">
        <f>[4]F3.1!H36*75%</f>
        <v>28.875</v>
      </c>
      <c r="K14" s="121">
        <f>[4]F3.1!H42*75%</f>
        <v>22.5</v>
      </c>
      <c r="L14" s="121">
        <f>[4]F3.1!H48*75%</f>
        <v>0</v>
      </c>
      <c r="M14" s="121">
        <f>[4]F3.1!H54*75%</f>
        <v>0.375</v>
      </c>
    </row>
    <row r="15" spans="2:13">
      <c r="B15" s="26">
        <f t="shared" si="1"/>
        <v>6</v>
      </c>
      <c r="C15" s="70" t="s">
        <v>196</v>
      </c>
      <c r="D15" s="346">
        <f>'F1'!F12</f>
        <v>73.33</v>
      </c>
      <c r="E15" s="346">
        <f>'F1'!G12</f>
        <v>34.590000000000003</v>
      </c>
      <c r="F15" s="346">
        <f>'F1'!H12</f>
        <v>34.590000000000003</v>
      </c>
      <c r="G15" s="347">
        <f>'F1'!I12</f>
        <v>19.149999999999999</v>
      </c>
      <c r="H15" s="346">
        <f>'F1'!J12</f>
        <v>35.49</v>
      </c>
      <c r="I15" s="346">
        <f>'F1'!K12</f>
        <v>35.52510868054992</v>
      </c>
      <c r="J15" s="346">
        <f>'F1'!L12</f>
        <v>44.129108680549848</v>
      </c>
      <c r="K15" s="346">
        <f>'F1'!M12</f>
        <v>55.679108680549838</v>
      </c>
      <c r="L15" s="346">
        <f>'F1'!N12</f>
        <v>69.179108680549803</v>
      </c>
      <c r="M15" s="346">
        <f>'F1'!O12</f>
        <v>69.179108680549689</v>
      </c>
    </row>
    <row r="16" spans="2:13" ht="15">
      <c r="B16" s="26">
        <f t="shared" si="1"/>
        <v>7</v>
      </c>
      <c r="C16" s="33" t="s">
        <v>192</v>
      </c>
      <c r="D16" s="344">
        <f>IF((D12-D13+D14-D15)&lt;0,0,(D12-D13+D14-D15))</f>
        <v>0</v>
      </c>
      <c r="E16" s="344">
        <f t="shared" ref="E16:M16" si="3">IF((E12-E13+E14-E15)&lt;0,0,(E12-E13+E14-E15))</f>
        <v>0</v>
      </c>
      <c r="F16" s="344">
        <f t="shared" si="3"/>
        <v>0</v>
      </c>
      <c r="G16" s="348">
        <f t="shared" si="3"/>
        <v>0</v>
      </c>
      <c r="H16" s="344">
        <f t="shared" si="3"/>
        <v>0</v>
      </c>
      <c r="I16" s="344">
        <f t="shared" si="3"/>
        <v>0</v>
      </c>
      <c r="J16" s="344">
        <f t="shared" si="3"/>
        <v>0</v>
      </c>
      <c r="K16" s="344">
        <f t="shared" si="3"/>
        <v>0</v>
      </c>
      <c r="L16" s="344">
        <f t="shared" si="3"/>
        <v>0</v>
      </c>
      <c r="M16" s="344">
        <f t="shared" si="3"/>
        <v>0</v>
      </c>
    </row>
    <row r="17" spans="2:13" ht="15">
      <c r="B17" s="26">
        <f t="shared" si="1"/>
        <v>8</v>
      </c>
      <c r="C17" s="33" t="s">
        <v>193</v>
      </c>
      <c r="D17" s="344"/>
      <c r="E17" s="344">
        <f>E10-E13+E14-E15</f>
        <v>1558.568</v>
      </c>
      <c r="F17" s="344">
        <f t="shared" ref="F17:M17" si="4">F10-F13+F14-F15</f>
        <v>1558.568</v>
      </c>
      <c r="G17" s="348">
        <f t="shared" si="4"/>
        <v>-19.149999999999999</v>
      </c>
      <c r="H17" s="344">
        <f t="shared" si="4"/>
        <v>1557.9059999999999</v>
      </c>
      <c r="I17" s="344">
        <f t="shared" si="4"/>
        <v>1586.5508913194501</v>
      </c>
      <c r="J17" s="344">
        <f t="shared" si="4"/>
        <v>1606.8218913194501</v>
      </c>
      <c r="K17" s="344">
        <f t="shared" si="4"/>
        <v>1617.7718913194501</v>
      </c>
      <c r="L17" s="344">
        <f t="shared" si="4"/>
        <v>1604.2718913194503</v>
      </c>
      <c r="M17" s="344">
        <f t="shared" si="4"/>
        <v>1604.6468913194503</v>
      </c>
    </row>
    <row r="18" spans="2:13" ht="15">
      <c r="B18" s="26">
        <f t="shared" si="1"/>
        <v>9</v>
      </c>
      <c r="C18" s="33" t="s">
        <v>231</v>
      </c>
      <c r="D18" s="344"/>
      <c r="E18" s="344">
        <f t="shared" ref="E18:M18" si="5">AVERAGE(E12,E16)</f>
        <v>0</v>
      </c>
      <c r="F18" s="344">
        <f t="shared" si="5"/>
        <v>0</v>
      </c>
      <c r="G18" s="348">
        <f t="shared" si="5"/>
        <v>0</v>
      </c>
      <c r="H18" s="344">
        <f t="shared" si="5"/>
        <v>0</v>
      </c>
      <c r="I18" s="344">
        <f t="shared" si="5"/>
        <v>0</v>
      </c>
      <c r="J18" s="344">
        <f t="shared" si="5"/>
        <v>0</v>
      </c>
      <c r="K18" s="344">
        <f t="shared" si="5"/>
        <v>0</v>
      </c>
      <c r="L18" s="344">
        <f t="shared" si="5"/>
        <v>0</v>
      </c>
      <c r="M18" s="344">
        <f t="shared" si="5"/>
        <v>0</v>
      </c>
    </row>
    <row r="19" spans="2:13" ht="28.5">
      <c r="B19" s="26">
        <f t="shared" si="1"/>
        <v>10</v>
      </c>
      <c r="C19" s="70" t="s">
        <v>230</v>
      </c>
      <c r="D19" s="349">
        <v>9.9500000000000005E-2</v>
      </c>
      <c r="E19" s="349">
        <v>9.9500000000000005E-2</v>
      </c>
      <c r="F19" s="349">
        <f>E19</f>
        <v>9.9500000000000005E-2</v>
      </c>
      <c r="G19" s="350">
        <f t="shared" ref="G19:M19" si="6">F19</f>
        <v>9.9500000000000005E-2</v>
      </c>
      <c r="H19" s="349">
        <v>9.9500000000000005E-2</v>
      </c>
      <c r="I19" s="349">
        <f t="shared" si="6"/>
        <v>9.9500000000000005E-2</v>
      </c>
      <c r="J19" s="349">
        <f t="shared" si="6"/>
        <v>9.9500000000000005E-2</v>
      </c>
      <c r="K19" s="349">
        <f t="shared" si="6"/>
        <v>9.9500000000000005E-2</v>
      </c>
      <c r="L19" s="349">
        <f t="shared" si="6"/>
        <v>9.9500000000000005E-2</v>
      </c>
      <c r="M19" s="349">
        <f t="shared" si="6"/>
        <v>9.9500000000000005E-2</v>
      </c>
    </row>
    <row r="20" spans="2:13" ht="15">
      <c r="B20" s="26">
        <f t="shared" si="1"/>
        <v>11</v>
      </c>
      <c r="C20" s="33" t="s">
        <v>294</v>
      </c>
      <c r="D20" s="344"/>
      <c r="E20" s="344">
        <f>E18*E19</f>
        <v>0</v>
      </c>
      <c r="F20" s="344">
        <f t="shared" ref="F20:M20" si="7">F18*F19</f>
        <v>0</v>
      </c>
      <c r="G20" s="344"/>
      <c r="H20" s="344"/>
      <c r="I20" s="344">
        <f t="shared" si="7"/>
        <v>0</v>
      </c>
      <c r="J20" s="344">
        <f t="shared" si="7"/>
        <v>0</v>
      </c>
      <c r="K20" s="344">
        <f t="shared" si="7"/>
        <v>0</v>
      </c>
      <c r="L20" s="344">
        <f t="shared" si="7"/>
        <v>0</v>
      </c>
      <c r="M20" s="344">
        <f t="shared" si="7"/>
        <v>0</v>
      </c>
    </row>
    <row r="21" spans="2:13">
      <c r="B21" s="26">
        <f t="shared" si="1"/>
        <v>12</v>
      </c>
      <c r="C21" s="33" t="s">
        <v>297</v>
      </c>
      <c r="D21" s="351"/>
      <c r="E21" s="351"/>
      <c r="F21" s="351"/>
      <c r="G21" s="351"/>
      <c r="H21" s="351"/>
      <c r="I21" s="351"/>
      <c r="J21" s="351"/>
      <c r="K21" s="351"/>
      <c r="L21" s="351"/>
      <c r="M21" s="351"/>
    </row>
    <row r="22" spans="2:13" ht="15">
      <c r="B22" s="26">
        <f t="shared" si="1"/>
        <v>13</v>
      </c>
      <c r="C22" s="33" t="s">
        <v>298</v>
      </c>
      <c r="D22" s="344">
        <v>8.39</v>
      </c>
      <c r="E22" s="344">
        <f>IF((E20+E21)&lt;0,0,(E20+E21))</f>
        <v>0</v>
      </c>
      <c r="F22" s="344">
        <f t="shared" ref="F22:M22" si="8">IF((F20+F21)&lt;0,0,(F20+F21))</f>
        <v>0</v>
      </c>
      <c r="G22" s="344">
        <v>8.39</v>
      </c>
      <c r="H22" s="344">
        <f t="shared" si="8"/>
        <v>0</v>
      </c>
      <c r="I22" s="344">
        <f t="shared" si="8"/>
        <v>0</v>
      </c>
      <c r="J22" s="344">
        <f t="shared" si="8"/>
        <v>0</v>
      </c>
      <c r="K22" s="344">
        <f t="shared" si="8"/>
        <v>0</v>
      </c>
      <c r="L22" s="344">
        <f t="shared" si="8"/>
        <v>0</v>
      </c>
      <c r="M22" s="344">
        <f t="shared" si="8"/>
        <v>0</v>
      </c>
    </row>
    <row r="23" spans="2:13">
      <c r="B23" s="40"/>
    </row>
    <row r="24" spans="2:13">
      <c r="B24" s="40"/>
      <c r="C24" s="5" t="s">
        <v>271</v>
      </c>
    </row>
    <row r="25" spans="2:13">
      <c r="C25" s="5" t="s">
        <v>422</v>
      </c>
    </row>
    <row r="26" spans="2:13" ht="15">
      <c r="B26" s="39" t="s">
        <v>62</v>
      </c>
      <c r="C26" s="30" t="s">
        <v>295</v>
      </c>
    </row>
    <row r="27" spans="2:13" ht="15">
      <c r="J27" s="32" t="s">
        <v>4</v>
      </c>
    </row>
    <row r="28" spans="2:13" ht="15" customHeight="1">
      <c r="B28" s="360" t="s">
        <v>209</v>
      </c>
      <c r="C28" s="363" t="s">
        <v>18</v>
      </c>
      <c r="D28" s="297" t="s">
        <v>256</v>
      </c>
      <c r="E28" s="367" t="s">
        <v>255</v>
      </c>
      <c r="F28" s="368"/>
      <c r="G28" s="369"/>
      <c r="H28" s="374"/>
      <c r="I28" s="374"/>
      <c r="J28" s="375"/>
    </row>
    <row r="29" spans="2:13" ht="15">
      <c r="B29" s="361"/>
      <c r="C29" s="363"/>
      <c r="D29" s="296" t="s">
        <v>269</v>
      </c>
      <c r="E29" s="296" t="s">
        <v>259</v>
      </c>
      <c r="F29" s="296" t="s">
        <v>260</v>
      </c>
      <c r="G29" s="296" t="s">
        <v>268</v>
      </c>
      <c r="H29" s="296" t="s">
        <v>252</v>
      </c>
      <c r="I29" s="296" t="s">
        <v>253</v>
      </c>
      <c r="J29" s="296" t="s">
        <v>254</v>
      </c>
    </row>
    <row r="30" spans="2:13" ht="15">
      <c r="B30" s="362"/>
      <c r="C30" s="364"/>
      <c r="D30" s="296" t="s">
        <v>12</v>
      </c>
      <c r="E30" s="296" t="s">
        <v>3</v>
      </c>
      <c r="F30" s="296" t="s">
        <v>5</v>
      </c>
      <c r="G30" s="296" t="s">
        <v>5</v>
      </c>
      <c r="H30" s="296" t="s">
        <v>8</v>
      </c>
      <c r="I30" s="296" t="s">
        <v>8</v>
      </c>
      <c r="J30" s="296" t="s">
        <v>8</v>
      </c>
    </row>
    <row r="31" spans="2:13" ht="15">
      <c r="B31" s="26">
        <v>1</v>
      </c>
      <c r="C31" s="44" t="s">
        <v>208</v>
      </c>
      <c r="D31" s="299"/>
      <c r="E31" s="299"/>
      <c r="F31" s="299"/>
      <c r="G31" s="299"/>
      <c r="H31" s="299"/>
      <c r="I31" s="299"/>
      <c r="J31" s="299"/>
    </row>
    <row r="32" spans="2:13">
      <c r="B32" s="33"/>
      <c r="C32" s="33" t="s">
        <v>13</v>
      </c>
      <c r="D32" s="299"/>
      <c r="E32" s="299"/>
      <c r="F32" s="299"/>
      <c r="G32" s="299"/>
      <c r="H32" s="299"/>
      <c r="I32" s="299"/>
      <c r="J32" s="299"/>
    </row>
    <row r="33" spans="2:10">
      <c r="B33" s="33"/>
      <c r="C33" s="33" t="s">
        <v>177</v>
      </c>
      <c r="D33" s="299"/>
      <c r="E33" s="299"/>
      <c r="F33" s="299"/>
      <c r="G33" s="299"/>
      <c r="H33" s="299"/>
      <c r="I33" s="299"/>
      <c r="J33" s="299"/>
    </row>
    <row r="34" spans="2:10">
      <c r="B34" s="33"/>
      <c r="C34" s="33" t="s">
        <v>14</v>
      </c>
      <c r="D34" s="299"/>
      <c r="E34" s="299"/>
      <c r="F34" s="299"/>
      <c r="G34" s="299"/>
      <c r="H34" s="299"/>
      <c r="I34" s="299"/>
      <c r="J34" s="299"/>
    </row>
    <row r="35" spans="2:10" ht="15">
      <c r="B35" s="33"/>
      <c r="C35" s="33" t="s">
        <v>15</v>
      </c>
      <c r="D35" s="100">
        <f>D32+D33-D34</f>
        <v>0</v>
      </c>
      <c r="E35" s="100">
        <f t="shared" ref="E35:J35" si="9">E32+E33-E34</f>
        <v>0</v>
      </c>
      <c r="F35" s="100">
        <f t="shared" si="9"/>
        <v>0</v>
      </c>
      <c r="G35" s="100">
        <f t="shared" si="9"/>
        <v>0</v>
      </c>
      <c r="H35" s="100">
        <f t="shared" si="9"/>
        <v>0</v>
      </c>
      <c r="I35" s="100">
        <f t="shared" si="9"/>
        <v>0</v>
      </c>
      <c r="J35" s="100">
        <f t="shared" si="9"/>
        <v>0</v>
      </c>
    </row>
    <row r="36" spans="2:10" ht="15">
      <c r="B36" s="33"/>
      <c r="C36" s="33" t="s">
        <v>232</v>
      </c>
      <c r="D36" s="100">
        <f>AVERAGE(D32,D35)</f>
        <v>0</v>
      </c>
      <c r="E36" s="100">
        <f t="shared" ref="E36:J36" si="10">AVERAGE(E32,E35)</f>
        <v>0</v>
      </c>
      <c r="F36" s="100">
        <f t="shared" si="10"/>
        <v>0</v>
      </c>
      <c r="G36" s="100">
        <f t="shared" si="10"/>
        <v>0</v>
      </c>
      <c r="H36" s="100">
        <f t="shared" si="10"/>
        <v>0</v>
      </c>
      <c r="I36" s="100">
        <f t="shared" si="10"/>
        <v>0</v>
      </c>
      <c r="J36" s="100">
        <f t="shared" si="10"/>
        <v>0</v>
      </c>
    </row>
    <row r="37" spans="2:10">
      <c r="B37" s="33"/>
      <c r="C37" s="33" t="s">
        <v>16</v>
      </c>
      <c r="D37" s="106"/>
      <c r="E37" s="106"/>
      <c r="F37" s="106"/>
      <c r="G37" s="106"/>
      <c r="H37" s="106"/>
      <c r="I37" s="106"/>
      <c r="J37" s="106"/>
    </row>
    <row r="38" spans="2:10" ht="15">
      <c r="B38" s="33"/>
      <c r="C38" s="33" t="s">
        <v>294</v>
      </c>
      <c r="D38" s="100">
        <f>D36*D37</f>
        <v>0</v>
      </c>
      <c r="E38" s="100">
        <f t="shared" ref="E38:J38" si="11">E36*E37</f>
        <v>0</v>
      </c>
      <c r="F38" s="100">
        <f t="shared" si="11"/>
        <v>0</v>
      </c>
      <c r="G38" s="100">
        <f t="shared" si="11"/>
        <v>0</v>
      </c>
      <c r="H38" s="100">
        <f t="shared" si="11"/>
        <v>0</v>
      </c>
      <c r="I38" s="100">
        <f t="shared" si="11"/>
        <v>0</v>
      </c>
      <c r="J38" s="100">
        <f t="shared" si="11"/>
        <v>0</v>
      </c>
    </row>
    <row r="39" spans="2:10">
      <c r="B39" s="33"/>
      <c r="C39" s="33" t="s">
        <v>297</v>
      </c>
      <c r="D39" s="107"/>
      <c r="E39" s="107"/>
      <c r="F39" s="107"/>
      <c r="G39" s="107"/>
      <c r="H39" s="107"/>
      <c r="I39" s="107"/>
      <c r="J39" s="107"/>
    </row>
    <row r="40" spans="2:10" ht="15">
      <c r="B40" s="33"/>
      <c r="C40" s="33" t="s">
        <v>298</v>
      </c>
      <c r="D40" s="100">
        <f>D38+D39</f>
        <v>0</v>
      </c>
      <c r="E40" s="100">
        <f t="shared" ref="E40:J40" si="12">E38+E39</f>
        <v>0</v>
      </c>
      <c r="F40" s="100">
        <f t="shared" si="12"/>
        <v>0</v>
      </c>
      <c r="G40" s="100">
        <f t="shared" si="12"/>
        <v>0</v>
      </c>
      <c r="H40" s="100">
        <f t="shared" si="12"/>
        <v>0</v>
      </c>
      <c r="I40" s="100">
        <f t="shared" si="12"/>
        <v>0</v>
      </c>
      <c r="J40" s="100">
        <f t="shared" si="12"/>
        <v>0</v>
      </c>
    </row>
    <row r="41" spans="2:10" ht="15">
      <c r="B41" s="26">
        <v>2</v>
      </c>
      <c r="C41" s="44" t="s">
        <v>207</v>
      </c>
      <c r="D41" s="107"/>
      <c r="E41" s="107"/>
      <c r="F41" s="107"/>
      <c r="G41" s="107"/>
      <c r="H41" s="107"/>
      <c r="I41" s="107"/>
      <c r="J41" s="107"/>
    </row>
    <row r="42" spans="2:10">
      <c r="B42" s="33"/>
      <c r="C42" s="33" t="s">
        <v>13</v>
      </c>
      <c r="D42" s="107"/>
      <c r="E42" s="107"/>
      <c r="F42" s="107"/>
      <c r="G42" s="107"/>
      <c r="H42" s="107"/>
      <c r="I42" s="107"/>
      <c r="J42" s="107"/>
    </row>
    <row r="43" spans="2:10">
      <c r="B43" s="33"/>
      <c r="C43" s="33" t="s">
        <v>177</v>
      </c>
      <c r="D43" s="107"/>
      <c r="E43" s="107"/>
      <c r="F43" s="107"/>
      <c r="G43" s="107"/>
      <c r="H43" s="107"/>
      <c r="I43" s="107"/>
      <c r="J43" s="107"/>
    </row>
    <row r="44" spans="2:10">
      <c r="B44" s="33"/>
      <c r="C44" s="33" t="s">
        <v>14</v>
      </c>
      <c r="D44" s="107"/>
      <c r="E44" s="107"/>
      <c r="F44" s="107"/>
      <c r="G44" s="107"/>
      <c r="H44" s="107"/>
      <c r="I44" s="107"/>
      <c r="J44" s="107"/>
    </row>
    <row r="45" spans="2:10" ht="15">
      <c r="B45" s="33"/>
      <c r="C45" s="33" t="s">
        <v>15</v>
      </c>
      <c r="D45" s="100">
        <f>D42+D43-D44</f>
        <v>0</v>
      </c>
      <c r="E45" s="100">
        <f t="shared" ref="E45:J45" si="13">E42+E43-E44</f>
        <v>0</v>
      </c>
      <c r="F45" s="100">
        <f t="shared" si="13"/>
        <v>0</v>
      </c>
      <c r="G45" s="100">
        <f t="shared" si="13"/>
        <v>0</v>
      </c>
      <c r="H45" s="100">
        <f t="shared" si="13"/>
        <v>0</v>
      </c>
      <c r="I45" s="100">
        <f t="shared" si="13"/>
        <v>0</v>
      </c>
      <c r="J45" s="100">
        <f t="shared" si="13"/>
        <v>0</v>
      </c>
    </row>
    <row r="46" spans="2:10" ht="15">
      <c r="B46" s="33"/>
      <c r="C46" s="33" t="s">
        <v>232</v>
      </c>
      <c r="D46" s="100">
        <f>AVERAGE(D42,D45)</f>
        <v>0</v>
      </c>
      <c r="E46" s="100">
        <f t="shared" ref="E46:J46" si="14">AVERAGE(E42,E45)</f>
        <v>0</v>
      </c>
      <c r="F46" s="100">
        <f t="shared" si="14"/>
        <v>0</v>
      </c>
      <c r="G46" s="100">
        <f t="shared" si="14"/>
        <v>0</v>
      </c>
      <c r="H46" s="100">
        <f t="shared" si="14"/>
        <v>0</v>
      </c>
      <c r="I46" s="100">
        <f t="shared" si="14"/>
        <v>0</v>
      </c>
      <c r="J46" s="100">
        <f t="shared" si="14"/>
        <v>0</v>
      </c>
    </row>
    <row r="47" spans="2:10">
      <c r="B47" s="33"/>
      <c r="C47" s="33" t="s">
        <v>16</v>
      </c>
      <c r="D47" s="106"/>
      <c r="E47" s="106"/>
      <c r="F47" s="106"/>
      <c r="G47" s="106"/>
      <c r="H47" s="106"/>
      <c r="I47" s="106"/>
      <c r="J47" s="106"/>
    </row>
    <row r="48" spans="2:10" ht="15">
      <c r="B48" s="33"/>
      <c r="C48" s="33" t="s">
        <v>294</v>
      </c>
      <c r="D48" s="100">
        <f>D46*D47</f>
        <v>0</v>
      </c>
      <c r="E48" s="100">
        <f t="shared" ref="E48:J48" si="15">E46*E47</f>
        <v>0</v>
      </c>
      <c r="F48" s="100">
        <f t="shared" si="15"/>
        <v>0</v>
      </c>
      <c r="G48" s="100">
        <f t="shared" si="15"/>
        <v>0</v>
      </c>
      <c r="H48" s="100">
        <f t="shared" si="15"/>
        <v>0</v>
      </c>
      <c r="I48" s="100">
        <f t="shared" si="15"/>
        <v>0</v>
      </c>
      <c r="J48" s="100">
        <f t="shared" si="15"/>
        <v>0</v>
      </c>
    </row>
    <row r="49" spans="2:10">
      <c r="B49" s="33"/>
      <c r="C49" s="33" t="s">
        <v>297</v>
      </c>
      <c r="D49" s="107"/>
      <c r="E49" s="107"/>
      <c r="F49" s="107"/>
      <c r="G49" s="107"/>
      <c r="H49" s="107"/>
      <c r="I49" s="107"/>
      <c r="J49" s="107"/>
    </row>
    <row r="50" spans="2:10" ht="15">
      <c r="B50" s="33"/>
      <c r="C50" s="33" t="s">
        <v>298</v>
      </c>
      <c r="D50" s="100">
        <f>D48+D49</f>
        <v>0</v>
      </c>
      <c r="E50" s="100">
        <f t="shared" ref="E50:J50" si="16">E48+E49</f>
        <v>0</v>
      </c>
      <c r="F50" s="100">
        <f t="shared" si="16"/>
        <v>0</v>
      </c>
      <c r="G50" s="100">
        <f t="shared" si="16"/>
        <v>0</v>
      </c>
      <c r="H50" s="100">
        <f t="shared" si="16"/>
        <v>0</v>
      </c>
      <c r="I50" s="100">
        <f t="shared" si="16"/>
        <v>0</v>
      </c>
      <c r="J50" s="100">
        <f t="shared" si="16"/>
        <v>0</v>
      </c>
    </row>
    <row r="51" spans="2:10">
      <c r="B51" s="33"/>
      <c r="C51" s="33" t="s">
        <v>296</v>
      </c>
      <c r="D51" s="107"/>
      <c r="E51" s="107"/>
      <c r="F51" s="107"/>
      <c r="G51" s="107"/>
      <c r="H51" s="107"/>
      <c r="I51" s="107"/>
      <c r="J51" s="107"/>
    </row>
    <row r="52" spans="2:10" ht="15">
      <c r="B52" s="26"/>
      <c r="C52" s="44" t="s">
        <v>139</v>
      </c>
      <c r="D52" s="107"/>
      <c r="E52" s="107"/>
      <c r="F52" s="107"/>
      <c r="G52" s="107"/>
      <c r="H52" s="107"/>
      <c r="I52" s="107"/>
      <c r="J52" s="107"/>
    </row>
    <row r="53" spans="2:10" ht="15">
      <c r="B53" s="33"/>
      <c r="C53" s="33" t="s">
        <v>13</v>
      </c>
      <c r="D53" s="100">
        <f>D32+D42</f>
        <v>0</v>
      </c>
      <c r="E53" s="100">
        <f t="shared" ref="E53:J55" si="17">E32+E42</f>
        <v>0</v>
      </c>
      <c r="F53" s="100">
        <f t="shared" si="17"/>
        <v>0</v>
      </c>
      <c r="G53" s="100">
        <f t="shared" si="17"/>
        <v>0</v>
      </c>
      <c r="H53" s="100">
        <f t="shared" si="17"/>
        <v>0</v>
      </c>
      <c r="I53" s="100">
        <f t="shared" si="17"/>
        <v>0</v>
      </c>
      <c r="J53" s="100">
        <f t="shared" si="17"/>
        <v>0</v>
      </c>
    </row>
    <row r="54" spans="2:10" ht="15">
      <c r="B54" s="33"/>
      <c r="C54" s="33" t="s">
        <v>177</v>
      </c>
      <c r="D54" s="100">
        <f>D33+D43</f>
        <v>0</v>
      </c>
      <c r="E54" s="100">
        <f t="shared" si="17"/>
        <v>0</v>
      </c>
      <c r="F54" s="100">
        <f t="shared" si="17"/>
        <v>0</v>
      </c>
      <c r="G54" s="100">
        <f t="shared" si="17"/>
        <v>0</v>
      </c>
      <c r="H54" s="100">
        <f t="shared" si="17"/>
        <v>0</v>
      </c>
      <c r="I54" s="100">
        <f t="shared" si="17"/>
        <v>0</v>
      </c>
      <c r="J54" s="100">
        <f t="shared" si="17"/>
        <v>0</v>
      </c>
    </row>
    <row r="55" spans="2:10" ht="15">
      <c r="B55" s="33"/>
      <c r="C55" s="33" t="s">
        <v>14</v>
      </c>
      <c r="D55" s="100">
        <f>D34+D44</f>
        <v>0</v>
      </c>
      <c r="E55" s="100">
        <f t="shared" si="17"/>
        <v>0</v>
      </c>
      <c r="F55" s="100">
        <f t="shared" si="17"/>
        <v>0</v>
      </c>
      <c r="G55" s="100">
        <f t="shared" si="17"/>
        <v>0</v>
      </c>
      <c r="H55" s="100">
        <f t="shared" si="17"/>
        <v>0</v>
      </c>
      <c r="I55" s="100">
        <f t="shared" si="17"/>
        <v>0</v>
      </c>
      <c r="J55" s="100">
        <f t="shared" si="17"/>
        <v>0</v>
      </c>
    </row>
    <row r="56" spans="2:10" ht="15">
      <c r="B56" s="33"/>
      <c r="C56" s="33" t="s">
        <v>15</v>
      </c>
      <c r="D56" s="100">
        <f>D53+D54-D55</f>
        <v>0</v>
      </c>
      <c r="E56" s="100">
        <f t="shared" ref="E56:J56" si="18">E53+E54-E55</f>
        <v>0</v>
      </c>
      <c r="F56" s="100">
        <f t="shared" si="18"/>
        <v>0</v>
      </c>
      <c r="G56" s="100">
        <f t="shared" si="18"/>
        <v>0</v>
      </c>
      <c r="H56" s="100">
        <f t="shared" si="18"/>
        <v>0</v>
      </c>
      <c r="I56" s="100">
        <f t="shared" si="18"/>
        <v>0</v>
      </c>
      <c r="J56" s="100">
        <f t="shared" si="18"/>
        <v>0</v>
      </c>
    </row>
    <row r="57" spans="2:10" ht="15">
      <c r="B57" s="33"/>
      <c r="C57" s="33" t="s">
        <v>232</v>
      </c>
      <c r="D57" s="100">
        <f>AVERAGE(D53,D56)</f>
        <v>0</v>
      </c>
      <c r="E57" s="100">
        <f t="shared" ref="E57:J57" si="19">AVERAGE(E53,E56)</f>
        <v>0</v>
      </c>
      <c r="F57" s="100">
        <f t="shared" si="19"/>
        <v>0</v>
      </c>
      <c r="G57" s="100">
        <f t="shared" si="19"/>
        <v>0</v>
      </c>
      <c r="H57" s="100">
        <f t="shared" si="19"/>
        <v>0</v>
      </c>
      <c r="I57" s="100">
        <f t="shared" si="19"/>
        <v>0</v>
      </c>
      <c r="J57" s="100">
        <f t="shared" si="19"/>
        <v>0</v>
      </c>
    </row>
    <row r="58" spans="2:10" ht="15">
      <c r="B58" s="33"/>
      <c r="C58" s="33" t="s">
        <v>16</v>
      </c>
      <c r="D58" s="124">
        <f>IFERROR(D59/D57,0)</f>
        <v>0</v>
      </c>
      <c r="E58" s="124">
        <f t="shared" ref="E58:J58" si="20">IFERROR(E59/E57,0)</f>
        <v>0</v>
      </c>
      <c r="F58" s="124">
        <f t="shared" si="20"/>
        <v>0</v>
      </c>
      <c r="G58" s="124">
        <f t="shared" si="20"/>
        <v>0</v>
      </c>
      <c r="H58" s="124">
        <f t="shared" si="20"/>
        <v>0</v>
      </c>
      <c r="I58" s="124">
        <f t="shared" si="20"/>
        <v>0</v>
      </c>
      <c r="J58" s="124">
        <f t="shared" si="20"/>
        <v>0</v>
      </c>
    </row>
    <row r="59" spans="2:10" ht="15">
      <c r="B59" s="33"/>
      <c r="C59" s="33" t="s">
        <v>294</v>
      </c>
      <c r="D59" s="100">
        <f>D38+D48</f>
        <v>0</v>
      </c>
      <c r="E59" s="100">
        <f t="shared" ref="E59:J60" si="21">E38+E48</f>
        <v>0</v>
      </c>
      <c r="F59" s="100">
        <f t="shared" si="21"/>
        <v>0</v>
      </c>
      <c r="G59" s="100">
        <f t="shared" si="21"/>
        <v>0</v>
      </c>
      <c r="H59" s="100">
        <f t="shared" si="21"/>
        <v>0</v>
      </c>
      <c r="I59" s="100">
        <f t="shared" si="21"/>
        <v>0</v>
      </c>
      <c r="J59" s="100">
        <f t="shared" si="21"/>
        <v>0</v>
      </c>
    </row>
    <row r="60" spans="2:10" ht="15">
      <c r="B60" s="33"/>
      <c r="C60" s="33" t="s">
        <v>297</v>
      </c>
      <c r="D60" s="100">
        <f>D39+D49</f>
        <v>0</v>
      </c>
      <c r="E60" s="100">
        <f t="shared" si="21"/>
        <v>0</v>
      </c>
      <c r="F60" s="100">
        <f t="shared" si="21"/>
        <v>0</v>
      </c>
      <c r="G60" s="100">
        <f t="shared" si="21"/>
        <v>0</v>
      </c>
      <c r="H60" s="100">
        <f t="shared" si="21"/>
        <v>0</v>
      </c>
      <c r="I60" s="100">
        <f t="shared" si="21"/>
        <v>0</v>
      </c>
      <c r="J60" s="100">
        <f t="shared" si="21"/>
        <v>0</v>
      </c>
    </row>
    <row r="61" spans="2:10" ht="15">
      <c r="B61" s="33"/>
      <c r="C61" s="33" t="s">
        <v>298</v>
      </c>
      <c r="D61" s="100">
        <f>D59+D60</f>
        <v>0</v>
      </c>
      <c r="E61" s="100">
        <f t="shared" ref="E61:J61" si="22">E59+E60</f>
        <v>0</v>
      </c>
      <c r="F61" s="100">
        <f t="shared" si="22"/>
        <v>0</v>
      </c>
      <c r="G61" s="100">
        <f t="shared" si="22"/>
        <v>0</v>
      </c>
      <c r="H61" s="100">
        <f t="shared" si="22"/>
        <v>0</v>
      </c>
      <c r="I61" s="100">
        <f t="shared" si="22"/>
        <v>0</v>
      </c>
      <c r="J61" s="100">
        <f t="shared" si="22"/>
        <v>0</v>
      </c>
    </row>
  </sheetData>
  <mergeCells count="11">
    <mergeCell ref="B2:M2"/>
    <mergeCell ref="B3:M3"/>
    <mergeCell ref="B4:M4"/>
    <mergeCell ref="E28:G28"/>
    <mergeCell ref="H28:J28"/>
    <mergeCell ref="B7:B9"/>
    <mergeCell ref="C7:C9"/>
    <mergeCell ref="D7:F7"/>
    <mergeCell ref="I7:M7"/>
    <mergeCell ref="B28:B30"/>
    <mergeCell ref="C28:C30"/>
  </mergeCells>
  <pageMargins left="0" right="0" top="0.2" bottom="0.2" header="0.2" footer="0.23622047244094491"/>
  <pageSetup paperSize="9" scale="59" fitToHeight="0" orientation="landscape" r:id="rId1"/>
  <headerFooter alignWithMargins="0">
    <oddHeader>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2"/>
  <sheetViews>
    <sheetView showGridLines="0" topLeftCell="C7" zoomScale="92" zoomScaleNormal="92" zoomScaleSheetLayoutView="90" workbookViewId="0">
      <pane xSplit="1" topLeftCell="D1" activePane="topRight" state="frozen"/>
      <selection activeCell="C6" sqref="C6"/>
      <selection pane="topRight" activeCell="O9" sqref="O9"/>
    </sheetView>
  </sheetViews>
  <sheetFormatPr defaultColWidth="9.28515625" defaultRowHeight="14.25"/>
  <cols>
    <col min="1" max="1" width="4.28515625" style="5" customWidth="1"/>
    <col min="2" max="2" width="6.28515625" style="5" customWidth="1"/>
    <col min="3" max="3" width="25.7109375" style="214" customWidth="1"/>
    <col min="4" max="7" width="11.42578125" style="5" customWidth="1"/>
    <col min="8" max="8" width="12.5703125" style="5" customWidth="1"/>
    <col min="9" max="13" width="11.425781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2" spans="2:13" ht="15.75">
      <c r="C2" s="353" t="s">
        <v>510</v>
      </c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2:13" ht="15.75">
      <c r="C3" s="353" t="s">
        <v>497</v>
      </c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2:13" ht="14.25" customHeight="1">
      <c r="C4" s="391" t="s">
        <v>558</v>
      </c>
      <c r="D4" s="391"/>
      <c r="E4" s="391"/>
      <c r="F4" s="391"/>
      <c r="G4" s="391"/>
      <c r="H4" s="391"/>
      <c r="I4" s="391"/>
      <c r="J4" s="391"/>
      <c r="K4" s="391"/>
      <c r="L4" s="391"/>
      <c r="M4" s="391"/>
    </row>
    <row r="5" spans="2:13" ht="15">
      <c r="M5" s="32" t="s">
        <v>4</v>
      </c>
    </row>
    <row r="6" spans="2:13" s="19" customFormat="1" ht="15" customHeight="1">
      <c r="B6" s="360" t="s">
        <v>209</v>
      </c>
      <c r="C6" s="365" t="s">
        <v>18</v>
      </c>
      <c r="D6" s="367" t="s">
        <v>473</v>
      </c>
      <c r="E6" s="368"/>
      <c r="F6" s="369"/>
      <c r="G6" s="367" t="s">
        <v>474</v>
      </c>
      <c r="H6" s="368"/>
      <c r="I6" s="370" t="s">
        <v>251</v>
      </c>
      <c r="J6" s="370"/>
      <c r="K6" s="370"/>
      <c r="L6" s="370"/>
      <c r="M6" s="370"/>
    </row>
    <row r="7" spans="2:13" s="19" customFormat="1" ht="45">
      <c r="B7" s="361"/>
      <c r="C7" s="365"/>
      <c r="D7" s="21" t="s">
        <v>381</v>
      </c>
      <c r="E7" s="21" t="s">
        <v>269</v>
      </c>
      <c r="F7" s="21" t="s">
        <v>225</v>
      </c>
      <c r="G7" s="21" t="s">
        <v>381</v>
      </c>
      <c r="H7" s="21" t="s">
        <v>268</v>
      </c>
      <c r="I7" s="21" t="s">
        <v>475</v>
      </c>
      <c r="J7" s="21" t="s">
        <v>476</v>
      </c>
      <c r="K7" s="21" t="s">
        <v>477</v>
      </c>
      <c r="L7" s="21" t="s">
        <v>478</v>
      </c>
      <c r="M7" s="21" t="s">
        <v>479</v>
      </c>
    </row>
    <row r="8" spans="2:13" s="19" customFormat="1" ht="15">
      <c r="B8" s="362"/>
      <c r="C8" s="366"/>
      <c r="D8" s="21" t="s">
        <v>10</v>
      </c>
      <c r="E8" s="21" t="s">
        <v>12</v>
      </c>
      <c r="F8" s="21" t="s">
        <v>258</v>
      </c>
      <c r="G8" s="21" t="s">
        <v>10</v>
      </c>
      <c r="H8" s="21" t="s">
        <v>513</v>
      </c>
      <c r="I8" s="21" t="s">
        <v>8</v>
      </c>
      <c r="J8" s="21" t="s">
        <v>8</v>
      </c>
      <c r="K8" s="21" t="s">
        <v>8</v>
      </c>
      <c r="L8" s="21" t="s">
        <v>8</v>
      </c>
      <c r="M8" s="21" t="s">
        <v>8</v>
      </c>
    </row>
    <row r="9" spans="2:13" ht="28.5">
      <c r="B9" s="65">
        <v>1</v>
      </c>
      <c r="C9" s="70" t="s">
        <v>299</v>
      </c>
      <c r="D9" s="134">
        <f>'F10'!E23*'F12'!E16*30/365/10</f>
        <v>90.982308200907852</v>
      </c>
      <c r="E9" s="115">
        <f>'F10'!F23*'F12'!F16*30/365/10</f>
        <v>86.006474147408895</v>
      </c>
      <c r="F9" s="115">
        <f>E9</f>
        <v>86.006474147408895</v>
      </c>
      <c r="G9" s="121">
        <f>'F10'!H23*'F12'!H16*30/365/10</f>
        <v>102.50127655685412</v>
      </c>
      <c r="H9" s="121">
        <f>'F10'!I23*'F12'!I16*30/365/10</f>
        <v>99.061069443768616</v>
      </c>
      <c r="I9" s="121">
        <f>500*24*0.85*(1-0.093)*'F12'!J16*20/10000</f>
        <v>76.957499891219541</v>
      </c>
      <c r="J9" s="121">
        <f>500*24*0.85*(1-0.093)*'F12'!K16*20/10000</f>
        <v>78.496649889043923</v>
      </c>
      <c r="K9" s="121">
        <f>500*24*0.85*(1-0.093)*'F12'!L16*20/10000</f>
        <v>80.06658288682479</v>
      </c>
      <c r="L9" s="121">
        <f>500*24*0.85*(1-0.093)*'F12'!M16*20/10000</f>
        <v>81.667914544561285</v>
      </c>
      <c r="M9" s="121">
        <f>500*24*0.85*(1-0.093)*'F12'!N16*20/10000</f>
        <v>83.301272835452522</v>
      </c>
    </row>
    <row r="10" spans="2:13" ht="28.5">
      <c r="B10" s="26">
        <f>B9+1</f>
        <v>2</v>
      </c>
      <c r="C10" s="70" t="s">
        <v>300</v>
      </c>
      <c r="D10" s="134">
        <f>'F10'!E23*'F12'!E16*30/365/10</f>
        <v>90.982308200907852</v>
      </c>
      <c r="E10" s="115">
        <f>'F10'!F23*'F12'!F16*30/365/10</f>
        <v>86.006474147408895</v>
      </c>
      <c r="F10" s="115">
        <f>E10</f>
        <v>86.006474147408895</v>
      </c>
      <c r="G10" s="121">
        <f>'F10'!H23*'F12'!H16*30/365/10</f>
        <v>102.50127655685412</v>
      </c>
      <c r="H10" s="121">
        <f>H9</f>
        <v>99.061069443768616</v>
      </c>
      <c r="I10" s="121">
        <f>500*24*0.85*(1-0.093)*'F12'!J16*30/10000</f>
        <v>115.4362498368293</v>
      </c>
      <c r="J10" s="121">
        <f>500*24*0.85*(1-0.093)*'F12'!K16*30/10000</f>
        <v>117.74497483356588</v>
      </c>
      <c r="K10" s="121">
        <f>500*24*0.85*(1-0.093)*'F12'!L16*30/10000</f>
        <v>120.09987433023718</v>
      </c>
      <c r="L10" s="121">
        <f>500*24*0.85*(1-0.093)*'F12'!M16*30/10000</f>
        <v>122.50187181684193</v>
      </c>
      <c r="M10" s="121">
        <f>500*24*0.85*(1-0.093)*'F12'!N16*30/10000</f>
        <v>124.9519092531788</v>
      </c>
    </row>
    <row r="11" spans="2:13">
      <c r="B11" s="26">
        <f t="shared" ref="B11:B19" si="0">B10+1</f>
        <v>3</v>
      </c>
      <c r="C11" s="43" t="s">
        <v>301</v>
      </c>
      <c r="D11" s="134">
        <f>'F10'!E23*'F12'!E17*2/12/10</f>
        <v>7.6260120146520149</v>
      </c>
      <c r="E11" s="115">
        <f>'F10'!F23*'F12'!F17*2/12/10</f>
        <v>2.0324583923004789</v>
      </c>
      <c r="F11" s="115">
        <f>E11</f>
        <v>2.0324583923004789</v>
      </c>
      <c r="G11" s="121">
        <f>'F10'!H23*'F12'!H17*2/12/10</f>
        <v>7.1007966137297682</v>
      </c>
      <c r="H11" s="121">
        <f>'F10'!I23*'F12'!I17*2/12/10</f>
        <v>1.4318389996657594</v>
      </c>
      <c r="I11" s="121">
        <f>500*24*0.85*(1-0.093)*365*'F12'!J17/10000/12</f>
        <v>0.96674089640355021</v>
      </c>
      <c r="J11" s="121">
        <f>500*24*0.85*(1-0.093)*365*'F12'!K17/10000/12</f>
        <v>0.986075714331621</v>
      </c>
      <c r="K11" s="121">
        <f>500*24*0.85*(1-0.093)*365*'F12'!L17/10000/12</f>
        <v>1.0057972286182535</v>
      </c>
      <c r="L11" s="121">
        <f>500*24*0.85*(1-0.093)*365*'F12'!M17/10000/12</f>
        <v>1.0259131731906186</v>
      </c>
      <c r="M11" s="121">
        <f>500*24*0.85*(1-0.093)*365*'F12'!N17/10000/12</f>
        <v>1.0464314366544307</v>
      </c>
    </row>
    <row r="12" spans="2:13">
      <c r="B12" s="26">
        <f t="shared" si="0"/>
        <v>4</v>
      </c>
      <c r="C12" s="70" t="s">
        <v>302</v>
      </c>
      <c r="D12" s="131">
        <f>'F1'!F11/12</f>
        <v>15.717404999999999</v>
      </c>
      <c r="E12" s="131">
        <f>'F1'!G11/12</f>
        <v>20.469809736304565</v>
      </c>
      <c r="F12" s="115">
        <f t="shared" ref="F12:F13" si="1">E12</f>
        <v>20.469809736304565</v>
      </c>
      <c r="G12" s="131">
        <f>'F2'!H13/12</f>
        <v>16.544166666666666</v>
      </c>
      <c r="H12" s="131">
        <f>'F1'!J11/12</f>
        <v>22.690695803135167</v>
      </c>
      <c r="I12" s="131">
        <f>'F1'!K11/12</f>
        <v>22.521152142029266</v>
      </c>
      <c r="J12" s="131">
        <f>'F1'!L11/12</f>
        <v>23.701712774048087</v>
      </c>
      <c r="K12" s="131">
        <f>'F1'!M11/12</f>
        <v>24.94777897964234</v>
      </c>
      <c r="L12" s="131">
        <f>'F1'!N11/12</f>
        <v>26.252503230400766</v>
      </c>
      <c r="M12" s="131">
        <f>'F1'!O11/12</f>
        <v>27.593839191516185</v>
      </c>
    </row>
    <row r="13" spans="2:13" s="38" customFormat="1" ht="15">
      <c r="B13" s="26">
        <f t="shared" si="0"/>
        <v>5</v>
      </c>
      <c r="C13" s="43" t="s">
        <v>303</v>
      </c>
      <c r="D13" s="131">
        <f>20%*'F1'!F11</f>
        <v>37.721772000000001</v>
      </c>
      <c r="E13" s="115">
        <f>20%*'F1'!G11</f>
        <v>49.127543367130954</v>
      </c>
      <c r="F13" s="115">
        <f t="shared" si="1"/>
        <v>49.127543367130954</v>
      </c>
      <c r="G13" s="115">
        <f>'F1'!I11*20%</f>
        <v>39.31</v>
      </c>
      <c r="H13" s="115">
        <f>20%*'F1'!J11</f>
        <v>54.4576699275244</v>
      </c>
      <c r="I13" s="115">
        <f>'F4'!F49*1%</f>
        <v>22.761100000000003</v>
      </c>
      <c r="J13" s="115">
        <f>'F4'!F57*1%</f>
        <v>23.1435</v>
      </c>
      <c r="K13" s="115">
        <f>'F4'!F66*1%</f>
        <v>23.528500000000001</v>
      </c>
      <c r="L13" s="115">
        <f>'F4'!F75*1%</f>
        <v>23.828499999999998</v>
      </c>
      <c r="M13" s="115">
        <f>'F4'!F84*1%</f>
        <v>23.828499999999998</v>
      </c>
    </row>
    <row r="14" spans="2:13">
      <c r="B14" s="26">
        <f t="shared" si="0"/>
        <v>6</v>
      </c>
      <c r="C14" s="70" t="s">
        <v>418</v>
      </c>
      <c r="D14" s="131">
        <f>('F1'!F22+'F1'!F16)*2/12</f>
        <v>263.53272475538182</v>
      </c>
      <c r="E14" s="131">
        <f ca="1">('F1'!G22+'F1'!G16)*2/12</f>
        <v>253.12420586042489</v>
      </c>
      <c r="F14" s="131">
        <f ca="1">('F1'!H22+'F1'!H16)*2/12</f>
        <v>253.12420586042489</v>
      </c>
      <c r="G14" s="131">
        <f>('F1'!I22+'F1'!I16)*2/12</f>
        <v>278.70560740957291</v>
      </c>
      <c r="H14" s="131">
        <f ca="1">('F1'!J22+'F1'!J16)*2/12</f>
        <v>284.93319377636993</v>
      </c>
      <c r="I14" s="131">
        <f ca="1">('F1'!K22+'F1'!K16)*45/365</f>
        <v>227.26464921781306</v>
      </c>
      <c r="J14" s="131">
        <f ca="1">('F1'!L22+'F1'!L16)*45/365</f>
        <v>233.64007466191683</v>
      </c>
      <c r="K14" s="131">
        <f ca="1">('F1'!M22+'F1'!M16)*45/365</f>
        <v>240.53620804698235</v>
      </c>
      <c r="L14" s="131">
        <f ca="1">('F1'!N22+'F1'!N16)*45/365</f>
        <v>247.51085299922548</v>
      </c>
      <c r="M14" s="131">
        <f ca="1">('F1'!O22+'F1'!O16)*45/365</f>
        <v>251.16364385491502</v>
      </c>
    </row>
    <row r="15" spans="2:13">
      <c r="B15" s="26"/>
      <c r="C15" s="70" t="s">
        <v>304</v>
      </c>
      <c r="D15" s="131"/>
      <c r="E15" s="115"/>
      <c r="F15" s="115"/>
      <c r="G15" s="115"/>
      <c r="H15" s="115"/>
      <c r="I15" s="115"/>
      <c r="J15" s="115"/>
      <c r="K15" s="115"/>
      <c r="L15" s="115"/>
      <c r="M15" s="115"/>
    </row>
    <row r="16" spans="2:13">
      <c r="B16" s="26">
        <f>B14+1</f>
        <v>7</v>
      </c>
      <c r="C16" s="70" t="s">
        <v>419</v>
      </c>
      <c r="D16" s="131">
        <f>'F10'!E23*'F12'!E18*30/365/10</f>
        <v>94.743081249229391</v>
      </c>
      <c r="E16" s="131">
        <f>'F10'!F23*'F12'!F18*30/365/10</f>
        <v>87.008782395666657</v>
      </c>
      <c r="F16" s="131">
        <f>'F10'!G23*'F12'!G18*30/365/10</f>
        <v>87.008782395666657</v>
      </c>
      <c r="G16" s="131">
        <f>'F10'!H23*'F12'!H18*30/365/10</f>
        <v>106.0030392704743</v>
      </c>
      <c r="H16" s="131">
        <f>'F10'!I23*'F12'!I18*30/365/10</f>
        <v>99.767181827165444</v>
      </c>
      <c r="I16" s="131">
        <f>500*24*0.85*30*(1-0.093)*'F12'!J18/10000</f>
        <v>116.38974770725474</v>
      </c>
      <c r="J16" s="131">
        <f>500*24*0.85*30*(1-0.093)*'F12'!K18/10000</f>
        <v>118.71754266139982</v>
      </c>
      <c r="K16" s="131">
        <f>500*24*0.85*30*(1-0.093)*'F12'!L18/10000</f>
        <v>121.0918935146278</v>
      </c>
      <c r="L16" s="131">
        <f>500*24*0.85*30*(1-0.093)*'F12'!M18/10000</f>
        <v>123.51373138492035</v>
      </c>
      <c r="M16" s="131">
        <f>500*24*0.85*30*(1-0.093)*'F12'!N18/10000</f>
        <v>125.98400601261878</v>
      </c>
    </row>
    <row r="17" spans="2:13" ht="28.5">
      <c r="B17" s="26">
        <f t="shared" si="0"/>
        <v>8</v>
      </c>
      <c r="C17" s="70" t="s">
        <v>55</v>
      </c>
      <c r="D17" s="123">
        <f>SUM(D9:D14)-D16</f>
        <v>411.81944892262015</v>
      </c>
      <c r="E17" s="123">
        <f t="shared" ref="E17:M17" ca="1" si="2">SUM(E9:E14)-E16</f>
        <v>409.75818325531202</v>
      </c>
      <c r="F17" s="123">
        <f t="shared" ca="1" si="2"/>
        <v>409.75818325531202</v>
      </c>
      <c r="G17" s="123">
        <f t="shared" si="2"/>
        <v>440.66008453320325</v>
      </c>
      <c r="H17" s="123">
        <f t="shared" ca="1" si="2"/>
        <v>461.86835556706694</v>
      </c>
      <c r="I17" s="123">
        <f t="shared" ca="1" si="2"/>
        <v>349.51764427703995</v>
      </c>
      <c r="J17" s="123">
        <f t="shared" ca="1" si="2"/>
        <v>358.99544521150648</v>
      </c>
      <c r="K17" s="123">
        <f t="shared" ca="1" si="2"/>
        <v>369.09284795767712</v>
      </c>
      <c r="L17" s="123">
        <f t="shared" ca="1" si="2"/>
        <v>379.27382437929975</v>
      </c>
      <c r="M17" s="123">
        <f t="shared" ca="1" si="2"/>
        <v>385.90159055909817</v>
      </c>
    </row>
    <row r="18" spans="2:13">
      <c r="B18" s="26">
        <f t="shared" si="0"/>
        <v>9</v>
      </c>
      <c r="C18" s="70" t="s">
        <v>305</v>
      </c>
      <c r="D18" s="140">
        <v>8.5500000000000007E-2</v>
      </c>
      <c r="E18" s="140">
        <v>9.4382191780821911E-2</v>
      </c>
      <c r="F18" s="140">
        <f>E18</f>
        <v>9.4382191780821911E-2</v>
      </c>
      <c r="G18" s="140">
        <v>8.5500000000000007E-2</v>
      </c>
      <c r="H18" s="140">
        <v>0.1008</v>
      </c>
      <c r="I18" s="140">
        <v>0.10150000000000001</v>
      </c>
      <c r="J18" s="140">
        <v>0.10150000000000001</v>
      </c>
      <c r="K18" s="140">
        <v>0.10150000000000001</v>
      </c>
      <c r="L18" s="140">
        <v>0.10150000000000001</v>
      </c>
      <c r="M18" s="140">
        <v>0.10150000000000001</v>
      </c>
    </row>
    <row r="19" spans="2:13" ht="15">
      <c r="B19" s="26">
        <f t="shared" si="0"/>
        <v>10</v>
      </c>
      <c r="C19" s="70" t="s">
        <v>306</v>
      </c>
      <c r="D19" s="123">
        <v>30.27</v>
      </c>
      <c r="E19" s="123">
        <f ca="1">E17*E18</f>
        <v>38.673875435764032</v>
      </c>
      <c r="F19" s="123">
        <f t="shared" ref="F19:M19" ca="1" si="3">F17*F18</f>
        <v>38.673875435764032</v>
      </c>
      <c r="G19" s="123">
        <v>30.55</v>
      </c>
      <c r="H19" s="123">
        <f t="shared" ca="1" si="3"/>
        <v>46.556330241160346</v>
      </c>
      <c r="I19" s="123">
        <f t="shared" ca="1" si="3"/>
        <v>35.476040894119556</v>
      </c>
      <c r="J19" s="123">
        <f t="shared" ca="1" si="3"/>
        <v>36.43803768896791</v>
      </c>
      <c r="K19" s="123">
        <f t="shared" ca="1" si="3"/>
        <v>37.462924067704229</v>
      </c>
      <c r="L19" s="123">
        <f t="shared" ca="1" si="3"/>
        <v>38.496293174498931</v>
      </c>
      <c r="M19" s="123">
        <f t="shared" ca="1" si="3"/>
        <v>39.169011441748466</v>
      </c>
    </row>
    <row r="21" spans="2:13">
      <c r="C21" s="214" t="s">
        <v>271</v>
      </c>
    </row>
    <row r="22" spans="2:13" ht="16.5" customHeight="1">
      <c r="C22" s="390" t="s">
        <v>420</v>
      </c>
      <c r="D22" s="390"/>
      <c r="E22" s="390"/>
      <c r="F22" s="390"/>
      <c r="G22" s="390"/>
      <c r="H22" s="390"/>
      <c r="I22" s="390"/>
      <c r="J22" s="390"/>
      <c r="K22" s="390"/>
      <c r="L22" s="390"/>
      <c r="M22" s="390"/>
    </row>
  </sheetData>
  <mergeCells count="9">
    <mergeCell ref="C22:M22"/>
    <mergeCell ref="C2:M2"/>
    <mergeCell ref="C3:M3"/>
    <mergeCell ref="C4:M4"/>
    <mergeCell ref="B6:B8"/>
    <mergeCell ref="C6:C8"/>
    <mergeCell ref="D6:F6"/>
    <mergeCell ref="G6:H6"/>
    <mergeCell ref="I6:M6"/>
  </mergeCells>
  <pageMargins left="0" right="0.25" top="1" bottom="1" header="0.25" footer="0.25"/>
  <pageSetup paperSize="9" orientation="landscape" r:id="rId1"/>
  <headerFooter alignWithMargins="0"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24"/>
  <sheetViews>
    <sheetView showGridLines="0" topLeftCell="A10" zoomScale="91" zoomScaleNormal="91" zoomScaleSheetLayoutView="90" workbookViewId="0">
      <selection activeCell="O12" sqref="O12"/>
    </sheetView>
  </sheetViews>
  <sheetFormatPr defaultColWidth="9.28515625" defaultRowHeight="14.25"/>
  <cols>
    <col min="1" max="1" width="3.28515625" style="5" customWidth="1"/>
    <col min="2" max="2" width="6.28515625" style="5" customWidth="1"/>
    <col min="3" max="3" width="42.140625" style="214" customWidth="1"/>
    <col min="4" max="6" width="10" style="5" customWidth="1"/>
    <col min="7" max="7" width="10.5703125" style="5" customWidth="1"/>
    <col min="8" max="13" width="10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3" spans="2:13" ht="15" customHeight="1">
      <c r="B3" s="353" t="s">
        <v>510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2:13" ht="15" customHeight="1">
      <c r="B4" s="353" t="s">
        <v>497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5" spans="2:13" ht="15" customHeight="1">
      <c r="B5" s="391" t="s">
        <v>559</v>
      </c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</row>
    <row r="6" spans="2:13" ht="15">
      <c r="M6" s="32" t="s">
        <v>4</v>
      </c>
    </row>
    <row r="7" spans="2:13" s="19" customFormat="1" ht="15" customHeight="1">
      <c r="B7" s="360" t="s">
        <v>209</v>
      </c>
      <c r="C7" s="365" t="s">
        <v>18</v>
      </c>
      <c r="D7" s="367" t="s">
        <v>473</v>
      </c>
      <c r="E7" s="368"/>
      <c r="F7" s="369"/>
      <c r="G7" s="367" t="s">
        <v>474</v>
      </c>
      <c r="H7" s="369"/>
      <c r="I7" s="370" t="s">
        <v>251</v>
      </c>
      <c r="J7" s="370"/>
      <c r="K7" s="370"/>
      <c r="L7" s="370"/>
      <c r="M7" s="370"/>
    </row>
    <row r="8" spans="2:13" s="19" customFormat="1" ht="45">
      <c r="B8" s="361"/>
      <c r="C8" s="365"/>
      <c r="D8" s="21" t="s">
        <v>381</v>
      </c>
      <c r="E8" s="21" t="s">
        <v>269</v>
      </c>
      <c r="F8" s="21" t="s">
        <v>225</v>
      </c>
      <c r="G8" s="21" t="s">
        <v>381</v>
      </c>
      <c r="H8" s="21" t="s">
        <v>268</v>
      </c>
      <c r="I8" s="21" t="s">
        <v>475</v>
      </c>
      <c r="J8" s="21" t="s">
        <v>476</v>
      </c>
      <c r="K8" s="21" t="s">
        <v>477</v>
      </c>
      <c r="L8" s="21" t="s">
        <v>478</v>
      </c>
      <c r="M8" s="21" t="s">
        <v>479</v>
      </c>
    </row>
    <row r="9" spans="2:13" s="19" customFormat="1" ht="30">
      <c r="B9" s="362"/>
      <c r="C9" s="366"/>
      <c r="D9" s="21" t="s">
        <v>10</v>
      </c>
      <c r="E9" s="21" t="s">
        <v>12</v>
      </c>
      <c r="F9" s="21" t="s">
        <v>258</v>
      </c>
      <c r="G9" s="21" t="s">
        <v>10</v>
      </c>
      <c r="H9" s="21" t="s">
        <v>513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 ht="28.5">
      <c r="B10" s="65">
        <v>1</v>
      </c>
      <c r="C10" s="70" t="s">
        <v>241</v>
      </c>
      <c r="D10" s="134">
        <f>'F4'!F22*30%</f>
        <v>680.96400000000006</v>
      </c>
      <c r="E10" s="45">
        <f>'F4'!F22*30%</f>
        <v>680.96400000000006</v>
      </c>
      <c r="F10" s="45">
        <f>E10</f>
        <v>680.96400000000006</v>
      </c>
      <c r="G10" s="120"/>
      <c r="H10" s="121">
        <f>E14</f>
        <v>682.78200000000004</v>
      </c>
      <c r="I10" s="121">
        <f>'F4'!N49</f>
        <v>405.24</v>
      </c>
      <c r="J10" s="121">
        <f>'F4'!N57</f>
        <v>407.95489131944987</v>
      </c>
      <c r="K10" s="121">
        <f>'F4'!N66</f>
        <v>402.32578263889991</v>
      </c>
      <c r="L10" s="121">
        <f>'F4'!N75</f>
        <v>376.64667395834999</v>
      </c>
      <c r="M10" s="121">
        <f>'F4'!N84</f>
        <v>307.46756527780008</v>
      </c>
    </row>
    <row r="11" spans="2:13">
      <c r="B11" s="26">
        <f>B10+1</f>
        <v>2</v>
      </c>
      <c r="C11" s="70" t="s">
        <v>242</v>
      </c>
      <c r="D11" s="118"/>
      <c r="E11" s="115">
        <f>'F3'!E11</f>
        <v>6.06</v>
      </c>
      <c r="F11" s="115">
        <f>E11</f>
        <v>6.06</v>
      </c>
      <c r="G11" s="120"/>
      <c r="H11" s="121">
        <f>F3.1!H24</f>
        <v>0.17267858799999999</v>
      </c>
      <c r="I11" s="121">
        <f>F3.1!H32</f>
        <v>38.239999999999995</v>
      </c>
      <c r="J11" s="121">
        <f>F3.1!H38</f>
        <v>38.5</v>
      </c>
      <c r="K11" s="121">
        <f>F3.1!H44</f>
        <v>30</v>
      </c>
      <c r="L11" s="121">
        <f>F3.1!H50</f>
        <v>0</v>
      </c>
      <c r="M11" s="121">
        <f>F3.1!H56</f>
        <v>0.5</v>
      </c>
    </row>
    <row r="12" spans="2:13" ht="28.5">
      <c r="B12" s="26">
        <f t="shared" ref="B12:B22" si="0">B11+1</f>
        <v>3</v>
      </c>
      <c r="C12" s="43" t="s">
        <v>19</v>
      </c>
      <c r="D12" s="134">
        <f>D11*25%</f>
        <v>0</v>
      </c>
      <c r="E12" s="134">
        <f>E11*30%</f>
        <v>1.8179999999999998</v>
      </c>
      <c r="F12" s="134">
        <f>F11*30%</f>
        <v>1.8179999999999998</v>
      </c>
      <c r="G12" s="134">
        <f t="shared" ref="G12" si="1">G11*25%</f>
        <v>0</v>
      </c>
      <c r="H12" s="134">
        <f>H11*30%</f>
        <v>5.1803576399999995E-2</v>
      </c>
      <c r="I12" s="134">
        <f>I11*30%</f>
        <v>11.471999999999998</v>
      </c>
      <c r="J12" s="134">
        <f t="shared" ref="J12:M12" si="2">J11*30%</f>
        <v>11.549999999999999</v>
      </c>
      <c r="K12" s="134">
        <f t="shared" si="2"/>
        <v>9</v>
      </c>
      <c r="L12" s="134">
        <f t="shared" si="2"/>
        <v>0</v>
      </c>
      <c r="M12" s="134">
        <f t="shared" si="2"/>
        <v>0.15</v>
      </c>
    </row>
    <row r="13" spans="2:13" ht="28.5">
      <c r="B13" s="26">
        <f t="shared" si="0"/>
        <v>4</v>
      </c>
      <c r="C13" s="70" t="s">
        <v>20</v>
      </c>
      <c r="D13" s="122"/>
      <c r="E13" s="45"/>
      <c r="F13" s="118"/>
      <c r="G13" s="45"/>
      <c r="H13" s="45"/>
      <c r="I13" s="115"/>
      <c r="J13" s="115"/>
      <c r="K13" s="115"/>
      <c r="L13" s="115"/>
      <c r="M13" s="115"/>
    </row>
    <row r="14" spans="2:13" s="38" customFormat="1" ht="15">
      <c r="B14" s="26">
        <f t="shared" si="0"/>
        <v>5</v>
      </c>
      <c r="C14" s="43" t="s">
        <v>21</v>
      </c>
      <c r="D14" s="123">
        <f>D10+D12-D13</f>
        <v>680.96400000000006</v>
      </c>
      <c r="E14" s="123">
        <f t="shared" ref="E14:M14" si="3">E10+E12-E13</f>
        <v>682.78200000000004</v>
      </c>
      <c r="F14" s="123">
        <f>F10+F12-F13</f>
        <v>682.78200000000004</v>
      </c>
      <c r="G14" s="123">
        <f t="shared" si="3"/>
        <v>0</v>
      </c>
      <c r="H14" s="123">
        <f t="shared" si="3"/>
        <v>682.83380357639999</v>
      </c>
      <c r="I14" s="123">
        <f t="shared" si="3"/>
        <v>416.71199999999999</v>
      </c>
      <c r="J14" s="123">
        <f t="shared" si="3"/>
        <v>419.50489131944988</v>
      </c>
      <c r="K14" s="123">
        <f t="shared" si="3"/>
        <v>411.32578263889991</v>
      </c>
      <c r="L14" s="123">
        <f t="shared" si="3"/>
        <v>376.64667395834999</v>
      </c>
      <c r="M14" s="123">
        <f t="shared" si="3"/>
        <v>307.61756527780005</v>
      </c>
    </row>
    <row r="15" spans="2:13" s="38" customFormat="1" ht="15">
      <c r="B15" s="26"/>
      <c r="C15" s="72" t="s">
        <v>307</v>
      </c>
      <c r="D15" s="71"/>
      <c r="E15" s="35"/>
      <c r="F15" s="3"/>
      <c r="G15" s="35"/>
      <c r="H15" s="35"/>
      <c r="I15" s="35"/>
      <c r="J15" s="35"/>
      <c r="K15" s="35"/>
      <c r="L15" s="35"/>
      <c r="M15" s="35"/>
    </row>
    <row r="16" spans="2:13" s="38" customFormat="1" ht="15">
      <c r="B16" s="26">
        <f>B14+1</f>
        <v>6</v>
      </c>
      <c r="C16" s="43" t="s">
        <v>308</v>
      </c>
      <c r="D16" s="103">
        <v>0.155</v>
      </c>
      <c r="E16" s="103">
        <v>0.155</v>
      </c>
      <c r="F16" s="103">
        <v>0.155</v>
      </c>
      <c r="G16" s="103">
        <v>0.155</v>
      </c>
      <c r="H16" s="103">
        <v>0.155</v>
      </c>
      <c r="I16" s="103">
        <v>0.155</v>
      </c>
      <c r="J16" s="103">
        <v>0.155</v>
      </c>
      <c r="K16" s="103">
        <v>0.155</v>
      </c>
      <c r="L16" s="103">
        <v>0.155</v>
      </c>
      <c r="M16" s="103">
        <v>0.155</v>
      </c>
    </row>
    <row r="17" spans="2:13" s="38" customFormat="1" ht="15">
      <c r="B17" s="26">
        <f>B16+1</f>
        <v>7</v>
      </c>
      <c r="C17" s="43" t="s">
        <v>309</v>
      </c>
      <c r="D17" s="104">
        <v>0.17471999999999999</v>
      </c>
      <c r="E17" s="132">
        <v>0.25168000000000001</v>
      </c>
      <c r="F17" s="132">
        <v>0.25168000000000001</v>
      </c>
      <c r="G17" s="132">
        <v>0.25168000000000001</v>
      </c>
      <c r="H17" s="132">
        <v>0.25168000000000001</v>
      </c>
      <c r="I17" s="132">
        <v>0.25168000000000001</v>
      </c>
      <c r="J17" s="132">
        <v>0.25168000000000001</v>
      </c>
      <c r="K17" s="132">
        <v>0.25168000000000001</v>
      </c>
      <c r="L17" s="132">
        <v>0.25168000000000001</v>
      </c>
      <c r="M17" s="132">
        <v>0.25168000000000001</v>
      </c>
    </row>
    <row r="18" spans="2:13" s="38" customFormat="1" ht="15">
      <c r="B18" s="26">
        <f>B17+1</f>
        <v>8</v>
      </c>
      <c r="C18" s="36" t="s">
        <v>307</v>
      </c>
      <c r="D18" s="105">
        <f>D16/(1-D17)</f>
        <v>0.18781504459092671</v>
      </c>
      <c r="E18" s="105">
        <f t="shared" ref="E18:M18" si="4">E16/(1-E17)</f>
        <v>0.20713063929869574</v>
      </c>
      <c r="F18" s="105">
        <f t="shared" si="4"/>
        <v>0.20713063929869574</v>
      </c>
      <c r="G18" s="105">
        <f t="shared" si="4"/>
        <v>0.20713063929869574</v>
      </c>
      <c r="H18" s="105">
        <f t="shared" si="4"/>
        <v>0.20713063929869574</v>
      </c>
      <c r="I18" s="105">
        <f t="shared" si="4"/>
        <v>0.20713063929869574</v>
      </c>
      <c r="J18" s="105">
        <f t="shared" si="4"/>
        <v>0.20713063929869574</v>
      </c>
      <c r="K18" s="105">
        <f t="shared" si="4"/>
        <v>0.20713063929869574</v>
      </c>
      <c r="L18" s="105">
        <f t="shared" si="4"/>
        <v>0.20713063929869574</v>
      </c>
      <c r="M18" s="105">
        <f t="shared" si="4"/>
        <v>0.20713063929869574</v>
      </c>
    </row>
    <row r="19" spans="2:13" ht="15">
      <c r="B19" s="26"/>
      <c r="C19" s="72" t="s">
        <v>194</v>
      </c>
      <c r="D19" s="101"/>
      <c r="E19" s="35"/>
      <c r="F19" s="3"/>
      <c r="G19" s="35"/>
      <c r="H19" s="35"/>
      <c r="I19" s="35"/>
      <c r="J19" s="35"/>
      <c r="K19" s="35"/>
      <c r="L19" s="35"/>
      <c r="M19" s="35"/>
    </row>
    <row r="20" spans="2:13" ht="17.25" customHeight="1">
      <c r="B20" s="26">
        <f>B18+1</f>
        <v>9</v>
      </c>
      <c r="C20" s="70" t="s">
        <v>243</v>
      </c>
      <c r="D20" s="102">
        <f>D10*D18</f>
        <v>127.89528402481582</v>
      </c>
      <c r="E20" s="102">
        <f t="shared" ref="E20:M20" si="5">E10*E18</f>
        <v>141.04850865939704</v>
      </c>
      <c r="F20" s="102">
        <f t="shared" si="5"/>
        <v>141.04850865939704</v>
      </c>
      <c r="G20" s="102">
        <f t="shared" si="5"/>
        <v>0</v>
      </c>
      <c r="H20" s="102">
        <f t="shared" si="5"/>
        <v>141.42507216164208</v>
      </c>
      <c r="I20" s="102">
        <f t="shared" si="5"/>
        <v>83.937620269403467</v>
      </c>
      <c r="J20" s="102">
        <f t="shared" si="5"/>
        <v>84.499957444027586</v>
      </c>
      <c r="K20" s="102">
        <f t="shared" si="5"/>
        <v>83.333996564343437</v>
      </c>
      <c r="L20" s="102">
        <f t="shared" si="5"/>
        <v>78.015066366720447</v>
      </c>
      <c r="M20" s="102">
        <f t="shared" si="5"/>
        <v>63.685953359604191</v>
      </c>
    </row>
    <row r="21" spans="2:13" ht="18.75" customHeight="1">
      <c r="B21" s="26">
        <f t="shared" si="0"/>
        <v>10</v>
      </c>
      <c r="C21" s="70" t="s">
        <v>244</v>
      </c>
      <c r="D21" s="102">
        <f>AVERAGE(D10,D14)*D18-D20</f>
        <v>0</v>
      </c>
      <c r="E21" s="102">
        <f t="shared" ref="E21:M21" si="6">AVERAGE(E10,E14)*E18-E20</f>
        <v>0.1882817511225312</v>
      </c>
      <c r="F21" s="102">
        <f t="shared" si="6"/>
        <v>0.1882817511225312</v>
      </c>
      <c r="G21" s="102">
        <f t="shared" si="6"/>
        <v>0</v>
      </c>
      <c r="H21" s="102">
        <f t="shared" si="6"/>
        <v>5.3650539488501181E-3</v>
      </c>
      <c r="I21" s="102">
        <f t="shared" si="6"/>
        <v>1.1881013470173087</v>
      </c>
      <c r="J21" s="102">
        <f t="shared" si="6"/>
        <v>1.1961794419499654</v>
      </c>
      <c r="K21" s="102">
        <f t="shared" si="6"/>
        <v>0.93208787684413608</v>
      </c>
      <c r="L21" s="102">
        <f t="shared" si="6"/>
        <v>0</v>
      </c>
      <c r="M21" s="102">
        <f t="shared" si="6"/>
        <v>1.5534797947402978E-2</v>
      </c>
    </row>
    <row r="22" spans="2:13" ht="15">
      <c r="B22" s="26">
        <f t="shared" si="0"/>
        <v>11</v>
      </c>
      <c r="C22" s="72" t="s">
        <v>195</v>
      </c>
      <c r="D22" s="102">
        <v>127.89</v>
      </c>
      <c r="E22" s="102">
        <f t="shared" ref="E22:M22" si="7">E20+E21</f>
        <v>141.23679041051957</v>
      </c>
      <c r="F22" s="102">
        <f t="shared" si="7"/>
        <v>141.23679041051957</v>
      </c>
      <c r="G22" s="102">
        <v>127.89</v>
      </c>
      <c r="H22" s="102">
        <f t="shared" si="7"/>
        <v>141.43043721559093</v>
      </c>
      <c r="I22" s="102">
        <f t="shared" si="7"/>
        <v>85.125721616420776</v>
      </c>
      <c r="J22" s="102">
        <f t="shared" si="7"/>
        <v>85.696136885977552</v>
      </c>
      <c r="K22" s="102">
        <f t="shared" si="7"/>
        <v>84.266084441187573</v>
      </c>
      <c r="L22" s="102">
        <f t="shared" si="7"/>
        <v>78.015066366720447</v>
      </c>
      <c r="M22" s="102">
        <f t="shared" si="7"/>
        <v>63.701488157551594</v>
      </c>
    </row>
    <row r="23" spans="2:13">
      <c r="C23" s="214" t="s">
        <v>271</v>
      </c>
    </row>
    <row r="24" spans="2:13">
      <c r="C24" s="5" t="s">
        <v>422</v>
      </c>
      <c r="H24" s="129"/>
    </row>
  </sheetData>
  <mergeCells count="8">
    <mergeCell ref="B3:M3"/>
    <mergeCell ref="B4:M4"/>
    <mergeCell ref="B5:M5"/>
    <mergeCell ref="I7:M7"/>
    <mergeCell ref="G7:H7"/>
    <mergeCell ref="B7:B9"/>
    <mergeCell ref="C7:C9"/>
    <mergeCell ref="D7:F7"/>
  </mergeCells>
  <pageMargins left="0.23" right="0.25" top="1" bottom="1" header="0.25" footer="0.25"/>
  <pageSetup paperSize="9" scale="95" orientation="landscape" r:id="rId1"/>
  <headerFooter alignWithMargins="0">
    <oddHeader>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B1:M22"/>
  <sheetViews>
    <sheetView showGridLines="0" topLeftCell="A7" zoomScale="90" zoomScaleNormal="90" zoomScaleSheetLayoutView="90" workbookViewId="0">
      <selection activeCell="P17" sqref="P17"/>
    </sheetView>
  </sheetViews>
  <sheetFormatPr defaultColWidth="9.28515625" defaultRowHeight="14.25"/>
  <cols>
    <col min="1" max="1" width="2.7109375" style="5" customWidth="1"/>
    <col min="2" max="2" width="6.28515625" style="5" customWidth="1"/>
    <col min="3" max="3" width="36.7109375" style="214" customWidth="1"/>
    <col min="4" max="4" width="11.85546875" style="5" customWidth="1"/>
    <col min="5" max="6" width="10.5703125" style="5" customWidth="1"/>
    <col min="7" max="7" width="11.42578125" style="5" customWidth="1"/>
    <col min="8" max="8" width="12.5703125" style="5" customWidth="1"/>
    <col min="9" max="13" width="10.5703125" style="5" customWidth="1"/>
    <col min="14" max="16" width="11.7109375" style="5" bestFit="1" customWidth="1"/>
    <col min="17" max="16384" width="9.28515625" style="5"/>
  </cols>
  <sheetData>
    <row r="1" spans="2:13" ht="15">
      <c r="B1" s="30"/>
    </row>
    <row r="3" spans="2:13" ht="15.75">
      <c r="B3" s="353" t="s">
        <v>510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2:13" ht="15.75">
      <c r="B4" s="353" t="s">
        <v>497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5" spans="2:13" ht="15" customHeight="1">
      <c r="B5" s="391" t="s">
        <v>560</v>
      </c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</row>
    <row r="6" spans="2:13" ht="15">
      <c r="M6" s="32" t="s">
        <v>4</v>
      </c>
    </row>
    <row r="7" spans="2:13" s="19" customFormat="1" ht="15" customHeight="1">
      <c r="B7" s="360" t="s">
        <v>209</v>
      </c>
      <c r="C7" s="365" t="s">
        <v>18</v>
      </c>
      <c r="D7" s="367" t="s">
        <v>491</v>
      </c>
      <c r="E7" s="368"/>
      <c r="F7" s="369"/>
      <c r="G7" s="367" t="s">
        <v>474</v>
      </c>
      <c r="H7" s="369"/>
      <c r="I7" s="370" t="s">
        <v>251</v>
      </c>
      <c r="J7" s="370"/>
      <c r="K7" s="370"/>
      <c r="L7" s="370"/>
      <c r="M7" s="370"/>
    </row>
    <row r="8" spans="2:13" s="19" customFormat="1" ht="45">
      <c r="B8" s="361"/>
      <c r="C8" s="365"/>
      <c r="D8" s="21" t="s">
        <v>381</v>
      </c>
      <c r="E8" s="21" t="s">
        <v>269</v>
      </c>
      <c r="F8" s="21" t="s">
        <v>225</v>
      </c>
      <c r="G8" s="21" t="s">
        <v>381</v>
      </c>
      <c r="H8" s="21" t="s">
        <v>268</v>
      </c>
      <c r="I8" s="247" t="s">
        <v>475</v>
      </c>
      <c r="J8" s="247" t="s">
        <v>476</v>
      </c>
      <c r="K8" s="247" t="s">
        <v>477</v>
      </c>
      <c r="L8" s="247" t="s">
        <v>478</v>
      </c>
      <c r="M8" s="247" t="s">
        <v>479</v>
      </c>
    </row>
    <row r="9" spans="2:13" s="19" customFormat="1" ht="30">
      <c r="B9" s="362"/>
      <c r="C9" s="366"/>
      <c r="D9" s="21" t="s">
        <v>10</v>
      </c>
      <c r="E9" s="21" t="s">
        <v>12</v>
      </c>
      <c r="F9" s="21" t="s">
        <v>258</v>
      </c>
      <c r="G9" s="21" t="s">
        <v>10</v>
      </c>
      <c r="H9" s="21" t="s">
        <v>513</v>
      </c>
      <c r="I9" s="21" t="s">
        <v>8</v>
      </c>
      <c r="J9" s="21" t="s">
        <v>8</v>
      </c>
      <c r="K9" s="21" t="s">
        <v>8</v>
      </c>
      <c r="L9" s="21" t="s">
        <v>8</v>
      </c>
      <c r="M9" s="21" t="s">
        <v>8</v>
      </c>
    </row>
    <row r="10" spans="2:13">
      <c r="B10" s="65">
        <v>1</v>
      </c>
      <c r="C10" s="70" t="s">
        <v>310</v>
      </c>
      <c r="D10" s="118"/>
      <c r="E10" s="115">
        <v>0.11462105537137834</v>
      </c>
      <c r="F10" s="115">
        <v>0.11462105537137834</v>
      </c>
      <c r="G10" s="120"/>
      <c r="H10" s="121">
        <v>0.10986029304605802</v>
      </c>
      <c r="I10" s="121">
        <v>0.11920589758623348</v>
      </c>
      <c r="J10" s="121">
        <v>0.12397413348968282</v>
      </c>
      <c r="K10" s="121">
        <v>0.12893309882927015</v>
      </c>
      <c r="L10" s="121">
        <v>0.13409042278244096</v>
      </c>
      <c r="M10" s="121">
        <v>0.1394540396937386</v>
      </c>
    </row>
    <row r="11" spans="2:13" ht="28.5">
      <c r="B11" s="65">
        <f>B10+1</f>
        <v>2</v>
      </c>
      <c r="C11" s="70" t="s">
        <v>311</v>
      </c>
      <c r="D11" s="118"/>
      <c r="E11" s="115">
        <v>0</v>
      </c>
      <c r="F11" s="115">
        <v>0</v>
      </c>
      <c r="G11" s="120"/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</row>
    <row r="12" spans="2:13">
      <c r="B12" s="65">
        <f>B11+1</f>
        <v>3</v>
      </c>
      <c r="C12" s="70" t="s">
        <v>312</v>
      </c>
      <c r="D12" s="118"/>
      <c r="E12" s="115">
        <v>1.7866705328373089</v>
      </c>
      <c r="F12" s="115">
        <v>1.7866705328373089</v>
      </c>
      <c r="G12" s="120"/>
      <c r="H12" s="121">
        <v>2.1088217899999999</v>
      </c>
      <c r="I12" s="121">
        <v>1.7866705328373089</v>
      </c>
      <c r="J12" s="121">
        <v>1.8581373541508013</v>
      </c>
      <c r="K12" s="121">
        <v>1.9324628483168333</v>
      </c>
      <c r="L12" s="121">
        <v>2.0097613622495065</v>
      </c>
      <c r="M12" s="121">
        <v>2.0901518167394868</v>
      </c>
    </row>
    <row r="13" spans="2:13">
      <c r="B13" s="26">
        <f t="shared" ref="B13:B21" si="0">B12+1</f>
        <v>4</v>
      </c>
      <c r="C13" s="43" t="s">
        <v>313</v>
      </c>
      <c r="D13" s="118"/>
      <c r="E13" s="115">
        <v>0</v>
      </c>
      <c r="F13" s="115">
        <v>0</v>
      </c>
      <c r="G13" s="120"/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</row>
    <row r="14" spans="2:13" ht="15.75" customHeight="1">
      <c r="B14" s="26">
        <f t="shared" si="0"/>
        <v>5</v>
      </c>
      <c r="C14" s="70" t="s">
        <v>314</v>
      </c>
      <c r="D14" s="122"/>
      <c r="E14" s="115">
        <v>0</v>
      </c>
      <c r="F14" s="134">
        <v>0</v>
      </c>
      <c r="G14" s="45"/>
      <c r="H14" s="121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</row>
    <row r="15" spans="2:13" s="38" customFormat="1" ht="28.5">
      <c r="B15" s="26">
        <f t="shared" si="0"/>
        <v>6</v>
      </c>
      <c r="C15" s="43" t="s">
        <v>315</v>
      </c>
      <c r="D15" s="122"/>
      <c r="E15" s="115">
        <v>8.0566080104235733E-3</v>
      </c>
      <c r="F15" s="134">
        <v>8.0566080104235733E-3</v>
      </c>
      <c r="G15" s="45"/>
      <c r="H15" s="121">
        <v>1.4537886213436543E-2</v>
      </c>
      <c r="I15" s="115">
        <v>8.0566080104235733E-3</v>
      </c>
      <c r="J15" s="115">
        <v>8.3788723308405172E-3</v>
      </c>
      <c r="K15" s="115">
        <v>8.7140272240741386E-3</v>
      </c>
      <c r="L15" s="115">
        <v>9.0625883130371048E-3</v>
      </c>
      <c r="M15" s="115">
        <v>9.4250918455585884E-3</v>
      </c>
    </row>
    <row r="16" spans="2:13" s="38" customFormat="1" ht="15">
      <c r="B16" s="26">
        <f t="shared" si="0"/>
        <v>7</v>
      </c>
      <c r="C16" s="70" t="s">
        <v>316</v>
      </c>
      <c r="D16" s="122"/>
      <c r="E16" s="115">
        <v>0</v>
      </c>
      <c r="F16" s="134">
        <v>0</v>
      </c>
      <c r="G16" s="45"/>
      <c r="H16" s="121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</row>
    <row r="17" spans="2:13" s="38" customFormat="1" ht="12.75" customHeight="1">
      <c r="B17" s="26">
        <f t="shared" si="0"/>
        <v>8</v>
      </c>
      <c r="C17" s="43" t="s">
        <v>317</v>
      </c>
      <c r="D17" s="122"/>
      <c r="E17" s="115">
        <v>1.056172676668774E-2</v>
      </c>
      <c r="F17" s="134">
        <v>1.056172676668774E-2</v>
      </c>
      <c r="G17" s="45"/>
      <c r="H17" s="121">
        <v>5.0736894727707274E-2</v>
      </c>
      <c r="I17" s="115">
        <v>1.056172676668774E-2</v>
      </c>
      <c r="J17" s="115">
        <v>1.0984195837355248E-2</v>
      </c>
      <c r="K17" s="115">
        <v>1.1423563670849457E-2</v>
      </c>
      <c r="L17" s="115">
        <v>1.1880506217683435E-2</v>
      </c>
      <c r="M17" s="115">
        <v>1.2355726466390772E-2</v>
      </c>
    </row>
    <row r="18" spans="2:13" s="38" customFormat="1" ht="15">
      <c r="B18" s="26">
        <f t="shared" si="0"/>
        <v>9</v>
      </c>
      <c r="C18" s="43" t="s">
        <v>162</v>
      </c>
      <c r="D18" s="122"/>
      <c r="E18" s="115">
        <v>18.239999999999998</v>
      </c>
      <c r="F18" s="134">
        <v>18.239999999999998</v>
      </c>
      <c r="G18" s="45"/>
      <c r="H18" s="121">
        <v>10.36</v>
      </c>
      <c r="I18" s="115">
        <v>10.7744</v>
      </c>
      <c r="J18" s="115">
        <v>11.205376000000001</v>
      </c>
      <c r="K18" s="115">
        <v>11.653591040000002</v>
      </c>
      <c r="L18" s="115">
        <v>12.119734681600002</v>
      </c>
      <c r="M18" s="115">
        <v>12.604524068864002</v>
      </c>
    </row>
    <row r="19" spans="2:13" s="38" customFormat="1" ht="15">
      <c r="B19" s="26">
        <f t="shared" si="0"/>
        <v>10</v>
      </c>
      <c r="C19" s="43" t="s">
        <v>318</v>
      </c>
      <c r="D19" s="122"/>
      <c r="E19" s="115">
        <v>0</v>
      </c>
      <c r="F19" s="134">
        <v>0</v>
      </c>
      <c r="G19" s="45"/>
      <c r="H19" s="121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</row>
    <row r="20" spans="2:13" ht="28.5">
      <c r="B20" s="26">
        <f t="shared" si="0"/>
        <v>11</v>
      </c>
      <c r="C20" s="70" t="s">
        <v>173</v>
      </c>
      <c r="D20" s="122"/>
      <c r="E20" s="115">
        <v>3.5577337054569565E-2</v>
      </c>
      <c r="F20" s="134">
        <v>3.5577337054569565E-2</v>
      </c>
      <c r="G20" s="45"/>
      <c r="H20" s="121">
        <v>2.7221023588731439E-2</v>
      </c>
      <c r="I20" s="115">
        <v>3.5577337054569565E-2</v>
      </c>
      <c r="J20" s="115">
        <v>3.7000430536752352E-2</v>
      </c>
      <c r="K20" s="115">
        <v>3.8480447758222444E-2</v>
      </c>
      <c r="L20" s="115">
        <v>4.0019665668551335E-2</v>
      </c>
      <c r="M20" s="115">
        <v>4.1620452295293389E-2</v>
      </c>
    </row>
    <row r="21" spans="2:13">
      <c r="B21" s="26">
        <f t="shared" si="0"/>
        <v>12</v>
      </c>
      <c r="C21" s="70" t="s">
        <v>9</v>
      </c>
      <c r="D21" s="122"/>
      <c r="E21" s="115">
        <v>3.2430930302767793</v>
      </c>
      <c r="F21" s="134">
        <v>3.2430930302767793</v>
      </c>
      <c r="G21" s="45"/>
      <c r="H21" s="121">
        <v>1.4755659968995734</v>
      </c>
      <c r="I21" s="115">
        <v>2.484773132740814</v>
      </c>
      <c r="J21" s="115">
        <v>2.5841640580504461</v>
      </c>
      <c r="K21" s="115">
        <v>2.6875306203724643</v>
      </c>
      <c r="L21" s="115">
        <v>2.795031845187363</v>
      </c>
      <c r="M21" s="115">
        <v>2.9068331189948577</v>
      </c>
    </row>
    <row r="22" spans="2:13" ht="15">
      <c r="B22" s="26"/>
      <c r="C22" s="37" t="s">
        <v>139</v>
      </c>
      <c r="D22" s="123">
        <f>SUM(D10:D21)</f>
        <v>0</v>
      </c>
      <c r="E22" s="123">
        <f t="shared" ref="E22:M22" si="1">SUM(E10:E21)</f>
        <v>23.438580290317145</v>
      </c>
      <c r="F22" s="123">
        <f t="shared" si="1"/>
        <v>23.438580290317145</v>
      </c>
      <c r="G22" s="123">
        <f t="shared" si="1"/>
        <v>0</v>
      </c>
      <c r="H22" s="123">
        <f t="shared" si="1"/>
        <v>14.146743884475507</v>
      </c>
      <c r="I22" s="123">
        <f t="shared" si="1"/>
        <v>15.219245234996038</v>
      </c>
      <c r="J22" s="123">
        <f t="shared" si="1"/>
        <v>15.82801504439588</v>
      </c>
      <c r="K22" s="123">
        <f t="shared" si="1"/>
        <v>16.461135646171716</v>
      </c>
      <c r="L22" s="123">
        <f t="shared" si="1"/>
        <v>17.119581072018583</v>
      </c>
      <c r="M22" s="123">
        <f t="shared" si="1"/>
        <v>17.804364314899328</v>
      </c>
    </row>
  </sheetData>
  <mergeCells count="8">
    <mergeCell ref="B3:M3"/>
    <mergeCell ref="B4:M4"/>
    <mergeCell ref="B5:M5"/>
    <mergeCell ref="I7:M7"/>
    <mergeCell ref="G7:H7"/>
    <mergeCell ref="B7:B9"/>
    <mergeCell ref="C7:C9"/>
    <mergeCell ref="D7:F7"/>
  </mergeCells>
  <pageMargins left="0" right="0" top="1" bottom="1" header="0.25" footer="0.25"/>
  <pageSetup paperSize="9" scale="93" orientation="landscape" r:id="rId1"/>
  <headerFooter alignWithMargins="0">
    <oddHeader>&amp;F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31"/>
  <sheetViews>
    <sheetView showGridLines="0" zoomScale="80" zoomScaleNormal="80" zoomScaleSheetLayoutView="70" workbookViewId="0">
      <selection activeCell="O17" sqref="O17"/>
    </sheetView>
  </sheetViews>
  <sheetFormatPr defaultColWidth="9.28515625" defaultRowHeight="14.25"/>
  <cols>
    <col min="1" max="1" width="3.28515625" style="5" customWidth="1"/>
    <col min="2" max="2" width="8.28515625" style="5" customWidth="1"/>
    <col min="3" max="3" width="26.7109375" style="5" customWidth="1"/>
    <col min="4" max="4" width="15.7109375" style="5" customWidth="1"/>
    <col min="5" max="5" width="18" style="5" bestFit="1" customWidth="1"/>
    <col min="6" max="10" width="15.7109375" style="5" customWidth="1"/>
    <col min="11" max="16384" width="9.28515625" style="5"/>
  </cols>
  <sheetData>
    <row r="2" spans="2:10" ht="14.25" customHeight="1">
      <c r="B2" s="353" t="s">
        <v>511</v>
      </c>
      <c r="C2" s="353"/>
      <c r="D2" s="353"/>
      <c r="E2" s="353"/>
      <c r="F2" s="353"/>
      <c r="G2" s="353"/>
      <c r="H2" s="353"/>
      <c r="I2" s="353"/>
      <c r="J2" s="353"/>
    </row>
    <row r="3" spans="2:10" ht="14.25" customHeight="1">
      <c r="B3" s="353" t="s">
        <v>467</v>
      </c>
      <c r="C3" s="353"/>
      <c r="D3" s="353"/>
      <c r="E3" s="353"/>
      <c r="F3" s="353"/>
      <c r="G3" s="353"/>
      <c r="H3" s="353"/>
      <c r="I3" s="353"/>
      <c r="J3" s="353"/>
    </row>
    <row r="4" spans="2:10" ht="14.25" customHeight="1">
      <c r="B4" s="388" t="s">
        <v>320</v>
      </c>
      <c r="C4" s="388"/>
      <c r="D4" s="388"/>
      <c r="E4" s="388"/>
      <c r="F4" s="388"/>
      <c r="G4" s="388"/>
      <c r="H4" s="388"/>
      <c r="I4" s="388"/>
      <c r="J4" s="388"/>
    </row>
    <row r="5" spans="2:10" ht="15">
      <c r="B5" s="30"/>
      <c r="C5" s="74"/>
      <c r="D5" s="75"/>
    </row>
    <row r="6" spans="2:10" ht="33" customHeight="1">
      <c r="B6" s="392" t="s">
        <v>2</v>
      </c>
      <c r="C6" s="370" t="s">
        <v>18</v>
      </c>
      <c r="D6" s="133" t="s">
        <v>491</v>
      </c>
      <c r="E6" s="205"/>
      <c r="F6" s="370" t="s">
        <v>251</v>
      </c>
      <c r="G6" s="370"/>
      <c r="H6" s="370"/>
      <c r="I6" s="370"/>
      <c r="J6" s="370"/>
    </row>
    <row r="7" spans="2:10" ht="15">
      <c r="B7" s="392"/>
      <c r="C7" s="370"/>
      <c r="D7" s="21" t="s">
        <v>319</v>
      </c>
      <c r="E7" s="21" t="s">
        <v>268</v>
      </c>
      <c r="F7" s="21" t="s">
        <v>475</v>
      </c>
      <c r="G7" s="21" t="s">
        <v>476</v>
      </c>
      <c r="H7" s="21" t="s">
        <v>477</v>
      </c>
      <c r="I7" s="21" t="s">
        <v>478</v>
      </c>
      <c r="J7" s="21" t="s">
        <v>479</v>
      </c>
    </row>
    <row r="8" spans="2:10" ht="24.75" customHeight="1">
      <c r="B8" s="393"/>
      <c r="C8" s="394"/>
      <c r="D8" s="21" t="s">
        <v>3</v>
      </c>
      <c r="E8" s="21" t="s">
        <v>513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2:10" ht="15">
      <c r="B9" s="76">
        <v>1</v>
      </c>
      <c r="C9" s="77" t="s">
        <v>174</v>
      </c>
      <c r="D9" s="73"/>
      <c r="E9" s="73"/>
      <c r="F9" s="33"/>
      <c r="G9" s="33"/>
      <c r="H9" s="33"/>
      <c r="I9" s="33"/>
      <c r="J9" s="33"/>
    </row>
    <row r="10" spans="2:10" s="38" customFormat="1" ht="15">
      <c r="B10" s="78" t="s">
        <v>57</v>
      </c>
      <c r="C10" s="44" t="s">
        <v>58</v>
      </c>
      <c r="D10" s="79"/>
      <c r="E10" s="44"/>
      <c r="F10" s="44"/>
      <c r="G10" s="44"/>
      <c r="H10" s="44"/>
      <c r="I10" s="44"/>
      <c r="J10" s="44"/>
    </row>
    <row r="11" spans="2:10" s="38" customFormat="1" ht="15">
      <c r="B11" s="80"/>
      <c r="C11" s="35" t="s">
        <v>59</v>
      </c>
      <c r="D11" s="79"/>
      <c r="E11" s="44"/>
      <c r="F11" s="44"/>
      <c r="G11" s="44"/>
      <c r="H11" s="44"/>
      <c r="I11" s="44"/>
      <c r="J11" s="44"/>
    </row>
    <row r="12" spans="2:10" s="38" customFormat="1" ht="15">
      <c r="B12" s="80"/>
      <c r="C12" s="35" t="s">
        <v>60</v>
      </c>
      <c r="D12" s="79"/>
      <c r="E12" s="44"/>
      <c r="F12" s="44"/>
      <c r="G12" s="44"/>
      <c r="H12" s="44"/>
      <c r="I12" s="44"/>
      <c r="J12" s="44"/>
    </row>
    <row r="13" spans="2:10" s="38" customFormat="1" ht="15">
      <c r="B13" s="80"/>
      <c r="C13" s="35" t="s">
        <v>61</v>
      </c>
      <c r="D13" s="79"/>
      <c r="E13" s="44"/>
      <c r="F13" s="44"/>
      <c r="G13" s="44"/>
      <c r="H13" s="44"/>
      <c r="I13" s="44"/>
      <c r="J13" s="44"/>
    </row>
    <row r="14" spans="2:10" s="38" customFormat="1" ht="15">
      <c r="B14" s="80"/>
      <c r="C14" s="81"/>
      <c r="D14" s="79"/>
      <c r="E14" s="44"/>
      <c r="F14" s="44"/>
      <c r="G14" s="44"/>
      <c r="H14" s="44"/>
      <c r="I14" s="44"/>
      <c r="J14" s="44"/>
    </row>
    <row r="15" spans="2:10" s="38" customFormat="1" ht="15">
      <c r="B15" s="78" t="s">
        <v>62</v>
      </c>
      <c r="C15" s="82" t="s">
        <v>63</v>
      </c>
      <c r="D15" s="79"/>
      <c r="E15" s="44"/>
      <c r="F15" s="44"/>
      <c r="G15" s="44"/>
      <c r="H15" s="44"/>
      <c r="I15" s="44"/>
      <c r="J15" s="44"/>
    </row>
    <row r="16" spans="2:10" s="38" customFormat="1" ht="15">
      <c r="B16" s="80"/>
      <c r="C16" s="35" t="s">
        <v>59</v>
      </c>
      <c r="D16" s="79"/>
      <c r="E16" s="44"/>
      <c r="F16" s="44"/>
      <c r="G16" s="44"/>
      <c r="H16" s="44"/>
      <c r="I16" s="44"/>
      <c r="J16" s="44"/>
    </row>
    <row r="17" spans="2:10">
      <c r="B17" s="80"/>
      <c r="C17" s="35" t="s">
        <v>60</v>
      </c>
      <c r="D17" s="79"/>
      <c r="E17" s="33"/>
      <c r="F17" s="33"/>
      <c r="G17" s="33"/>
      <c r="H17" s="33"/>
      <c r="I17" s="33"/>
      <c r="J17" s="33"/>
    </row>
    <row r="18" spans="2:10">
      <c r="B18" s="83"/>
      <c r="C18" s="35" t="s">
        <v>64</v>
      </c>
      <c r="D18" s="79"/>
      <c r="E18" s="33"/>
      <c r="F18" s="33"/>
      <c r="G18" s="33"/>
      <c r="H18" s="33"/>
      <c r="I18" s="33"/>
      <c r="J18" s="33"/>
    </row>
    <row r="19" spans="2:10" ht="15">
      <c r="B19" s="83"/>
      <c r="C19" s="82"/>
      <c r="D19" s="79"/>
      <c r="E19" s="33"/>
      <c r="F19" s="33"/>
      <c r="G19" s="33"/>
      <c r="H19" s="33"/>
      <c r="I19" s="33"/>
      <c r="J19" s="33"/>
    </row>
    <row r="20" spans="2:10" ht="17.25" customHeight="1">
      <c r="B20" s="78">
        <v>2</v>
      </c>
      <c r="C20" s="77" t="s">
        <v>175</v>
      </c>
      <c r="D20" s="79"/>
      <c r="E20" s="33"/>
      <c r="F20" s="33"/>
      <c r="G20" s="33"/>
      <c r="H20" s="33"/>
      <c r="I20" s="33"/>
      <c r="J20" s="33"/>
    </row>
    <row r="21" spans="2:10" ht="17.25" customHeight="1">
      <c r="B21" s="78"/>
      <c r="C21" s="77" t="s">
        <v>65</v>
      </c>
      <c r="D21" s="79"/>
      <c r="E21" s="33"/>
      <c r="F21" s="33"/>
      <c r="G21" s="33"/>
      <c r="H21" s="33"/>
      <c r="I21" s="33"/>
      <c r="J21" s="33"/>
    </row>
    <row r="22" spans="2:10" ht="17.25" customHeight="1">
      <c r="B22" s="78"/>
      <c r="C22" s="77" t="s">
        <v>65</v>
      </c>
      <c r="D22" s="79"/>
      <c r="E22" s="33"/>
      <c r="F22" s="33"/>
      <c r="G22" s="33"/>
      <c r="H22" s="33"/>
      <c r="I22" s="33"/>
      <c r="J22" s="33"/>
    </row>
    <row r="23" spans="2:10" ht="15">
      <c r="B23" s="80"/>
      <c r="C23" s="82" t="s">
        <v>66</v>
      </c>
      <c r="D23" s="79"/>
      <c r="E23" s="33"/>
      <c r="F23" s="33"/>
      <c r="G23" s="33"/>
      <c r="H23" s="33"/>
      <c r="I23" s="33"/>
      <c r="J23" s="33"/>
    </row>
    <row r="25" spans="2:10" ht="15">
      <c r="B25" s="84" t="s">
        <v>54</v>
      </c>
      <c r="C25" s="85"/>
      <c r="D25" s="85"/>
      <c r="E25" s="85"/>
    </row>
    <row r="26" spans="2:10">
      <c r="B26" s="5" t="s">
        <v>227</v>
      </c>
      <c r="D26" s="86"/>
      <c r="E26" s="85"/>
    </row>
    <row r="27" spans="2:10" ht="18" customHeight="1">
      <c r="B27" s="85"/>
      <c r="E27" s="85"/>
    </row>
    <row r="28" spans="2:10">
      <c r="B28" s="85"/>
      <c r="C28" s="85"/>
      <c r="D28" s="85"/>
      <c r="E28" s="85"/>
    </row>
    <row r="29" spans="2:10">
      <c r="B29" s="85"/>
      <c r="C29" s="85"/>
      <c r="D29" s="85"/>
      <c r="E29" s="85"/>
    </row>
    <row r="30" spans="2:10">
      <c r="B30" s="85"/>
      <c r="C30" s="85"/>
      <c r="D30" s="85"/>
      <c r="E30" s="85"/>
    </row>
    <row r="31" spans="2:10">
      <c r="B31" s="85"/>
      <c r="C31" s="85"/>
      <c r="D31" s="85"/>
      <c r="E31" s="85"/>
    </row>
  </sheetData>
  <mergeCells count="6">
    <mergeCell ref="B6:B8"/>
    <mergeCell ref="C6:C8"/>
    <mergeCell ref="F6:J6"/>
    <mergeCell ref="B2:J2"/>
    <mergeCell ref="B3:J3"/>
    <mergeCell ref="B4:J4"/>
  </mergeCells>
  <pageMargins left="0" right="0" top="1" bottom="1" header="0.5" footer="0.5"/>
  <pageSetup paperSize="9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1:O48"/>
  <sheetViews>
    <sheetView showGridLines="0" zoomScale="82" zoomScaleNormal="82" zoomScaleSheetLayoutView="70" workbookViewId="0">
      <selection activeCell="B3" sqref="B3:O3"/>
    </sheetView>
  </sheetViews>
  <sheetFormatPr defaultColWidth="9.28515625" defaultRowHeight="15"/>
  <cols>
    <col min="1" max="1" width="3.28515625" style="155" customWidth="1"/>
    <col min="2" max="2" width="6.28515625" style="155" customWidth="1"/>
    <col min="3" max="3" width="41.7109375" style="215" customWidth="1"/>
    <col min="4" max="4" width="11" style="1" customWidth="1"/>
    <col min="5" max="5" width="14" style="1" customWidth="1"/>
    <col min="6" max="6" width="12.140625" style="155" customWidth="1"/>
    <col min="7" max="7" width="15" style="155" customWidth="1"/>
    <col min="8" max="8" width="13.7109375" style="155" customWidth="1"/>
    <col min="9" max="9" width="13.28515625" style="155" customWidth="1"/>
    <col min="10" max="14" width="12.7109375" style="155" customWidth="1"/>
    <col min="15" max="15" width="15.7109375" style="155" customWidth="1"/>
    <col min="16" max="16384" width="9.28515625" style="155"/>
  </cols>
  <sheetData>
    <row r="1" spans="2:15" ht="15" customHeight="1">
      <c r="B1" s="353" t="s">
        <v>511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</row>
    <row r="2" spans="2:15" ht="15" customHeight="1">
      <c r="B2" s="353" t="s">
        <v>467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</row>
    <row r="3" spans="2:15" ht="15" customHeight="1">
      <c r="B3" s="353" t="s">
        <v>561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</row>
    <row r="4" spans="2:15" s="6" customFormat="1" ht="15.75">
      <c r="B4" s="154"/>
      <c r="C4" s="21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2:15" s="6" customFormat="1" ht="15.75">
      <c r="C5" s="216"/>
      <c r="D5" s="1"/>
      <c r="E5" s="1"/>
      <c r="F5" s="157"/>
      <c r="G5" s="157"/>
      <c r="H5" s="157"/>
    </row>
    <row r="6" spans="2:15" ht="32.25" customHeight="1">
      <c r="B6" s="395" t="s">
        <v>209</v>
      </c>
      <c r="C6" s="396" t="s">
        <v>18</v>
      </c>
      <c r="D6" s="396" t="s">
        <v>39</v>
      </c>
      <c r="E6" s="399" t="s">
        <v>491</v>
      </c>
      <c r="F6" s="400"/>
      <c r="G6" s="401"/>
      <c r="H6" s="399" t="s">
        <v>514</v>
      </c>
      <c r="I6" s="401"/>
      <c r="J6" s="397" t="s">
        <v>251</v>
      </c>
      <c r="K6" s="397"/>
      <c r="L6" s="397"/>
      <c r="M6" s="397"/>
      <c r="N6" s="397"/>
      <c r="O6" s="395" t="s">
        <v>11</v>
      </c>
    </row>
    <row r="7" spans="2:15" ht="31.5">
      <c r="B7" s="396"/>
      <c r="C7" s="396"/>
      <c r="D7" s="396"/>
      <c r="E7" s="130" t="s">
        <v>381</v>
      </c>
      <c r="F7" s="130" t="s">
        <v>269</v>
      </c>
      <c r="G7" s="130" t="s">
        <v>225</v>
      </c>
      <c r="H7" s="130" t="s">
        <v>381</v>
      </c>
      <c r="I7" s="130" t="s">
        <v>268</v>
      </c>
      <c r="J7" s="130" t="s">
        <v>475</v>
      </c>
      <c r="K7" s="130" t="s">
        <v>476</v>
      </c>
      <c r="L7" s="130" t="s">
        <v>477</v>
      </c>
      <c r="M7" s="130" t="s">
        <v>478</v>
      </c>
      <c r="N7" s="130" t="s">
        <v>479</v>
      </c>
      <c r="O7" s="395"/>
    </row>
    <row r="8" spans="2:15" ht="15.75">
      <c r="B8" s="396"/>
      <c r="C8" s="396"/>
      <c r="D8" s="396"/>
      <c r="E8" s="130" t="s">
        <v>10</v>
      </c>
      <c r="F8" s="130" t="s">
        <v>12</v>
      </c>
      <c r="G8" s="130" t="s">
        <v>258</v>
      </c>
      <c r="H8" s="130" t="s">
        <v>10</v>
      </c>
      <c r="I8" s="130" t="s">
        <v>5</v>
      </c>
      <c r="J8" s="130" t="s">
        <v>8</v>
      </c>
      <c r="K8" s="130" t="s">
        <v>8</v>
      </c>
      <c r="L8" s="130" t="s">
        <v>8</v>
      </c>
      <c r="M8" s="130" t="s">
        <v>8</v>
      </c>
      <c r="N8" s="130" t="s">
        <v>8</v>
      </c>
      <c r="O8" s="398"/>
    </row>
    <row r="9" spans="2:15" ht="15.75">
      <c r="B9" s="130"/>
      <c r="C9" s="158"/>
      <c r="D9" s="159"/>
      <c r="E9" s="159"/>
      <c r="F9" s="160"/>
      <c r="G9" s="160"/>
      <c r="H9" s="160"/>
      <c r="I9" s="160"/>
      <c r="J9" s="160"/>
      <c r="K9" s="160"/>
      <c r="L9" s="160"/>
      <c r="M9" s="160"/>
      <c r="N9" s="160"/>
      <c r="O9" s="160"/>
    </row>
    <row r="10" spans="2:15" ht="15.75">
      <c r="B10" s="161">
        <v>1</v>
      </c>
      <c r="C10" s="162" t="s">
        <v>229</v>
      </c>
      <c r="D10" s="161" t="s">
        <v>40</v>
      </c>
      <c r="E10" s="130" t="s">
        <v>480</v>
      </c>
      <c r="F10" s="163">
        <v>500</v>
      </c>
      <c r="G10" s="163">
        <v>500</v>
      </c>
      <c r="H10" s="130" t="s">
        <v>480</v>
      </c>
      <c r="I10" s="163"/>
      <c r="J10" s="160"/>
      <c r="K10" s="160"/>
      <c r="L10" s="160"/>
      <c r="M10" s="160"/>
      <c r="N10" s="160"/>
      <c r="O10" s="160"/>
    </row>
    <row r="11" spans="2:15" ht="63">
      <c r="B11" s="161"/>
      <c r="C11" s="162" t="s">
        <v>351</v>
      </c>
      <c r="D11" s="161"/>
      <c r="E11" s="161" t="s">
        <v>484</v>
      </c>
      <c r="F11" s="163" t="s">
        <v>484</v>
      </c>
      <c r="G11" s="163"/>
      <c r="H11" s="130" t="s">
        <v>484</v>
      </c>
      <c r="I11" s="163"/>
      <c r="J11" s="160"/>
      <c r="K11" s="160"/>
      <c r="L11" s="160"/>
      <c r="M11" s="160"/>
      <c r="N11" s="160"/>
      <c r="O11" s="165"/>
    </row>
    <row r="12" spans="2:15" ht="13.5" customHeight="1">
      <c r="B12" s="161"/>
      <c r="C12" s="162" t="s">
        <v>238</v>
      </c>
      <c r="D12" s="161"/>
      <c r="E12" s="161" t="s">
        <v>481</v>
      </c>
      <c r="F12" s="130" t="s">
        <v>485</v>
      </c>
      <c r="G12" s="163"/>
      <c r="H12" s="130" t="s">
        <v>481</v>
      </c>
      <c r="I12" s="163"/>
      <c r="J12" s="160"/>
      <c r="K12" s="160"/>
      <c r="L12" s="160"/>
      <c r="M12" s="160"/>
      <c r="N12" s="160"/>
      <c r="O12" s="160"/>
    </row>
    <row r="13" spans="2:15" ht="15.75">
      <c r="B13" s="161"/>
      <c r="C13" s="162"/>
      <c r="D13" s="161"/>
      <c r="E13" s="161"/>
      <c r="F13" s="163"/>
      <c r="G13" s="163"/>
      <c r="H13" s="163"/>
      <c r="I13" s="163"/>
      <c r="J13" s="160"/>
      <c r="K13" s="160"/>
      <c r="L13" s="160"/>
      <c r="M13" s="160"/>
      <c r="N13" s="160"/>
      <c r="O13" s="160"/>
    </row>
    <row r="14" spans="2:15" ht="15.75">
      <c r="B14" s="130">
        <v>2</v>
      </c>
      <c r="C14" s="158" t="s">
        <v>185</v>
      </c>
      <c r="D14" s="161"/>
      <c r="E14" s="161"/>
      <c r="F14" s="163"/>
      <c r="G14" s="163"/>
      <c r="H14" s="163"/>
      <c r="I14" s="163"/>
      <c r="J14" s="160"/>
      <c r="K14" s="160"/>
      <c r="L14" s="160"/>
      <c r="M14" s="160"/>
      <c r="N14" s="160"/>
      <c r="O14" s="160"/>
    </row>
    <row r="15" spans="2:15" ht="30">
      <c r="B15" s="161">
        <f>B14+0.1</f>
        <v>2.1</v>
      </c>
      <c r="C15" s="162" t="s">
        <v>41</v>
      </c>
      <c r="D15" s="161" t="s">
        <v>42</v>
      </c>
      <c r="E15" s="161">
        <v>80</v>
      </c>
      <c r="F15" s="163">
        <v>80</v>
      </c>
      <c r="G15" s="163">
        <f>F15</f>
        <v>80</v>
      </c>
      <c r="H15" s="145">
        <v>80</v>
      </c>
      <c r="I15" s="163">
        <v>80</v>
      </c>
      <c r="J15" s="164">
        <v>85</v>
      </c>
      <c r="K15" s="164">
        <v>85</v>
      </c>
      <c r="L15" s="164">
        <v>85</v>
      </c>
      <c r="M15" s="164">
        <v>85</v>
      </c>
      <c r="N15" s="164">
        <v>85</v>
      </c>
      <c r="O15" s="160"/>
    </row>
    <row r="16" spans="2:15" ht="15.75">
      <c r="B16" s="161">
        <f>B15+0.1</f>
        <v>2.2000000000000002</v>
      </c>
      <c r="C16" s="162" t="s">
        <v>165</v>
      </c>
      <c r="D16" s="161" t="s">
        <v>42</v>
      </c>
      <c r="E16" s="161"/>
      <c r="F16" s="163">
        <v>82.26</v>
      </c>
      <c r="G16" s="163">
        <f>F16</f>
        <v>82.26</v>
      </c>
      <c r="H16" s="130">
        <v>80</v>
      </c>
      <c r="I16" s="163">
        <v>83.69</v>
      </c>
      <c r="J16" s="164">
        <v>85</v>
      </c>
      <c r="K16" s="164">
        <v>85</v>
      </c>
      <c r="L16" s="164">
        <v>85</v>
      </c>
      <c r="M16" s="164">
        <v>85</v>
      </c>
      <c r="N16" s="164">
        <v>85</v>
      </c>
      <c r="O16" s="160"/>
    </row>
    <row r="17" spans="2:15" ht="15.75">
      <c r="B17" s="161"/>
      <c r="C17" s="162"/>
      <c r="D17" s="161"/>
      <c r="E17" s="161"/>
      <c r="F17" s="163"/>
      <c r="G17" s="163"/>
      <c r="H17" s="130"/>
      <c r="I17" s="163"/>
      <c r="J17" s="164"/>
      <c r="K17" s="165"/>
      <c r="L17" s="165"/>
      <c r="M17" s="165"/>
      <c r="N17" s="165"/>
      <c r="O17" s="160"/>
    </row>
    <row r="18" spans="2:15" ht="15.75">
      <c r="B18" s="130">
        <v>3</v>
      </c>
      <c r="C18" s="158" t="s">
        <v>186</v>
      </c>
      <c r="D18" s="161"/>
      <c r="E18" s="161"/>
      <c r="F18" s="163"/>
      <c r="G18" s="163"/>
      <c r="O18" s="160"/>
    </row>
    <row r="19" spans="2:15" ht="15.75">
      <c r="B19" s="161">
        <f>B18+0.1</f>
        <v>3.1</v>
      </c>
      <c r="C19" s="162" t="s">
        <v>43</v>
      </c>
      <c r="D19" s="161" t="s">
        <v>42</v>
      </c>
      <c r="E19" s="161">
        <v>80</v>
      </c>
      <c r="F19" s="163">
        <v>80</v>
      </c>
      <c r="G19" s="163">
        <f>F19</f>
        <v>80</v>
      </c>
      <c r="H19" s="130">
        <v>80</v>
      </c>
      <c r="I19" s="163">
        <v>80</v>
      </c>
      <c r="J19" s="164">
        <v>85</v>
      </c>
      <c r="K19" s="164">
        <v>85</v>
      </c>
      <c r="L19" s="164">
        <v>85</v>
      </c>
      <c r="M19" s="164">
        <v>85</v>
      </c>
      <c r="N19" s="164">
        <v>85</v>
      </c>
      <c r="O19" s="160"/>
    </row>
    <row r="20" spans="2:15" ht="15.75">
      <c r="B20" s="161">
        <f>B19+0.1</f>
        <v>3.2</v>
      </c>
      <c r="C20" s="162" t="s">
        <v>166</v>
      </c>
      <c r="D20" s="161" t="s">
        <v>42</v>
      </c>
      <c r="E20" s="161">
        <v>80</v>
      </c>
      <c r="F20" s="130">
        <v>81.099999999999994</v>
      </c>
      <c r="G20" s="130">
        <f>F20</f>
        <v>81.099999999999994</v>
      </c>
      <c r="H20" s="130">
        <v>80</v>
      </c>
      <c r="I20" s="130">
        <v>79.42</v>
      </c>
      <c r="J20" s="164">
        <v>85.05</v>
      </c>
      <c r="K20" s="164">
        <v>85</v>
      </c>
      <c r="L20" s="164">
        <v>85.05</v>
      </c>
      <c r="M20" s="164">
        <v>85</v>
      </c>
      <c r="N20" s="164">
        <v>85</v>
      </c>
      <c r="O20" s="160"/>
    </row>
    <row r="21" spans="2:15" ht="15.75">
      <c r="B21" s="161"/>
      <c r="C21" s="162"/>
      <c r="D21" s="161"/>
      <c r="E21" s="161"/>
      <c r="F21" s="130"/>
      <c r="G21" s="130"/>
      <c r="H21" s="130"/>
      <c r="I21" s="130"/>
      <c r="J21" s="160"/>
      <c r="K21" s="160"/>
      <c r="L21" s="160"/>
      <c r="M21" s="160"/>
      <c r="N21" s="160"/>
      <c r="O21" s="160"/>
    </row>
    <row r="22" spans="2:15" ht="15.75">
      <c r="B22" s="130">
        <v>4</v>
      </c>
      <c r="C22" s="158" t="s">
        <v>56</v>
      </c>
      <c r="D22" s="161"/>
      <c r="E22" s="161"/>
      <c r="F22" s="130"/>
      <c r="G22" s="130"/>
      <c r="H22" s="130"/>
      <c r="I22" s="130"/>
      <c r="J22" s="160"/>
      <c r="K22" s="160"/>
      <c r="L22" s="160"/>
      <c r="M22" s="160"/>
      <c r="N22" s="160"/>
      <c r="O22" s="160"/>
    </row>
    <row r="23" spans="2:15" ht="15.75">
      <c r="B23" s="161">
        <f>B22+0.1</f>
        <v>4.0999999999999996</v>
      </c>
      <c r="C23" s="162" t="s">
        <v>44</v>
      </c>
      <c r="D23" s="161" t="s">
        <v>45</v>
      </c>
      <c r="E23" s="166">
        <f>F23</f>
        <v>3173.63</v>
      </c>
      <c r="F23" s="167">
        <v>3173.63</v>
      </c>
      <c r="G23" s="168">
        <v>3173.63</v>
      </c>
      <c r="H23" s="167">
        <f>I23</f>
        <v>3101.4795999999997</v>
      </c>
      <c r="I23" s="167">
        <v>3101.4795999999997</v>
      </c>
      <c r="J23" s="160"/>
      <c r="K23" s="160"/>
      <c r="L23" s="160"/>
      <c r="M23" s="160"/>
      <c r="N23" s="160"/>
      <c r="O23" s="160"/>
    </row>
    <row r="24" spans="2:15" ht="15.75">
      <c r="B24" s="161">
        <f>B23+0.1</f>
        <v>4.1999999999999993</v>
      </c>
      <c r="C24" s="169" t="s">
        <v>167</v>
      </c>
      <c r="D24" s="161" t="s">
        <v>45</v>
      </c>
      <c r="E24" s="161"/>
      <c r="F24" s="167">
        <v>3551.9679999999998</v>
      </c>
      <c r="G24" s="168">
        <v>3551.9679999999998</v>
      </c>
      <c r="H24" s="130"/>
      <c r="I24" s="167">
        <v>3488.0459999999998</v>
      </c>
      <c r="J24" s="164">
        <v>3725.4</v>
      </c>
      <c r="K24" s="164">
        <v>3723</v>
      </c>
      <c r="L24" s="164">
        <v>3725.4</v>
      </c>
      <c r="M24" s="164">
        <v>3733.2</v>
      </c>
      <c r="N24" s="164">
        <v>3726</v>
      </c>
      <c r="O24" s="160"/>
    </row>
    <row r="25" spans="2:15" ht="15.75">
      <c r="B25" s="161"/>
      <c r="C25" s="169"/>
      <c r="D25" s="161"/>
      <c r="E25" s="161"/>
      <c r="F25" s="130"/>
      <c r="G25" s="130"/>
      <c r="H25" s="130"/>
      <c r="I25" s="130"/>
      <c r="J25" s="160"/>
      <c r="K25" s="160"/>
      <c r="L25" s="160"/>
      <c r="M25" s="160"/>
      <c r="N25" s="160"/>
      <c r="O25" s="160"/>
    </row>
    <row r="26" spans="2:15" ht="15.75">
      <c r="B26" s="130">
        <v>5</v>
      </c>
      <c r="C26" s="170" t="s">
        <v>183</v>
      </c>
      <c r="D26" s="161"/>
      <c r="E26" s="161"/>
      <c r="F26" s="130"/>
      <c r="G26" s="130"/>
      <c r="H26" s="130"/>
      <c r="I26" s="130"/>
      <c r="J26" s="160"/>
      <c r="K26" s="160"/>
      <c r="L26" s="160"/>
      <c r="M26" s="160"/>
      <c r="N26" s="160"/>
      <c r="O26" s="160"/>
    </row>
    <row r="27" spans="2:15" ht="30">
      <c r="B27" s="161">
        <f>B26+0.1</f>
        <v>5.0999999999999996</v>
      </c>
      <c r="C27" s="169" t="s">
        <v>46</v>
      </c>
      <c r="D27" s="161" t="s">
        <v>42</v>
      </c>
      <c r="E27" s="161">
        <v>9</v>
      </c>
      <c r="F27" s="130">
        <v>9</v>
      </c>
      <c r="G27" s="130">
        <f>F27</f>
        <v>9</v>
      </c>
      <c r="H27" s="130">
        <v>9</v>
      </c>
      <c r="I27" s="130">
        <v>9</v>
      </c>
      <c r="J27" s="160">
        <v>9.3000000000000007</v>
      </c>
      <c r="K27" s="160">
        <v>9.3000000000000007</v>
      </c>
      <c r="L27" s="160">
        <v>9.3000000000000007</v>
      </c>
      <c r="M27" s="160">
        <v>9.3000000000000007</v>
      </c>
      <c r="N27" s="160">
        <v>9.3000000000000007</v>
      </c>
      <c r="O27" s="160"/>
    </row>
    <row r="28" spans="2:15" ht="16.5" customHeight="1">
      <c r="B28" s="161">
        <f>B27+0.1</f>
        <v>5.1999999999999993</v>
      </c>
      <c r="C28" s="169" t="s">
        <v>168</v>
      </c>
      <c r="D28" s="161" t="s">
        <v>42</v>
      </c>
      <c r="E28" s="161"/>
      <c r="F28" s="130">
        <v>10.65</v>
      </c>
      <c r="G28" s="130">
        <f>F28</f>
        <v>10.65</v>
      </c>
      <c r="H28" s="130">
        <v>9</v>
      </c>
      <c r="I28" s="130">
        <v>11.083</v>
      </c>
      <c r="J28" s="160">
        <v>9.3000000000000007</v>
      </c>
      <c r="K28" s="160">
        <v>9.3000000000000007</v>
      </c>
      <c r="L28" s="160">
        <v>9.3000000000000007</v>
      </c>
      <c r="M28" s="160">
        <v>9.3000000000000007</v>
      </c>
      <c r="N28" s="160">
        <v>9.3000000000000007</v>
      </c>
      <c r="O28" s="160"/>
    </row>
    <row r="29" spans="2:15" ht="16.5" customHeight="1">
      <c r="B29" s="161">
        <f>B28+0.1</f>
        <v>5.2999999999999989</v>
      </c>
      <c r="C29" s="169" t="s">
        <v>168</v>
      </c>
      <c r="D29" s="161" t="s">
        <v>45</v>
      </c>
      <c r="E29" s="161"/>
      <c r="F29" s="130">
        <v>378.33</v>
      </c>
      <c r="G29" s="130">
        <f>F29</f>
        <v>378.33</v>
      </c>
      <c r="H29" s="130"/>
      <c r="I29" s="167">
        <v>386.56990000000025</v>
      </c>
      <c r="J29" s="171">
        <v>346.4622</v>
      </c>
      <c r="K29" s="171">
        <v>346.23899999999998</v>
      </c>
      <c r="L29" s="171">
        <v>346.4622</v>
      </c>
      <c r="M29" s="171">
        <v>347.18759999999997</v>
      </c>
      <c r="N29" s="171">
        <v>346.51799999999997</v>
      </c>
      <c r="O29" s="160"/>
    </row>
    <row r="30" spans="2:15" ht="15.75">
      <c r="B30" s="161">
        <f>B29+0.1</f>
        <v>5.3999999999999986</v>
      </c>
      <c r="C30" s="169" t="s">
        <v>47</v>
      </c>
      <c r="D30" s="161" t="s">
        <v>45</v>
      </c>
      <c r="E30" s="161"/>
      <c r="F30" s="130">
        <v>3173.63</v>
      </c>
      <c r="G30" s="130">
        <f>F30</f>
        <v>3173.63</v>
      </c>
      <c r="H30" s="130"/>
      <c r="I30" s="167">
        <v>3101.4795999999997</v>
      </c>
      <c r="J30" s="171">
        <v>3378.9378000000002</v>
      </c>
      <c r="K30" s="171">
        <v>3376.761</v>
      </c>
      <c r="L30" s="171">
        <v>3378.9378000000002</v>
      </c>
      <c r="M30" s="171">
        <v>3386.0123999999996</v>
      </c>
      <c r="N30" s="171">
        <v>3379.482</v>
      </c>
      <c r="O30" s="160"/>
    </row>
    <row r="31" spans="2:15" ht="15.75">
      <c r="B31" s="161"/>
      <c r="C31" s="169"/>
      <c r="D31" s="161"/>
      <c r="E31" s="161"/>
      <c r="F31" s="167"/>
      <c r="G31" s="167"/>
      <c r="H31" s="167"/>
      <c r="I31" s="167"/>
      <c r="J31" s="167"/>
      <c r="K31" s="167"/>
      <c r="L31" s="167"/>
      <c r="M31" s="167"/>
      <c r="N31" s="167"/>
      <c r="O31" s="160"/>
    </row>
    <row r="32" spans="2:15" ht="15.75">
      <c r="B32" s="130">
        <v>6</v>
      </c>
      <c r="C32" s="170" t="s">
        <v>224</v>
      </c>
      <c r="D32" s="161"/>
      <c r="E32" s="161"/>
      <c r="F32" s="130"/>
      <c r="G32" s="130"/>
      <c r="H32" s="130"/>
      <c r="I32" s="130"/>
      <c r="J32" s="160"/>
      <c r="K32" s="160"/>
      <c r="L32" s="160"/>
      <c r="M32" s="160"/>
      <c r="N32" s="160"/>
      <c r="O32" s="160"/>
    </row>
    <row r="33" spans="2:15" ht="15.75">
      <c r="B33" s="161">
        <f>B32+0.1</f>
        <v>6.1</v>
      </c>
      <c r="C33" s="169" t="s">
        <v>48</v>
      </c>
      <c r="D33" s="161" t="s">
        <v>49</v>
      </c>
      <c r="E33" s="161">
        <v>2500</v>
      </c>
      <c r="F33" s="130">
        <v>2500</v>
      </c>
      <c r="G33" s="130">
        <f>F33</f>
        <v>2500</v>
      </c>
      <c r="H33" s="130">
        <v>2500</v>
      </c>
      <c r="I33" s="130">
        <v>2500</v>
      </c>
      <c r="J33" s="164">
        <v>2500</v>
      </c>
      <c r="K33" s="164">
        <v>2500</v>
      </c>
      <c r="L33" s="164">
        <v>2500</v>
      </c>
      <c r="M33" s="164">
        <v>2500</v>
      </c>
      <c r="N33" s="164">
        <v>2500</v>
      </c>
      <c r="O33" s="160"/>
    </row>
    <row r="34" spans="2:15" ht="30">
      <c r="B34" s="161">
        <f>B33+0.1</f>
        <v>6.1999999999999993</v>
      </c>
      <c r="C34" s="162" t="s">
        <v>169</v>
      </c>
      <c r="D34" s="161" t="s">
        <v>49</v>
      </c>
      <c r="E34" s="161">
        <v>2500</v>
      </c>
      <c r="F34" s="172">
        <v>2307.11</v>
      </c>
      <c r="G34" s="130">
        <f>F34</f>
        <v>2307.11</v>
      </c>
      <c r="H34" s="130">
        <v>2500</v>
      </c>
      <c r="I34" s="130">
        <v>2346.13</v>
      </c>
      <c r="J34" s="164">
        <v>2500</v>
      </c>
      <c r="K34" s="164">
        <v>2500</v>
      </c>
      <c r="L34" s="164">
        <v>2500</v>
      </c>
      <c r="M34" s="164">
        <v>2500</v>
      </c>
      <c r="N34" s="164">
        <v>2500</v>
      </c>
      <c r="O34" s="160"/>
    </row>
    <row r="35" spans="2:15" ht="15.75">
      <c r="B35" s="161"/>
      <c r="C35" s="162"/>
      <c r="D35" s="161"/>
      <c r="E35" s="161"/>
      <c r="F35" s="130"/>
      <c r="G35" s="130"/>
      <c r="H35" s="130"/>
      <c r="I35" s="130"/>
      <c r="J35" s="160"/>
      <c r="K35" s="160"/>
      <c r="L35" s="160"/>
      <c r="M35" s="160"/>
      <c r="N35" s="160"/>
      <c r="O35" s="160"/>
    </row>
    <row r="36" spans="2:15" ht="15.75">
      <c r="B36" s="130">
        <v>7</v>
      </c>
      <c r="C36" s="158" t="s">
        <v>187</v>
      </c>
      <c r="D36" s="161"/>
      <c r="E36" s="161"/>
      <c r="F36" s="130"/>
      <c r="G36" s="130"/>
      <c r="H36" s="130"/>
      <c r="I36" s="130"/>
      <c r="J36" s="160"/>
      <c r="K36" s="160"/>
      <c r="L36" s="160"/>
      <c r="M36" s="160"/>
      <c r="N36" s="160"/>
      <c r="O36" s="160"/>
    </row>
    <row r="37" spans="2:15" ht="30">
      <c r="B37" s="161">
        <f>B36+0.1</f>
        <v>7.1</v>
      </c>
      <c r="C37" s="162" t="s">
        <v>50</v>
      </c>
      <c r="D37" s="161" t="s">
        <v>51</v>
      </c>
      <c r="E37" s="161">
        <v>2</v>
      </c>
      <c r="F37" s="130">
        <v>2</v>
      </c>
      <c r="G37" s="130">
        <f>F37</f>
        <v>2</v>
      </c>
      <c r="H37" s="130">
        <v>2</v>
      </c>
      <c r="I37" s="130">
        <v>2</v>
      </c>
      <c r="J37" s="164">
        <v>0.5</v>
      </c>
      <c r="K37" s="164">
        <v>0.5</v>
      </c>
      <c r="L37" s="164">
        <v>0.5</v>
      </c>
      <c r="M37" s="164">
        <v>0.5</v>
      </c>
      <c r="N37" s="164">
        <v>0.5</v>
      </c>
      <c r="O37" s="160"/>
    </row>
    <row r="38" spans="2:15" ht="30">
      <c r="B38" s="161">
        <f>B37+0.1</f>
        <v>7.1999999999999993</v>
      </c>
      <c r="C38" s="162" t="s">
        <v>170</v>
      </c>
      <c r="D38" s="161" t="s">
        <v>51</v>
      </c>
      <c r="E38" s="161"/>
      <c r="F38" s="172">
        <v>0.52300000000000002</v>
      </c>
      <c r="G38" s="130">
        <f>F38</f>
        <v>0.52300000000000002</v>
      </c>
      <c r="H38" s="130">
        <v>2</v>
      </c>
      <c r="I38" s="187">
        <v>0.39406107387591499</v>
      </c>
      <c r="J38" s="164">
        <v>0.5</v>
      </c>
      <c r="K38" s="164">
        <v>0.5</v>
      </c>
      <c r="L38" s="164">
        <v>0.5</v>
      </c>
      <c r="M38" s="164">
        <v>0.5</v>
      </c>
      <c r="N38" s="164">
        <v>0.5</v>
      </c>
      <c r="O38" s="160"/>
    </row>
    <row r="39" spans="2:15" ht="15.75">
      <c r="B39" s="161"/>
      <c r="C39" s="162"/>
      <c r="D39" s="161"/>
      <c r="E39" s="161"/>
      <c r="F39" s="130"/>
      <c r="G39" s="130"/>
      <c r="H39" s="130"/>
      <c r="I39" s="130"/>
      <c r="J39" s="160"/>
      <c r="K39" s="160"/>
      <c r="L39" s="160"/>
      <c r="M39" s="160"/>
      <c r="N39" s="160"/>
      <c r="O39" s="160"/>
    </row>
    <row r="40" spans="2:15" ht="15.75">
      <c r="B40" s="130">
        <v>8</v>
      </c>
      <c r="C40" s="158" t="s">
        <v>53</v>
      </c>
      <c r="D40" s="161"/>
      <c r="E40" s="161"/>
      <c r="F40" s="130"/>
      <c r="G40" s="130"/>
      <c r="H40" s="130"/>
      <c r="I40" s="130"/>
      <c r="J40" s="160"/>
      <c r="K40" s="160"/>
      <c r="L40" s="160"/>
      <c r="M40" s="160"/>
      <c r="N40" s="160"/>
      <c r="O40" s="160"/>
    </row>
    <row r="41" spans="2:15" ht="15.75">
      <c r="B41" s="161">
        <f>B40+0.1</f>
        <v>8.1</v>
      </c>
      <c r="C41" s="162" t="s">
        <v>52</v>
      </c>
      <c r="D41" s="161" t="s">
        <v>42</v>
      </c>
      <c r="E41" s="161">
        <v>0.8</v>
      </c>
      <c r="F41" s="130">
        <v>0.8</v>
      </c>
      <c r="G41" s="130">
        <v>0.8</v>
      </c>
      <c r="H41" s="130">
        <v>0.8</v>
      </c>
      <c r="I41" s="130">
        <v>0.8</v>
      </c>
      <c r="J41" s="164">
        <v>0.8</v>
      </c>
      <c r="K41" s="164">
        <v>0.8</v>
      </c>
      <c r="L41" s="164">
        <v>0.8</v>
      </c>
      <c r="M41" s="164">
        <v>0.8</v>
      </c>
      <c r="N41" s="160">
        <v>0.8</v>
      </c>
      <c r="O41" s="160"/>
    </row>
    <row r="42" spans="2:15" ht="15.75">
      <c r="B42" s="161">
        <f>B41+0.1</f>
        <v>8.1999999999999993</v>
      </c>
      <c r="C42" s="162" t="s">
        <v>171</v>
      </c>
      <c r="D42" s="161" t="s">
        <v>42</v>
      </c>
      <c r="E42" s="161">
        <v>0.8</v>
      </c>
      <c r="F42" s="130">
        <v>0.8</v>
      </c>
      <c r="G42" s="130">
        <v>0.8</v>
      </c>
      <c r="H42" s="130">
        <v>0.8</v>
      </c>
      <c r="I42" s="130">
        <v>0.8</v>
      </c>
      <c r="J42" s="164">
        <v>0.8</v>
      </c>
      <c r="K42" s="164">
        <v>0.8</v>
      </c>
      <c r="L42" s="164">
        <v>0.8</v>
      </c>
      <c r="M42" s="164">
        <v>0.8</v>
      </c>
      <c r="N42" s="160">
        <v>0.8</v>
      </c>
      <c r="O42" s="160"/>
    </row>
    <row r="43" spans="2:15" ht="15.75">
      <c r="B43" s="130"/>
      <c r="C43" s="158"/>
      <c r="D43" s="159"/>
      <c r="E43" s="159"/>
      <c r="F43" s="130"/>
      <c r="G43" s="130"/>
      <c r="H43" s="130"/>
      <c r="I43" s="130"/>
      <c r="J43" s="160"/>
      <c r="K43" s="160"/>
      <c r="L43" s="160"/>
      <c r="M43" s="160"/>
      <c r="N43" s="160"/>
      <c r="O43" s="160"/>
    </row>
    <row r="44" spans="2:15" ht="15.75">
      <c r="B44" s="173"/>
      <c r="C44" s="174"/>
      <c r="D44" s="175"/>
      <c r="E44" s="175"/>
      <c r="F44" s="173"/>
      <c r="G44" s="173"/>
      <c r="H44" s="173"/>
      <c r="I44" s="173"/>
    </row>
    <row r="45" spans="2:15" ht="18">
      <c r="D45" s="141"/>
      <c r="E45" s="141"/>
      <c r="F45" s="176"/>
      <c r="G45" s="176"/>
      <c r="H45" s="176"/>
      <c r="I45" s="176"/>
    </row>
    <row r="46" spans="2:15" ht="18">
      <c r="B46" s="6"/>
      <c r="F46" s="176"/>
      <c r="G46" s="176"/>
      <c r="H46" s="176"/>
      <c r="I46" s="176"/>
    </row>
    <row r="47" spans="2:15" ht="18">
      <c r="C47" s="217"/>
      <c r="F47" s="176"/>
      <c r="G47" s="176"/>
      <c r="H47" s="176"/>
      <c r="I47" s="176"/>
    </row>
    <row r="48" spans="2:15">
      <c r="F48" s="177"/>
      <c r="G48" s="177"/>
      <c r="H48" s="177"/>
      <c r="I48" s="177"/>
    </row>
  </sheetData>
  <mergeCells count="10">
    <mergeCell ref="B1:O1"/>
    <mergeCell ref="B2:O2"/>
    <mergeCell ref="B3:O3"/>
    <mergeCell ref="B6:B8"/>
    <mergeCell ref="C6:C8"/>
    <mergeCell ref="D6:D8"/>
    <mergeCell ref="J6:N6"/>
    <mergeCell ref="O6:O8"/>
    <mergeCell ref="E6:G6"/>
    <mergeCell ref="H6:I6"/>
  </mergeCells>
  <pageMargins left="0" right="0" top="0.43" bottom="0.63" header="0.5" footer="0.5"/>
  <pageSetup paperSize="9" scale="6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53"/>
  <sheetViews>
    <sheetView topLeftCell="C1" zoomScale="79" zoomScaleNormal="79" workbookViewId="0">
      <selection activeCell="C4" sqref="C4:V4"/>
    </sheetView>
  </sheetViews>
  <sheetFormatPr defaultColWidth="9.28515625" defaultRowHeight="15"/>
  <cols>
    <col min="1" max="1" width="2.28515625" style="142" customWidth="1"/>
    <col min="2" max="2" width="8.140625" style="142" customWidth="1"/>
    <col min="3" max="3" width="52.28515625" style="218" customWidth="1"/>
    <col min="4" max="4" width="11.5703125" style="178" customWidth="1"/>
    <col min="5" max="16384" width="9.28515625" style="142"/>
  </cols>
  <sheetData>
    <row r="2" spans="2:22" ht="15.75">
      <c r="C2" s="353" t="s">
        <v>511</v>
      </c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2:22" ht="15.75">
      <c r="C3" s="353" t="s">
        <v>467</v>
      </c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</row>
    <row r="4" spans="2:22" ht="15.75">
      <c r="C4" s="388" t="s">
        <v>352</v>
      </c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388"/>
      <c r="V4" s="388"/>
    </row>
    <row r="6" spans="2:22" ht="15.75">
      <c r="B6" s="402" t="s">
        <v>209</v>
      </c>
      <c r="C6" s="403" t="s">
        <v>18</v>
      </c>
      <c r="D6" s="402" t="s">
        <v>39</v>
      </c>
      <c r="E6" s="402" t="s">
        <v>491</v>
      </c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 t="s">
        <v>492</v>
      </c>
      <c r="R6" s="402"/>
      <c r="S6" s="402"/>
      <c r="T6" s="402"/>
      <c r="U6" s="402"/>
      <c r="V6" s="402"/>
    </row>
    <row r="7" spans="2:22" ht="15.75">
      <c r="B7" s="402"/>
      <c r="C7" s="403"/>
      <c r="D7" s="402"/>
      <c r="E7" s="144" t="s">
        <v>141</v>
      </c>
      <c r="F7" s="144" t="s">
        <v>142</v>
      </c>
      <c r="G7" s="144" t="s">
        <v>143</v>
      </c>
      <c r="H7" s="144" t="s">
        <v>144</v>
      </c>
      <c r="I7" s="144" t="s">
        <v>145</v>
      </c>
      <c r="J7" s="144" t="s">
        <v>146</v>
      </c>
      <c r="K7" s="144" t="s">
        <v>147</v>
      </c>
      <c r="L7" s="144" t="s">
        <v>148</v>
      </c>
      <c r="M7" s="144" t="s">
        <v>149</v>
      </c>
      <c r="N7" s="144" t="s">
        <v>150</v>
      </c>
      <c r="O7" s="144" t="s">
        <v>151</v>
      </c>
      <c r="P7" s="144" t="s">
        <v>152</v>
      </c>
      <c r="Q7" s="144" t="s">
        <v>141</v>
      </c>
      <c r="R7" s="144" t="s">
        <v>142</v>
      </c>
      <c r="S7" s="144" t="s">
        <v>143</v>
      </c>
      <c r="T7" s="144" t="s">
        <v>144</v>
      </c>
      <c r="U7" s="144" t="s">
        <v>145</v>
      </c>
      <c r="V7" s="144" t="s">
        <v>146</v>
      </c>
    </row>
    <row r="8" spans="2:22" ht="15.75">
      <c r="B8" s="144" t="s">
        <v>67</v>
      </c>
      <c r="C8" s="183" t="s">
        <v>325</v>
      </c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</row>
    <row r="9" spans="2:22">
      <c r="B9" s="179">
        <v>1</v>
      </c>
      <c r="C9" s="181" t="s">
        <v>446</v>
      </c>
      <c r="D9" s="179" t="s">
        <v>327</v>
      </c>
      <c r="E9" s="149">
        <v>68934.66</v>
      </c>
      <c r="F9" s="149">
        <v>91254.57</v>
      </c>
      <c r="G9" s="149">
        <v>62961.77</v>
      </c>
      <c r="H9" s="149">
        <v>132240</v>
      </c>
      <c r="I9" s="149">
        <v>286091.46000000002</v>
      </c>
      <c r="J9" s="149">
        <v>254106.61</v>
      </c>
      <c r="K9" s="149">
        <v>216298</v>
      </c>
      <c r="L9" s="149">
        <v>160652.94</v>
      </c>
      <c r="M9" s="149">
        <v>172997.34</v>
      </c>
      <c r="N9" s="149">
        <v>113894.34</v>
      </c>
      <c r="O9" s="149">
        <v>136242.6</v>
      </c>
      <c r="P9" s="149">
        <v>190392.04</v>
      </c>
      <c r="Q9" s="147">
        <v>180647.93282840701</v>
      </c>
      <c r="R9" s="147">
        <v>92053.092828406603</v>
      </c>
      <c r="S9" s="147">
        <v>35736.562828406575</v>
      </c>
      <c r="T9" s="147">
        <v>66000.002828406636</v>
      </c>
      <c r="U9" s="147">
        <v>188673.49282840663</v>
      </c>
      <c r="V9" s="147">
        <v>235546.37282840663</v>
      </c>
    </row>
    <row r="10" spans="2:22">
      <c r="B10" s="179">
        <f>B9+1</f>
        <v>2</v>
      </c>
      <c r="C10" s="181" t="s">
        <v>326</v>
      </c>
      <c r="D10" s="179" t="s">
        <v>482</v>
      </c>
      <c r="E10" s="148">
        <v>24.616556837016951</v>
      </c>
      <c r="F10" s="148">
        <v>31.5197015143901</v>
      </c>
      <c r="G10" s="148">
        <v>21.94014640761803</v>
      </c>
      <c r="H10" s="148">
        <v>48.430584261223565</v>
      </c>
      <c r="I10" s="148">
        <v>104.80161739170566</v>
      </c>
      <c r="J10" s="148">
        <v>92.405846109285051</v>
      </c>
      <c r="K10" s="148">
        <v>78.001002550552229</v>
      </c>
      <c r="L10" s="148">
        <v>58.581079826879872</v>
      </c>
      <c r="M10" s="148">
        <v>63.788847159051478</v>
      </c>
      <c r="N10" s="148">
        <v>42.806042667967894</v>
      </c>
      <c r="O10" s="148">
        <v>53.99998869221119</v>
      </c>
      <c r="P10" s="148">
        <v>74.294638553315025</v>
      </c>
      <c r="Q10" s="148">
        <v>69.238736531615501</v>
      </c>
      <c r="R10" s="148">
        <v>35.848865544075224</v>
      </c>
      <c r="S10" s="148">
        <v>14.503359136689102</v>
      </c>
      <c r="T10" s="148">
        <v>28.81628981505013</v>
      </c>
      <c r="U10" s="148">
        <v>78.338766127360444</v>
      </c>
      <c r="V10" s="148">
        <v>95.838754052858633</v>
      </c>
    </row>
    <row r="11" spans="2:22" ht="15.75">
      <c r="B11" s="144" t="s">
        <v>71</v>
      </c>
      <c r="C11" s="183" t="s">
        <v>328</v>
      </c>
      <c r="D11" s="179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</row>
    <row r="12" spans="2:22">
      <c r="B12" s="179">
        <f>B10+1</f>
        <v>3</v>
      </c>
      <c r="C12" s="181" t="s">
        <v>447</v>
      </c>
      <c r="D12" s="179" t="s">
        <v>327</v>
      </c>
      <c r="E12" s="147">
        <v>272790.53000000003</v>
      </c>
      <c r="F12" s="147">
        <v>221583.61</v>
      </c>
      <c r="G12" s="147">
        <v>289806.65999999997</v>
      </c>
      <c r="H12" s="147">
        <v>276956.2</v>
      </c>
      <c r="I12" s="147">
        <v>176430.26</v>
      </c>
      <c r="J12" s="147">
        <v>209311.78</v>
      </c>
      <c r="K12" s="147">
        <v>194038.84</v>
      </c>
      <c r="L12" s="147">
        <v>251174.96</v>
      </c>
      <c r="M12" s="147">
        <v>202354.34</v>
      </c>
      <c r="N12" s="147">
        <v>291288.3</v>
      </c>
      <c r="O12" s="147">
        <v>294463.78000000003</v>
      </c>
      <c r="P12" s="147">
        <v>261471.82</v>
      </c>
      <c r="Q12" s="147">
        <v>154639.85999999999</v>
      </c>
      <c r="R12" s="147">
        <v>158675.10000000003</v>
      </c>
      <c r="S12" s="147">
        <v>273611.21999999997</v>
      </c>
      <c r="T12" s="147">
        <v>363051.73</v>
      </c>
      <c r="U12" s="147">
        <v>299842.18000000005</v>
      </c>
      <c r="V12" s="147">
        <v>146729.4</v>
      </c>
    </row>
    <row r="13" spans="2:22" ht="30">
      <c r="B13" s="179">
        <f>B12+1</f>
        <v>4</v>
      </c>
      <c r="C13" s="181" t="s">
        <v>448</v>
      </c>
      <c r="D13" s="179" t="s">
        <v>327</v>
      </c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</row>
    <row r="14" spans="2:22">
      <c r="B14" s="179">
        <f>B13+1</f>
        <v>5</v>
      </c>
      <c r="C14" s="181" t="s">
        <v>449</v>
      </c>
      <c r="D14" s="179" t="s">
        <v>327</v>
      </c>
      <c r="E14" s="147">
        <v>272790.53000000003</v>
      </c>
      <c r="F14" s="147">
        <v>221583.61</v>
      </c>
      <c r="G14" s="147">
        <v>289806.65999999997</v>
      </c>
      <c r="H14" s="147">
        <v>276956.2</v>
      </c>
      <c r="I14" s="147">
        <v>176430.26</v>
      </c>
      <c r="J14" s="147">
        <v>209311.78</v>
      </c>
      <c r="K14" s="147">
        <v>194038.84</v>
      </c>
      <c r="L14" s="147">
        <v>251174.96</v>
      </c>
      <c r="M14" s="147">
        <v>202354.34</v>
      </c>
      <c r="N14" s="147">
        <v>291288.3</v>
      </c>
      <c r="O14" s="147">
        <v>294463.78000000003</v>
      </c>
      <c r="P14" s="147">
        <v>261471.82</v>
      </c>
      <c r="Q14" s="147">
        <v>154639.85999999999</v>
      </c>
      <c r="R14" s="147">
        <v>158675.10000000003</v>
      </c>
      <c r="S14" s="147">
        <v>273611.21999999997</v>
      </c>
      <c r="T14" s="147">
        <v>363051.73</v>
      </c>
      <c r="U14" s="147">
        <v>299842.18000000005</v>
      </c>
      <c r="V14" s="147">
        <v>146729.4</v>
      </c>
    </row>
    <row r="15" spans="2:22">
      <c r="B15" s="179">
        <f>B14+1</f>
        <v>6</v>
      </c>
      <c r="C15" s="181" t="s">
        <v>329</v>
      </c>
      <c r="D15" s="179" t="s">
        <v>327</v>
      </c>
      <c r="E15" s="147">
        <v>2182.3242399999872</v>
      </c>
      <c r="F15" s="147">
        <v>1772.668880000012</v>
      </c>
      <c r="G15" s="147">
        <v>2318.4532800000161</v>
      </c>
      <c r="H15" s="147">
        <v>2215.6496000000043</v>
      </c>
      <c r="I15" s="147">
        <v>1411.442080000008</v>
      </c>
      <c r="J15" s="147">
        <v>1674.49424</v>
      </c>
      <c r="K15" s="147">
        <v>1552.3107200000086</v>
      </c>
      <c r="L15" s="147">
        <v>2009.3996800000023</v>
      </c>
      <c r="M15" s="147">
        <v>1618.8347200000135</v>
      </c>
      <c r="N15" s="147">
        <v>2330.3064000000013</v>
      </c>
      <c r="O15" s="147">
        <v>2355.7102399999858</v>
      </c>
      <c r="P15" s="147">
        <v>2091.7745599999907</v>
      </c>
      <c r="Q15" s="147">
        <v>1237.1188799999945</v>
      </c>
      <c r="R15" s="147">
        <v>1269.4008000000031</v>
      </c>
      <c r="S15" s="147">
        <v>2188.8897599999909</v>
      </c>
      <c r="T15" s="147">
        <v>2904.4138399999938</v>
      </c>
      <c r="U15" s="147">
        <v>2398.7374399999972</v>
      </c>
      <c r="V15" s="147">
        <v>1173.8352000000014</v>
      </c>
    </row>
    <row r="16" spans="2:22" ht="15.75">
      <c r="B16" s="179">
        <f>B15+1</f>
        <v>7</v>
      </c>
      <c r="C16" s="181" t="s">
        <v>450</v>
      </c>
      <c r="D16" s="179" t="s">
        <v>327</v>
      </c>
      <c r="E16" s="180">
        <f>E14-E15</f>
        <v>270608.20576000004</v>
      </c>
      <c r="F16" s="180">
        <f t="shared" ref="F16:V16" si="0">F14-F15</f>
        <v>219810.94111999997</v>
      </c>
      <c r="G16" s="180">
        <f t="shared" si="0"/>
        <v>287488.20671999996</v>
      </c>
      <c r="H16" s="180">
        <f t="shared" si="0"/>
        <v>274740.55040000001</v>
      </c>
      <c r="I16" s="180">
        <f t="shared" si="0"/>
        <v>175018.81792</v>
      </c>
      <c r="J16" s="180">
        <f t="shared" si="0"/>
        <v>207637.28576</v>
      </c>
      <c r="K16" s="180">
        <f t="shared" si="0"/>
        <v>192486.52927999999</v>
      </c>
      <c r="L16" s="180">
        <f t="shared" si="0"/>
        <v>249165.56031999999</v>
      </c>
      <c r="M16" s="180">
        <f t="shared" si="0"/>
        <v>200735.50527999998</v>
      </c>
      <c r="N16" s="180">
        <f t="shared" si="0"/>
        <v>288957.99359999999</v>
      </c>
      <c r="O16" s="180">
        <f t="shared" si="0"/>
        <v>292108.06976000004</v>
      </c>
      <c r="P16" s="180">
        <f t="shared" si="0"/>
        <v>259380.04544000002</v>
      </c>
      <c r="Q16" s="180">
        <f t="shared" si="0"/>
        <v>153402.74111999999</v>
      </c>
      <c r="R16" s="180">
        <f t="shared" si="0"/>
        <v>157405.69920000003</v>
      </c>
      <c r="S16" s="180">
        <f t="shared" si="0"/>
        <v>271422.33023999998</v>
      </c>
      <c r="T16" s="180">
        <f t="shared" si="0"/>
        <v>360147.31615999999</v>
      </c>
      <c r="U16" s="180">
        <f t="shared" si="0"/>
        <v>297443.44256000005</v>
      </c>
      <c r="V16" s="180">
        <f t="shared" si="0"/>
        <v>145555.56479999999</v>
      </c>
    </row>
    <row r="17" spans="2:22" ht="15.75">
      <c r="B17" s="144" t="s">
        <v>72</v>
      </c>
      <c r="C17" s="183" t="s">
        <v>330</v>
      </c>
      <c r="D17" s="17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</row>
    <row r="18" spans="2:22">
      <c r="B18" s="179">
        <f>B16+1</f>
        <v>8</v>
      </c>
      <c r="C18" s="181" t="s">
        <v>451</v>
      </c>
      <c r="D18" s="179" t="s">
        <v>482</v>
      </c>
      <c r="E18" s="148">
        <v>97.218268922999982</v>
      </c>
      <c r="F18" s="148">
        <v>86.89702197699998</v>
      </c>
      <c r="G18" s="148">
        <v>115.916710357</v>
      </c>
      <c r="H18" s="148">
        <v>102.05003942499999</v>
      </c>
      <c r="I18" s="148">
        <v>65.588304218000005</v>
      </c>
      <c r="J18" s="148">
        <v>72.567719387750003</v>
      </c>
      <c r="K18" s="148">
        <v>67.373976538697605</v>
      </c>
      <c r="L18" s="148">
        <v>85.220757465999995</v>
      </c>
      <c r="M18" s="148">
        <v>72.786175692000015</v>
      </c>
      <c r="N18" s="148">
        <v>101.24928309900002</v>
      </c>
      <c r="O18" s="148">
        <v>103.83969751400001</v>
      </c>
      <c r="P18" s="148">
        <v>90.640998949000007</v>
      </c>
      <c r="Q18" s="148">
        <v>57.043418341000006</v>
      </c>
      <c r="R18" s="148">
        <v>60.22166975999999</v>
      </c>
      <c r="S18" s="148">
        <v>110.07897936300002</v>
      </c>
      <c r="T18" s="148">
        <v>140.09174098299999</v>
      </c>
      <c r="U18" s="148">
        <v>115.39996215100003</v>
      </c>
      <c r="V18" s="148">
        <v>56.418784664000007</v>
      </c>
    </row>
    <row r="19" spans="2:22" ht="30">
      <c r="B19" s="179">
        <f>B18+1</f>
        <v>9</v>
      </c>
      <c r="C19" s="181" t="s">
        <v>452</v>
      </c>
      <c r="D19" s="179" t="s">
        <v>482</v>
      </c>
      <c r="E19" s="148">
        <v>-11.130270707325604</v>
      </c>
      <c r="F19" s="148">
        <v>-15.836316995721599</v>
      </c>
      <c r="G19" s="148">
        <v>-16.544672028158399</v>
      </c>
      <c r="H19" s="148">
        <v>-8.5829154310455991</v>
      </c>
      <c r="I19" s="148">
        <v>-7.8602691366863997</v>
      </c>
      <c r="J19" s="148">
        <v>-3.5901608041823998</v>
      </c>
      <c r="K19" s="148">
        <v>-1.2725189233967991</v>
      </c>
      <c r="L19" s="148">
        <v>0.56717888515679982</v>
      </c>
      <c r="M19" s="148">
        <v>-1.5490645503479998</v>
      </c>
      <c r="N19" s="148">
        <v>8.0225648261679989</v>
      </c>
      <c r="O19" s="148">
        <v>2.4554135869015998</v>
      </c>
      <c r="P19" s="148">
        <v>1.3404210784103998</v>
      </c>
      <c r="Q19" s="148">
        <v>0.16501140630240002</v>
      </c>
      <c r="R19" s="148">
        <v>1.4206518980055998</v>
      </c>
      <c r="S19" s="148">
        <v>2.4496285896599992</v>
      </c>
      <c r="T19" s="148">
        <v>-0.44144732535440029</v>
      </c>
      <c r="U19" s="148">
        <v>-4.3207176335199993</v>
      </c>
      <c r="V19" s="148">
        <v>-3.7355300649288008</v>
      </c>
    </row>
    <row r="20" spans="2:22">
      <c r="B20" s="179">
        <f>B19+1</f>
        <v>10</v>
      </c>
      <c r="C20" s="181" t="s">
        <v>331</v>
      </c>
      <c r="D20" s="179" t="s">
        <v>482</v>
      </c>
      <c r="E20" s="148">
        <v>0.17874770600000001</v>
      </c>
      <c r="F20" s="148">
        <v>0.51869451600000005</v>
      </c>
      <c r="G20" s="148">
        <v>0.12106198200000001</v>
      </c>
      <c r="H20" s="148">
        <v>0.28014913399999997</v>
      </c>
      <c r="I20" s="148">
        <v>0.46963143599999996</v>
      </c>
      <c r="J20" s="148">
        <v>0.26946154999999999</v>
      </c>
      <c r="K20" s="148">
        <v>0.376542139</v>
      </c>
      <c r="L20" s="148">
        <v>0.49056660000000002</v>
      </c>
      <c r="M20" s="148">
        <v>0.61330872100000011</v>
      </c>
      <c r="N20" s="148">
        <v>0.92194963099999983</v>
      </c>
      <c r="O20" s="148">
        <v>0.17716537800000001</v>
      </c>
      <c r="P20" s="148">
        <v>0.19710382800000001</v>
      </c>
      <c r="Q20" s="148">
        <v>0.137313237</v>
      </c>
      <c r="R20" s="148">
        <v>0.15066583</v>
      </c>
      <c r="S20" s="148">
        <v>0.15380317200000002</v>
      </c>
      <c r="T20" s="148">
        <v>0.23921063600000003</v>
      </c>
      <c r="U20" s="148">
        <v>0.41607640099999998</v>
      </c>
      <c r="V20" s="148">
        <v>0.34889712299999998</v>
      </c>
    </row>
    <row r="21" spans="2:22" ht="15.75">
      <c r="B21" s="179">
        <f>B20+1</f>
        <v>11</v>
      </c>
      <c r="C21" s="181" t="s">
        <v>332</v>
      </c>
      <c r="D21" s="179" t="s">
        <v>482</v>
      </c>
      <c r="E21" s="180">
        <f>E18+E19+E20</f>
        <v>86.266745921674371</v>
      </c>
      <c r="F21" s="180">
        <f t="shared" ref="F21:V21" si="1">F18+F19+F20</f>
        <v>71.579399497278374</v>
      </c>
      <c r="G21" s="180">
        <f t="shared" si="1"/>
        <v>99.493100310841598</v>
      </c>
      <c r="H21" s="180">
        <f t="shared" si="1"/>
        <v>93.747273127954401</v>
      </c>
      <c r="I21" s="180">
        <f t="shared" si="1"/>
        <v>58.197666517313607</v>
      </c>
      <c r="J21" s="180">
        <f t="shared" si="1"/>
        <v>69.247020133567602</v>
      </c>
      <c r="K21" s="180">
        <f t="shared" si="1"/>
        <v>66.477999754300797</v>
      </c>
      <c r="L21" s="180">
        <f t="shared" si="1"/>
        <v>86.278502951156796</v>
      </c>
      <c r="M21" s="180">
        <f t="shared" si="1"/>
        <v>71.850419862652004</v>
      </c>
      <c r="N21" s="180">
        <f t="shared" si="1"/>
        <v>110.19379755616802</v>
      </c>
      <c r="O21" s="180">
        <f t="shared" si="1"/>
        <v>106.47227647890161</v>
      </c>
      <c r="P21" s="180">
        <f t="shared" si="1"/>
        <v>92.178523855410404</v>
      </c>
      <c r="Q21" s="180">
        <f t="shared" si="1"/>
        <v>57.345742984302404</v>
      </c>
      <c r="R21" s="180">
        <f t="shared" si="1"/>
        <v>61.792987488005593</v>
      </c>
      <c r="S21" s="180">
        <f t="shared" si="1"/>
        <v>112.68241112466001</v>
      </c>
      <c r="T21" s="180">
        <f t="shared" si="1"/>
        <v>139.88950429364559</v>
      </c>
      <c r="U21" s="180">
        <f t="shared" si="1"/>
        <v>111.49532091848002</v>
      </c>
      <c r="V21" s="180">
        <f t="shared" si="1"/>
        <v>53.032151722071205</v>
      </c>
    </row>
    <row r="22" spans="2:22" ht="15.75">
      <c r="B22" s="144" t="s">
        <v>333</v>
      </c>
      <c r="C22" s="183" t="s">
        <v>334</v>
      </c>
      <c r="D22" s="179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</row>
    <row r="23" spans="2:22">
      <c r="B23" s="179">
        <f>B21+1</f>
        <v>12</v>
      </c>
      <c r="C23" s="181" t="s">
        <v>335</v>
      </c>
      <c r="D23" s="179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</row>
    <row r="24" spans="2:22">
      <c r="B24" s="179"/>
      <c r="C24" s="181" t="s">
        <v>336</v>
      </c>
      <c r="D24" s="179" t="s">
        <v>482</v>
      </c>
      <c r="E24" s="148">
        <v>6.3961893620000012</v>
      </c>
      <c r="F24" s="148">
        <v>5.2971956339999995</v>
      </c>
      <c r="G24" s="148">
        <v>6.9129230800000014</v>
      </c>
      <c r="H24" s="148">
        <v>6.9081002259999993</v>
      </c>
      <c r="I24" s="148">
        <v>4.6834267767500002</v>
      </c>
      <c r="J24" s="148">
        <v>4.860400364000002</v>
      </c>
      <c r="K24" s="148">
        <v>4.5816926680000014</v>
      </c>
      <c r="L24" s="148">
        <v>6.2516969265000029</v>
      </c>
      <c r="M24" s="148">
        <v>4.8244631800000013</v>
      </c>
      <c r="N24" s="148">
        <v>6.6713724520000008</v>
      </c>
      <c r="O24" s="148">
        <v>6.6784094120000024</v>
      </c>
      <c r="P24" s="148">
        <v>5.9154757080000016</v>
      </c>
      <c r="Q24" s="148">
        <v>3.5071592040000006</v>
      </c>
      <c r="R24" s="148">
        <v>3.5987298400000007</v>
      </c>
      <c r="S24" s="148">
        <v>6.9230070510000008</v>
      </c>
      <c r="T24" s="148">
        <v>8.2340327720000008</v>
      </c>
      <c r="U24" s="148">
        <v>7.956440790300003</v>
      </c>
      <c r="V24" s="148">
        <v>3.3277694560000008</v>
      </c>
    </row>
    <row r="25" spans="2:22">
      <c r="B25" s="179"/>
      <c r="C25" s="181" t="s">
        <v>337</v>
      </c>
      <c r="D25" s="179" t="s">
        <v>482</v>
      </c>
      <c r="E25" s="148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</row>
    <row r="26" spans="2:22">
      <c r="B26" s="179"/>
      <c r="C26" s="181" t="s">
        <v>338</v>
      </c>
      <c r="D26" s="179" t="s">
        <v>482</v>
      </c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</row>
    <row r="27" spans="2:22">
      <c r="B27" s="179"/>
      <c r="C27" s="181" t="s">
        <v>9</v>
      </c>
      <c r="D27" s="179" t="s">
        <v>482</v>
      </c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</row>
    <row r="28" spans="2:22" ht="30">
      <c r="B28" s="179">
        <f>B23+1</f>
        <v>13</v>
      </c>
      <c r="C28" s="181" t="s">
        <v>453</v>
      </c>
      <c r="D28" s="179" t="s">
        <v>482</v>
      </c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</row>
    <row r="29" spans="2:22">
      <c r="B29" s="179">
        <f>B28+1</f>
        <v>14</v>
      </c>
      <c r="C29" s="181" t="s">
        <v>339</v>
      </c>
      <c r="D29" s="179" t="s">
        <v>482</v>
      </c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</row>
    <row r="30" spans="2:22" ht="30">
      <c r="B30" s="179">
        <f>B29+1</f>
        <v>15</v>
      </c>
      <c r="C30" s="181" t="s">
        <v>454</v>
      </c>
      <c r="D30" s="179" t="s">
        <v>482</v>
      </c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</row>
    <row r="31" spans="2:22" ht="15.75">
      <c r="B31" s="179">
        <f>B30+1</f>
        <v>16</v>
      </c>
      <c r="C31" s="181" t="s">
        <v>340</v>
      </c>
      <c r="D31" s="179" t="s">
        <v>482</v>
      </c>
      <c r="E31" s="182">
        <f>SUM(E24:E30)</f>
        <v>6.3961893620000012</v>
      </c>
      <c r="F31" s="182">
        <f t="shared" ref="F31:V31" si="2">SUM(F24:F30)</f>
        <v>5.2971956339999995</v>
      </c>
      <c r="G31" s="182">
        <f t="shared" si="2"/>
        <v>6.9129230800000014</v>
      </c>
      <c r="H31" s="182">
        <f t="shared" si="2"/>
        <v>6.9081002259999993</v>
      </c>
      <c r="I31" s="182">
        <f t="shared" si="2"/>
        <v>4.6834267767500002</v>
      </c>
      <c r="J31" s="182">
        <f t="shared" si="2"/>
        <v>4.860400364000002</v>
      </c>
      <c r="K31" s="182">
        <f t="shared" si="2"/>
        <v>4.5816926680000014</v>
      </c>
      <c r="L31" s="182">
        <f t="shared" si="2"/>
        <v>6.2516969265000029</v>
      </c>
      <c r="M31" s="182">
        <f t="shared" si="2"/>
        <v>4.8244631800000013</v>
      </c>
      <c r="N31" s="182">
        <f t="shared" si="2"/>
        <v>6.6713724520000008</v>
      </c>
      <c r="O31" s="182">
        <f t="shared" si="2"/>
        <v>6.6784094120000024</v>
      </c>
      <c r="P31" s="182">
        <f t="shared" si="2"/>
        <v>5.9154757080000016</v>
      </c>
      <c r="Q31" s="182">
        <f t="shared" si="2"/>
        <v>3.5071592040000006</v>
      </c>
      <c r="R31" s="182">
        <f t="shared" si="2"/>
        <v>3.5987298400000007</v>
      </c>
      <c r="S31" s="182">
        <f t="shared" si="2"/>
        <v>6.9230070510000008</v>
      </c>
      <c r="T31" s="182">
        <f t="shared" si="2"/>
        <v>8.2340327720000008</v>
      </c>
      <c r="U31" s="182">
        <f t="shared" si="2"/>
        <v>7.956440790300003</v>
      </c>
      <c r="V31" s="182">
        <f t="shared" si="2"/>
        <v>3.3277694560000008</v>
      </c>
    </row>
    <row r="32" spans="2:22" ht="30">
      <c r="B32" s="179">
        <f>B31+1</f>
        <v>17</v>
      </c>
      <c r="C32" s="181" t="s">
        <v>455</v>
      </c>
      <c r="D32" s="179" t="s">
        <v>482</v>
      </c>
      <c r="E32" s="182">
        <f>E21+E31</f>
        <v>92.662935283674372</v>
      </c>
      <c r="F32" s="182">
        <f t="shared" ref="F32:V32" si="3">F21+F31</f>
        <v>76.876595131278378</v>
      </c>
      <c r="G32" s="182">
        <f t="shared" si="3"/>
        <v>106.4060233908416</v>
      </c>
      <c r="H32" s="182">
        <f t="shared" si="3"/>
        <v>100.6553733539544</v>
      </c>
      <c r="I32" s="182">
        <f t="shared" si="3"/>
        <v>62.881093294063604</v>
      </c>
      <c r="J32" s="182">
        <f t="shared" si="3"/>
        <v>74.107420497567603</v>
      </c>
      <c r="K32" s="182">
        <f t="shared" si="3"/>
        <v>71.059692422300799</v>
      </c>
      <c r="L32" s="182">
        <f t="shared" si="3"/>
        <v>92.530199877656798</v>
      </c>
      <c r="M32" s="182">
        <f t="shared" si="3"/>
        <v>76.674883042651999</v>
      </c>
      <c r="N32" s="182">
        <f t="shared" si="3"/>
        <v>116.86517000816802</v>
      </c>
      <c r="O32" s="182">
        <f t="shared" si="3"/>
        <v>113.15068589090161</v>
      </c>
      <c r="P32" s="182">
        <f t="shared" si="3"/>
        <v>98.093999563410406</v>
      </c>
      <c r="Q32" s="182">
        <f t="shared" si="3"/>
        <v>60.852902188302409</v>
      </c>
      <c r="R32" s="182">
        <f t="shared" si="3"/>
        <v>65.391717328005598</v>
      </c>
      <c r="S32" s="182">
        <f t="shared" si="3"/>
        <v>119.60541817566001</v>
      </c>
      <c r="T32" s="182">
        <f t="shared" si="3"/>
        <v>148.12353706564559</v>
      </c>
      <c r="U32" s="182">
        <f t="shared" si="3"/>
        <v>119.45176170878003</v>
      </c>
      <c r="V32" s="182">
        <f t="shared" si="3"/>
        <v>56.359921178071204</v>
      </c>
    </row>
    <row r="33" spans="2:22" ht="15.75">
      <c r="B33" s="144" t="s">
        <v>341</v>
      </c>
      <c r="C33" s="183" t="s">
        <v>200</v>
      </c>
      <c r="D33" s="17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</row>
    <row r="34" spans="2:22" ht="15.75">
      <c r="B34" s="179">
        <f>B32+1</f>
        <v>18</v>
      </c>
      <c r="C34" s="181" t="s">
        <v>456</v>
      </c>
      <c r="D34" s="179" t="s">
        <v>342</v>
      </c>
      <c r="E34" s="180">
        <f t="shared" ref="E34:V34" si="4">IFERROR((E10+E32)/(E9+E16),0)*10000000</f>
        <v>3454.0408280463848</v>
      </c>
      <c r="F34" s="180">
        <f t="shared" si="4"/>
        <v>3484.6774319462361</v>
      </c>
      <c r="G34" s="180">
        <f t="shared" si="4"/>
        <v>3662.3249628863505</v>
      </c>
      <c r="H34" s="180">
        <f t="shared" si="4"/>
        <v>3663.2206985972462</v>
      </c>
      <c r="I34" s="180">
        <f t="shared" si="4"/>
        <v>3636.4990917608925</v>
      </c>
      <c r="J34" s="180">
        <f t="shared" si="4"/>
        <v>3606.1823044305288</v>
      </c>
      <c r="K34" s="180">
        <f t="shared" si="4"/>
        <v>3646.4367972877171</v>
      </c>
      <c r="L34" s="180">
        <f t="shared" si="4"/>
        <v>3687.2732584435294</v>
      </c>
      <c r="M34" s="180">
        <f t="shared" si="4"/>
        <v>3758.3994014887367</v>
      </c>
      <c r="N34" s="180">
        <f t="shared" si="4"/>
        <v>3963.5171341635223</v>
      </c>
      <c r="O34" s="180">
        <f t="shared" si="4"/>
        <v>3902.1924414584291</v>
      </c>
      <c r="P34" s="180">
        <f t="shared" si="4"/>
        <v>3832.7998490186915</v>
      </c>
      <c r="Q34" s="180">
        <f t="shared" si="4"/>
        <v>3894.3683957365738</v>
      </c>
      <c r="R34" s="180">
        <f t="shared" si="4"/>
        <v>4058.4090882855012</v>
      </c>
      <c r="S34" s="180">
        <f t="shared" si="4"/>
        <v>4366.104330323983</v>
      </c>
      <c r="T34" s="180">
        <f t="shared" si="4"/>
        <v>4152.0811934407457</v>
      </c>
      <c r="U34" s="180">
        <f t="shared" si="4"/>
        <v>4068.7849658664154</v>
      </c>
      <c r="V34" s="180">
        <f t="shared" si="4"/>
        <v>3993.6473736675443</v>
      </c>
    </row>
    <row r="35" spans="2:22">
      <c r="B35" s="179">
        <f>B34+1</f>
        <v>19</v>
      </c>
      <c r="C35" s="181" t="s">
        <v>343</v>
      </c>
      <c r="D35" s="17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</row>
    <row r="36" spans="2:22" ht="30">
      <c r="B36" s="179">
        <f>B35+1</f>
        <v>20</v>
      </c>
      <c r="C36" s="181" t="s">
        <v>457</v>
      </c>
      <c r="D36" s="179" t="s">
        <v>342</v>
      </c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</row>
    <row r="37" spans="2:22" ht="15.75">
      <c r="B37" s="144" t="s">
        <v>344</v>
      </c>
      <c r="C37" s="183" t="s">
        <v>345</v>
      </c>
      <c r="D37" s="17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</row>
    <row r="38" spans="2:22" ht="30">
      <c r="B38" s="179">
        <f>B36+1</f>
        <v>21</v>
      </c>
      <c r="C38" s="181" t="s">
        <v>458</v>
      </c>
      <c r="D38" s="179" t="s">
        <v>346</v>
      </c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</row>
    <row r="39" spans="2:22" ht="30">
      <c r="B39" s="179">
        <f>B38+1</f>
        <v>22</v>
      </c>
      <c r="C39" s="181" t="s">
        <v>459</v>
      </c>
      <c r="D39" s="179" t="s">
        <v>346</v>
      </c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</row>
    <row r="40" spans="2:22" ht="30">
      <c r="B40" s="179">
        <f t="shared" ref="B40:B47" si="5">B39+1</f>
        <v>23</v>
      </c>
      <c r="C40" s="181" t="s">
        <v>460</v>
      </c>
      <c r="D40" s="179" t="s">
        <v>346</v>
      </c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</row>
    <row r="41" spans="2:22" ht="30">
      <c r="B41" s="179">
        <f t="shared" si="5"/>
        <v>24</v>
      </c>
      <c r="C41" s="181" t="s">
        <v>461</v>
      </c>
      <c r="D41" s="179" t="s">
        <v>346</v>
      </c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</row>
    <row r="42" spans="2:22">
      <c r="B42" s="179">
        <f t="shared" si="5"/>
        <v>25</v>
      </c>
      <c r="C42" s="181" t="s">
        <v>462</v>
      </c>
      <c r="D42" s="179" t="s">
        <v>346</v>
      </c>
      <c r="E42" s="147">
        <v>3307</v>
      </c>
      <c r="F42" s="147">
        <v>3230</v>
      </c>
      <c r="G42" s="147">
        <v>3272</v>
      </c>
      <c r="H42" s="147">
        <v>2952</v>
      </c>
      <c r="I42" s="147">
        <v>2923</v>
      </c>
      <c r="J42" s="147">
        <v>3020</v>
      </c>
      <c r="K42" s="147">
        <v>3136</v>
      </c>
      <c r="L42" s="147">
        <v>3151</v>
      </c>
      <c r="M42" s="147">
        <v>3215</v>
      </c>
      <c r="N42" s="147">
        <v>3289</v>
      </c>
      <c r="O42" s="147">
        <v>3325</v>
      </c>
      <c r="P42" s="147">
        <v>3168</v>
      </c>
      <c r="Q42" s="147">
        <v>3121</v>
      </c>
      <c r="R42" s="147">
        <v>3229</v>
      </c>
      <c r="S42" s="147">
        <v>3176</v>
      </c>
      <c r="T42" s="147">
        <v>2944</v>
      </c>
      <c r="U42" s="147">
        <v>3065</v>
      </c>
      <c r="V42" s="147">
        <v>3094</v>
      </c>
    </row>
    <row r="43" spans="2:22" ht="30">
      <c r="B43" s="179">
        <f t="shared" si="5"/>
        <v>26</v>
      </c>
      <c r="C43" s="181" t="s">
        <v>463</v>
      </c>
      <c r="D43" s="179" t="s">
        <v>346</v>
      </c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</row>
    <row r="44" spans="2:22" ht="30">
      <c r="B44" s="179">
        <f t="shared" si="5"/>
        <v>27</v>
      </c>
      <c r="C44" s="181" t="s">
        <v>464</v>
      </c>
      <c r="D44" s="179" t="s">
        <v>346</v>
      </c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2:22" ht="30">
      <c r="B45" s="179">
        <f t="shared" si="5"/>
        <v>28</v>
      </c>
      <c r="C45" s="181" t="s">
        <v>465</v>
      </c>
      <c r="D45" s="179" t="s">
        <v>346</v>
      </c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</row>
    <row r="46" spans="2:22" ht="30">
      <c r="B46" s="179">
        <f t="shared" si="5"/>
        <v>29</v>
      </c>
      <c r="C46" s="181" t="s">
        <v>465</v>
      </c>
      <c r="D46" s="179" t="s">
        <v>346</v>
      </c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</row>
    <row r="47" spans="2:22" s="185" customFormat="1" ht="15.75">
      <c r="B47" s="144">
        <f t="shared" si="5"/>
        <v>30</v>
      </c>
      <c r="C47" s="183" t="s">
        <v>466</v>
      </c>
      <c r="D47" s="144" t="s">
        <v>346</v>
      </c>
      <c r="E47" s="184">
        <v>3107</v>
      </c>
      <c r="F47" s="184">
        <v>3050</v>
      </c>
      <c r="G47" s="184">
        <v>3100</v>
      </c>
      <c r="H47" s="184">
        <v>2762</v>
      </c>
      <c r="I47" s="184">
        <v>2818</v>
      </c>
      <c r="J47" s="184">
        <v>2796</v>
      </c>
      <c r="K47" s="184">
        <v>2723</v>
      </c>
      <c r="L47" s="184">
        <v>2810</v>
      </c>
      <c r="M47" s="184">
        <v>2826</v>
      </c>
      <c r="N47" s="184">
        <v>2935</v>
      </c>
      <c r="O47" s="184">
        <v>2902</v>
      </c>
      <c r="P47" s="184">
        <v>2756</v>
      </c>
      <c r="Q47" s="184">
        <v>2769</v>
      </c>
      <c r="R47" s="184">
        <v>3014</v>
      </c>
      <c r="S47" s="184">
        <v>2916</v>
      </c>
      <c r="T47" s="184">
        <v>2798</v>
      </c>
      <c r="U47" s="184">
        <v>2604</v>
      </c>
      <c r="V47" s="184">
        <v>2820</v>
      </c>
    </row>
    <row r="49" spans="2:3" ht="15.75">
      <c r="B49" s="185" t="s">
        <v>271</v>
      </c>
    </row>
    <row r="50" spans="2:3">
      <c r="B50" s="178">
        <v>1</v>
      </c>
      <c r="C50" s="142" t="s">
        <v>347</v>
      </c>
    </row>
    <row r="51" spans="2:3">
      <c r="B51" s="178">
        <f>B50+1</f>
        <v>2</v>
      </c>
      <c r="C51" s="142" t="s">
        <v>348</v>
      </c>
    </row>
    <row r="52" spans="2:3">
      <c r="B52" s="178">
        <f>B51+1</f>
        <v>3</v>
      </c>
      <c r="C52" s="142" t="s">
        <v>349</v>
      </c>
    </row>
    <row r="53" spans="2:3">
      <c r="B53" s="178">
        <f>B52+1</f>
        <v>4</v>
      </c>
      <c r="C53" s="142" t="s">
        <v>350</v>
      </c>
    </row>
  </sheetData>
  <mergeCells count="8">
    <mergeCell ref="C2:V2"/>
    <mergeCell ref="C3:V3"/>
    <mergeCell ref="C4:V4"/>
    <mergeCell ref="B6:B7"/>
    <mergeCell ref="C6:C7"/>
    <mergeCell ref="D6:D7"/>
    <mergeCell ref="E6:P6"/>
    <mergeCell ref="Q6:V6"/>
  </mergeCells>
  <pageMargins left="0" right="0" top="0" bottom="0" header="0.3" footer="0.3"/>
  <pageSetup paperSize="9" scale="5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53"/>
  <sheetViews>
    <sheetView showGridLines="0" zoomScale="86" zoomScaleNormal="86" workbookViewId="0">
      <selection activeCell="N20" sqref="N20"/>
    </sheetView>
  </sheetViews>
  <sheetFormatPr defaultColWidth="9.28515625" defaultRowHeight="15"/>
  <cols>
    <col min="1" max="1" width="2.28515625" style="88" customWidth="1"/>
    <col min="2" max="2" width="9.28515625" style="142"/>
    <col min="3" max="3" width="47.28515625" style="218" customWidth="1"/>
    <col min="4" max="4" width="12.7109375" style="178" customWidth="1"/>
    <col min="5" max="16384" width="9.28515625" style="142"/>
  </cols>
  <sheetData>
    <row r="2" spans="2:22" s="142" customFormat="1" ht="15" customHeight="1">
      <c r="B2" s="353" t="s">
        <v>511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</row>
    <row r="3" spans="2:22" s="142" customFormat="1" ht="15" customHeight="1">
      <c r="B3" s="353" t="s">
        <v>467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</row>
    <row r="4" spans="2:22" s="142" customFormat="1" ht="15" customHeight="1">
      <c r="B4" s="388" t="s">
        <v>562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388"/>
      <c r="V4" s="388"/>
    </row>
    <row r="6" spans="2:22" s="142" customFormat="1" ht="15.75">
      <c r="B6" s="402" t="s">
        <v>209</v>
      </c>
      <c r="C6" s="403" t="s">
        <v>18</v>
      </c>
      <c r="D6" s="402" t="s">
        <v>39</v>
      </c>
      <c r="E6" s="402" t="s">
        <v>491</v>
      </c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 t="s">
        <v>492</v>
      </c>
      <c r="R6" s="402"/>
      <c r="S6" s="402"/>
      <c r="T6" s="402"/>
      <c r="U6" s="402"/>
      <c r="V6" s="402"/>
    </row>
    <row r="7" spans="2:22" s="142" customFormat="1" ht="15.75">
      <c r="B7" s="402"/>
      <c r="C7" s="403"/>
      <c r="D7" s="402"/>
      <c r="E7" s="144" t="s">
        <v>141</v>
      </c>
      <c r="F7" s="144" t="s">
        <v>142</v>
      </c>
      <c r="G7" s="144" t="s">
        <v>143</v>
      </c>
      <c r="H7" s="144" t="s">
        <v>144</v>
      </c>
      <c r="I7" s="144" t="s">
        <v>145</v>
      </c>
      <c r="J7" s="144" t="s">
        <v>146</v>
      </c>
      <c r="K7" s="144" t="s">
        <v>147</v>
      </c>
      <c r="L7" s="144" t="s">
        <v>148</v>
      </c>
      <c r="M7" s="144" t="s">
        <v>149</v>
      </c>
      <c r="N7" s="144" t="s">
        <v>150</v>
      </c>
      <c r="O7" s="144" t="s">
        <v>151</v>
      </c>
      <c r="P7" s="144" t="s">
        <v>152</v>
      </c>
      <c r="Q7" s="144" t="s">
        <v>141</v>
      </c>
      <c r="R7" s="144" t="s">
        <v>142</v>
      </c>
      <c r="S7" s="144" t="s">
        <v>143</v>
      </c>
      <c r="T7" s="144" t="s">
        <v>144</v>
      </c>
      <c r="U7" s="144" t="s">
        <v>145</v>
      </c>
      <c r="V7" s="144" t="s">
        <v>146</v>
      </c>
    </row>
    <row r="8" spans="2:22" s="142" customFormat="1" ht="15.75">
      <c r="B8" s="144" t="s">
        <v>67</v>
      </c>
      <c r="C8" s="183" t="s">
        <v>325</v>
      </c>
      <c r="D8" s="178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</row>
    <row r="9" spans="2:22" s="142" customFormat="1">
      <c r="B9" s="179">
        <v>1</v>
      </c>
      <c r="C9" s="181" t="s">
        <v>424</v>
      </c>
      <c r="D9" s="179" t="s">
        <v>489</v>
      </c>
      <c r="E9" s="149">
        <v>1951.7419999999995</v>
      </c>
      <c r="F9" s="149">
        <v>2338.8949999999991</v>
      </c>
      <c r="G9" s="149">
        <v>2784.0199999999991</v>
      </c>
      <c r="H9" s="149">
        <v>2481.0809999999988</v>
      </c>
      <c r="I9" s="149">
        <v>2188.7879999999991</v>
      </c>
      <c r="J9" s="149">
        <v>2613.666999999999</v>
      </c>
      <c r="K9" s="149">
        <v>2478.6989999999987</v>
      </c>
      <c r="L9" s="149">
        <v>2044.5489999999986</v>
      </c>
      <c r="M9" s="149">
        <v>1864.6899999999985</v>
      </c>
      <c r="N9" s="149">
        <v>1790.6359999999984</v>
      </c>
      <c r="O9" s="149">
        <v>2722.2279999999982</v>
      </c>
      <c r="P9" s="149">
        <v>2620.3709999999983</v>
      </c>
      <c r="Q9" s="149">
        <v>2529.9859999999981</v>
      </c>
      <c r="R9" s="149">
        <v>2434.4409999999984</v>
      </c>
      <c r="S9" s="149">
        <v>2214.4279999999985</v>
      </c>
      <c r="T9" s="149">
        <v>2152.0599999999986</v>
      </c>
      <c r="U9" s="149">
        <v>1939.1229999999985</v>
      </c>
      <c r="V9" s="149">
        <v>1976.9019999999982</v>
      </c>
    </row>
    <row r="10" spans="2:22" s="142" customFormat="1">
      <c r="B10" s="179">
        <f>B9+1</f>
        <v>2</v>
      </c>
      <c r="C10" s="181" t="s">
        <v>326</v>
      </c>
      <c r="D10" s="179" t="s">
        <v>482</v>
      </c>
      <c r="E10" s="149">
        <v>10.804111276523475</v>
      </c>
      <c r="F10" s="149">
        <v>14.285337087482533</v>
      </c>
      <c r="G10" s="149">
        <v>18.923906627893196</v>
      </c>
      <c r="H10" s="149">
        <v>16.875790965580602</v>
      </c>
      <c r="I10" s="149">
        <v>14.914306268571929</v>
      </c>
      <c r="J10" s="149">
        <v>17.263054119477989</v>
      </c>
      <c r="K10" s="149">
        <v>16.387668036364012</v>
      </c>
      <c r="L10" s="149">
        <v>13.519726966009268</v>
      </c>
      <c r="M10" s="149">
        <v>12.322553995271184</v>
      </c>
      <c r="N10" s="149">
        <v>11.830907063785526</v>
      </c>
      <c r="O10" s="149">
        <v>16.748045834049623</v>
      </c>
      <c r="P10" s="149">
        <v>16.110976168800622</v>
      </c>
      <c r="Q10" s="149">
        <v>15.563703355514457</v>
      </c>
      <c r="R10" s="149">
        <v>14.964498333040797</v>
      </c>
      <c r="S10" s="149">
        <v>13.567388932322649</v>
      </c>
      <c r="T10" s="149">
        <v>13.198229052380487</v>
      </c>
      <c r="U10" s="149">
        <v>11.886686816716994</v>
      </c>
      <c r="V10" s="149">
        <v>12.194706561857975</v>
      </c>
    </row>
    <row r="11" spans="2:22" s="142" customFormat="1" ht="15.75">
      <c r="B11" s="144" t="s">
        <v>71</v>
      </c>
      <c r="C11" s="183" t="s">
        <v>328</v>
      </c>
      <c r="D11" s="17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</row>
    <row r="12" spans="2:22" s="142" customFormat="1">
      <c r="B12" s="179">
        <f>B10+1</f>
        <v>3</v>
      </c>
      <c r="C12" s="181" t="s">
        <v>425</v>
      </c>
      <c r="D12" s="179" t="s">
        <v>489</v>
      </c>
      <c r="E12" s="149">
        <v>594.81100000000004</v>
      </c>
      <c r="F12" s="149">
        <v>921.96500000000003</v>
      </c>
      <c r="G12" s="149">
        <v>0</v>
      </c>
      <c r="H12" s="149">
        <v>0</v>
      </c>
      <c r="I12" s="149">
        <v>1033.973</v>
      </c>
      <c r="J12" s="149">
        <v>0</v>
      </c>
      <c r="K12" s="149">
        <v>0</v>
      </c>
      <c r="L12" s="149">
        <v>0</v>
      </c>
      <c r="M12" s="149">
        <v>0</v>
      </c>
      <c r="N12" s="149">
        <v>1089.248</v>
      </c>
      <c r="O12" s="149">
        <v>0</v>
      </c>
      <c r="P12" s="149">
        <v>0</v>
      </c>
      <c r="Q12" s="149">
        <v>0</v>
      </c>
      <c r="R12" s="149">
        <v>0</v>
      </c>
      <c r="S12" s="149">
        <v>98.709000000000003</v>
      </c>
      <c r="T12" s="149">
        <v>0</v>
      </c>
      <c r="U12" s="149">
        <v>504.31299999999999</v>
      </c>
      <c r="V12" s="149">
        <v>372.49099999999999</v>
      </c>
    </row>
    <row r="13" spans="2:22" s="142" customFormat="1" ht="30">
      <c r="B13" s="179">
        <f>B12+1</f>
        <v>4</v>
      </c>
      <c r="C13" s="181" t="s">
        <v>426</v>
      </c>
      <c r="D13" s="179" t="s">
        <v>489</v>
      </c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</row>
    <row r="14" spans="2:22" s="142" customFormat="1" ht="15.75">
      <c r="B14" s="179">
        <f>B13+1</f>
        <v>5</v>
      </c>
      <c r="C14" s="181" t="s">
        <v>427</v>
      </c>
      <c r="D14" s="179" t="s">
        <v>489</v>
      </c>
      <c r="E14" s="180">
        <f>E12+E13</f>
        <v>594.81100000000004</v>
      </c>
      <c r="F14" s="180">
        <f t="shared" ref="F14:V14" si="0">F12+F13</f>
        <v>921.96500000000003</v>
      </c>
      <c r="G14" s="180">
        <f t="shared" si="0"/>
        <v>0</v>
      </c>
      <c r="H14" s="180">
        <f t="shared" si="0"/>
        <v>0</v>
      </c>
      <c r="I14" s="180">
        <f t="shared" si="0"/>
        <v>1033.973</v>
      </c>
      <c r="J14" s="180">
        <f t="shared" si="0"/>
        <v>0</v>
      </c>
      <c r="K14" s="180">
        <f t="shared" si="0"/>
        <v>0</v>
      </c>
      <c r="L14" s="180">
        <f t="shared" si="0"/>
        <v>0</v>
      </c>
      <c r="M14" s="180">
        <f t="shared" si="0"/>
        <v>0</v>
      </c>
      <c r="N14" s="180">
        <f t="shared" si="0"/>
        <v>1089.248</v>
      </c>
      <c r="O14" s="180">
        <f t="shared" si="0"/>
        <v>0</v>
      </c>
      <c r="P14" s="180">
        <f t="shared" si="0"/>
        <v>0</v>
      </c>
      <c r="Q14" s="180">
        <f t="shared" si="0"/>
        <v>0</v>
      </c>
      <c r="R14" s="180">
        <f t="shared" si="0"/>
        <v>0</v>
      </c>
      <c r="S14" s="180">
        <f t="shared" si="0"/>
        <v>98.709000000000003</v>
      </c>
      <c r="T14" s="180">
        <f t="shared" si="0"/>
        <v>0</v>
      </c>
      <c r="U14" s="180">
        <f t="shared" si="0"/>
        <v>504.31299999999999</v>
      </c>
      <c r="V14" s="180">
        <f t="shared" si="0"/>
        <v>372.49099999999999</v>
      </c>
    </row>
    <row r="15" spans="2:22" s="142" customFormat="1">
      <c r="B15" s="179">
        <f>B14+1</f>
        <v>6</v>
      </c>
      <c r="C15" s="181" t="s">
        <v>329</v>
      </c>
      <c r="D15" s="179" t="s">
        <v>489</v>
      </c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</row>
    <row r="16" spans="2:22" s="142" customFormat="1" ht="15.75">
      <c r="B16" s="179">
        <f>B15+1</f>
        <v>7</v>
      </c>
      <c r="C16" s="181" t="s">
        <v>428</v>
      </c>
      <c r="D16" s="179" t="s">
        <v>489</v>
      </c>
      <c r="E16" s="180">
        <f>E14-E15</f>
        <v>594.81100000000004</v>
      </c>
      <c r="F16" s="180">
        <f t="shared" ref="F16:V16" si="1">F14-F15</f>
        <v>921.96500000000003</v>
      </c>
      <c r="G16" s="180">
        <f t="shared" si="1"/>
        <v>0</v>
      </c>
      <c r="H16" s="180">
        <f t="shared" si="1"/>
        <v>0</v>
      </c>
      <c r="I16" s="180">
        <f t="shared" si="1"/>
        <v>1033.973</v>
      </c>
      <c r="J16" s="180">
        <f t="shared" si="1"/>
        <v>0</v>
      </c>
      <c r="K16" s="180">
        <f t="shared" si="1"/>
        <v>0</v>
      </c>
      <c r="L16" s="180">
        <f t="shared" si="1"/>
        <v>0</v>
      </c>
      <c r="M16" s="180">
        <f t="shared" si="1"/>
        <v>0</v>
      </c>
      <c r="N16" s="180">
        <f t="shared" si="1"/>
        <v>1089.248</v>
      </c>
      <c r="O16" s="180">
        <f t="shared" si="1"/>
        <v>0</v>
      </c>
      <c r="P16" s="180">
        <f t="shared" si="1"/>
        <v>0</v>
      </c>
      <c r="Q16" s="180">
        <f t="shared" si="1"/>
        <v>0</v>
      </c>
      <c r="R16" s="180">
        <f t="shared" si="1"/>
        <v>0</v>
      </c>
      <c r="S16" s="180">
        <f t="shared" si="1"/>
        <v>98.709000000000003</v>
      </c>
      <c r="T16" s="180">
        <f t="shared" si="1"/>
        <v>0</v>
      </c>
      <c r="U16" s="180">
        <f t="shared" si="1"/>
        <v>504.31299999999999</v>
      </c>
      <c r="V16" s="180">
        <f t="shared" si="1"/>
        <v>372.49099999999999</v>
      </c>
    </row>
    <row r="17" spans="2:22" s="142" customFormat="1" ht="15.75">
      <c r="B17" s="144" t="s">
        <v>72</v>
      </c>
      <c r="C17" s="183" t="s">
        <v>330</v>
      </c>
      <c r="D17" s="17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</row>
    <row r="18" spans="2:22" s="142" customFormat="1">
      <c r="B18" s="179">
        <f>B16+1</f>
        <v>8</v>
      </c>
      <c r="C18" s="181" t="s">
        <v>429</v>
      </c>
      <c r="D18" s="179" t="s">
        <v>482</v>
      </c>
      <c r="E18" s="148">
        <v>4.749490475</v>
      </c>
      <c r="F18" s="148">
        <v>7.8530597359999996</v>
      </c>
      <c r="G18" s="148">
        <v>0</v>
      </c>
      <c r="H18" s="148">
        <v>0</v>
      </c>
      <c r="I18" s="148">
        <v>6.3465070649999999</v>
      </c>
      <c r="J18" s="148">
        <v>0</v>
      </c>
      <c r="K18" s="148">
        <v>0</v>
      </c>
      <c r="L18" s="148">
        <v>0</v>
      </c>
      <c r="M18" s="148">
        <v>0</v>
      </c>
      <c r="N18" s="148">
        <v>5.9009686639999996</v>
      </c>
      <c r="O18" s="148">
        <v>0</v>
      </c>
      <c r="P18" s="148">
        <v>0</v>
      </c>
      <c r="Q18" s="148">
        <v>0</v>
      </c>
      <c r="R18" s="148">
        <v>0</v>
      </c>
      <c r="S18" s="148">
        <v>0.62555067900000005</v>
      </c>
      <c r="T18" s="148">
        <v>0</v>
      </c>
      <c r="U18" s="148">
        <v>3.181112256</v>
      </c>
      <c r="V18" s="148">
        <v>2.5130613999999998</v>
      </c>
    </row>
    <row r="19" spans="2:22" s="142" customFormat="1" ht="30">
      <c r="B19" s="179">
        <f>B18+1</f>
        <v>9</v>
      </c>
      <c r="C19" s="181" t="s">
        <v>430</v>
      </c>
      <c r="D19" s="179" t="s">
        <v>482</v>
      </c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</row>
    <row r="20" spans="2:22" s="142" customFormat="1" ht="30">
      <c r="B20" s="179">
        <f>B19+1</f>
        <v>10</v>
      </c>
      <c r="C20" s="181" t="s">
        <v>331</v>
      </c>
      <c r="D20" s="179" t="s">
        <v>482</v>
      </c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</row>
    <row r="21" spans="2:22" s="142" customFormat="1" ht="15.75">
      <c r="B21" s="179">
        <f>B20+1</f>
        <v>11</v>
      </c>
      <c r="C21" s="181" t="s">
        <v>332</v>
      </c>
      <c r="D21" s="179" t="s">
        <v>482</v>
      </c>
      <c r="E21" s="182">
        <f>E18+E19+E20</f>
        <v>4.749490475</v>
      </c>
      <c r="F21" s="182">
        <f t="shared" ref="F21:V21" si="2">F18+F19+F20</f>
        <v>7.8530597359999996</v>
      </c>
      <c r="G21" s="182">
        <f t="shared" si="2"/>
        <v>0</v>
      </c>
      <c r="H21" s="182">
        <f t="shared" si="2"/>
        <v>0</v>
      </c>
      <c r="I21" s="182">
        <f t="shared" si="2"/>
        <v>6.3465070649999999</v>
      </c>
      <c r="J21" s="182">
        <f t="shared" si="2"/>
        <v>0</v>
      </c>
      <c r="K21" s="182">
        <f t="shared" si="2"/>
        <v>0</v>
      </c>
      <c r="L21" s="182">
        <f t="shared" si="2"/>
        <v>0</v>
      </c>
      <c r="M21" s="182">
        <f t="shared" si="2"/>
        <v>0</v>
      </c>
      <c r="N21" s="182">
        <f t="shared" si="2"/>
        <v>5.9009686639999996</v>
      </c>
      <c r="O21" s="182">
        <f t="shared" si="2"/>
        <v>0</v>
      </c>
      <c r="P21" s="182">
        <f t="shared" si="2"/>
        <v>0</v>
      </c>
      <c r="Q21" s="182">
        <f t="shared" si="2"/>
        <v>0</v>
      </c>
      <c r="R21" s="182">
        <f t="shared" si="2"/>
        <v>0</v>
      </c>
      <c r="S21" s="182">
        <f t="shared" si="2"/>
        <v>0.62555067900000005</v>
      </c>
      <c r="T21" s="182">
        <f t="shared" si="2"/>
        <v>0</v>
      </c>
      <c r="U21" s="182">
        <f t="shared" si="2"/>
        <v>3.181112256</v>
      </c>
      <c r="V21" s="182">
        <f t="shared" si="2"/>
        <v>2.5130613999999998</v>
      </c>
    </row>
    <row r="22" spans="2:22" s="142" customFormat="1" ht="15.75">
      <c r="B22" s="144" t="s">
        <v>333</v>
      </c>
      <c r="C22" s="183" t="s">
        <v>334</v>
      </c>
      <c r="D22" s="17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</row>
    <row r="23" spans="2:22" s="142" customFormat="1">
      <c r="B23" s="179">
        <f>B21+1</f>
        <v>12</v>
      </c>
      <c r="C23" s="181" t="s">
        <v>335</v>
      </c>
      <c r="D23" s="17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</row>
    <row r="24" spans="2:22" s="142" customFormat="1">
      <c r="B24" s="179"/>
      <c r="C24" s="181" t="s">
        <v>336</v>
      </c>
      <c r="D24" s="179" t="s">
        <v>482</v>
      </c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</row>
    <row r="25" spans="2:22" s="142" customFormat="1">
      <c r="B25" s="179"/>
      <c r="C25" s="181" t="s">
        <v>337</v>
      </c>
      <c r="D25" s="179" t="s">
        <v>482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</row>
    <row r="26" spans="2:22" s="142" customFormat="1">
      <c r="B26" s="179"/>
      <c r="C26" s="181" t="s">
        <v>338</v>
      </c>
      <c r="D26" s="179" t="s">
        <v>482</v>
      </c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</row>
    <row r="27" spans="2:22" s="142" customFormat="1">
      <c r="B27" s="179"/>
      <c r="C27" s="181" t="s">
        <v>9</v>
      </c>
      <c r="D27" s="179" t="s">
        <v>482</v>
      </c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</row>
    <row r="28" spans="2:22" s="142" customFormat="1" ht="30">
      <c r="B28" s="179">
        <f>B23+1</f>
        <v>13</v>
      </c>
      <c r="C28" s="181" t="s">
        <v>431</v>
      </c>
      <c r="D28" s="179" t="s">
        <v>482</v>
      </c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</row>
    <row r="29" spans="2:22" s="142" customFormat="1">
      <c r="B29" s="179">
        <f>B28+1</f>
        <v>14</v>
      </c>
      <c r="C29" s="181" t="s">
        <v>339</v>
      </c>
      <c r="D29" s="179" t="s">
        <v>482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</row>
    <row r="30" spans="2:22" s="142" customFormat="1" ht="45">
      <c r="B30" s="179">
        <f>B29+1</f>
        <v>15</v>
      </c>
      <c r="C30" s="181" t="s">
        <v>432</v>
      </c>
      <c r="D30" s="179" t="s">
        <v>482</v>
      </c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</row>
    <row r="31" spans="2:22" s="142" customFormat="1" ht="15.75">
      <c r="B31" s="179">
        <f>B30+1</f>
        <v>16</v>
      </c>
      <c r="C31" s="181" t="s">
        <v>340</v>
      </c>
      <c r="D31" s="179" t="s">
        <v>482</v>
      </c>
      <c r="E31" s="180">
        <f>SUM(E24:E30)</f>
        <v>0</v>
      </c>
      <c r="F31" s="180">
        <f t="shared" ref="F31:V31" si="3">SUM(F24:F30)</f>
        <v>0</v>
      </c>
      <c r="G31" s="180">
        <f t="shared" si="3"/>
        <v>0</v>
      </c>
      <c r="H31" s="180">
        <f t="shared" si="3"/>
        <v>0</v>
      </c>
      <c r="I31" s="180">
        <f t="shared" si="3"/>
        <v>0</v>
      </c>
      <c r="J31" s="180">
        <f t="shared" si="3"/>
        <v>0</v>
      </c>
      <c r="K31" s="180">
        <f t="shared" si="3"/>
        <v>0</v>
      </c>
      <c r="L31" s="180">
        <f t="shared" si="3"/>
        <v>0</v>
      </c>
      <c r="M31" s="180">
        <f t="shared" si="3"/>
        <v>0</v>
      </c>
      <c r="N31" s="180">
        <f t="shared" si="3"/>
        <v>0</v>
      </c>
      <c r="O31" s="180">
        <f t="shared" si="3"/>
        <v>0</v>
      </c>
      <c r="P31" s="180">
        <f t="shared" si="3"/>
        <v>0</v>
      </c>
      <c r="Q31" s="180">
        <f t="shared" si="3"/>
        <v>0</v>
      </c>
      <c r="R31" s="180">
        <f t="shared" si="3"/>
        <v>0</v>
      </c>
      <c r="S31" s="180">
        <f t="shared" si="3"/>
        <v>0</v>
      </c>
      <c r="T31" s="180">
        <f t="shared" si="3"/>
        <v>0</v>
      </c>
      <c r="U31" s="180">
        <f t="shared" si="3"/>
        <v>0</v>
      </c>
      <c r="V31" s="180">
        <f t="shared" si="3"/>
        <v>0</v>
      </c>
    </row>
    <row r="32" spans="2:22" s="142" customFormat="1" ht="30">
      <c r="B32" s="179">
        <f>B31+1</f>
        <v>17</v>
      </c>
      <c r="C32" s="181" t="s">
        <v>433</v>
      </c>
      <c r="D32" s="179" t="s">
        <v>482</v>
      </c>
      <c r="E32" s="182">
        <f>E21+E31</f>
        <v>4.749490475</v>
      </c>
      <c r="F32" s="182">
        <f t="shared" ref="F32:V32" si="4">F21+F31</f>
        <v>7.8530597359999996</v>
      </c>
      <c r="G32" s="182">
        <f t="shared" si="4"/>
        <v>0</v>
      </c>
      <c r="H32" s="182">
        <f t="shared" si="4"/>
        <v>0</v>
      </c>
      <c r="I32" s="182">
        <f t="shared" si="4"/>
        <v>6.3465070649999999</v>
      </c>
      <c r="J32" s="182">
        <f t="shared" si="4"/>
        <v>0</v>
      </c>
      <c r="K32" s="182">
        <f t="shared" si="4"/>
        <v>0</v>
      </c>
      <c r="L32" s="182">
        <f t="shared" si="4"/>
        <v>0</v>
      </c>
      <c r="M32" s="182">
        <f t="shared" si="4"/>
        <v>0</v>
      </c>
      <c r="N32" s="182">
        <f t="shared" si="4"/>
        <v>5.9009686639999996</v>
      </c>
      <c r="O32" s="182">
        <f t="shared" si="4"/>
        <v>0</v>
      </c>
      <c r="P32" s="182">
        <f t="shared" si="4"/>
        <v>0</v>
      </c>
      <c r="Q32" s="182">
        <f t="shared" si="4"/>
        <v>0</v>
      </c>
      <c r="R32" s="182">
        <f t="shared" si="4"/>
        <v>0</v>
      </c>
      <c r="S32" s="182">
        <f t="shared" si="4"/>
        <v>0.62555067900000005</v>
      </c>
      <c r="T32" s="182">
        <f t="shared" si="4"/>
        <v>0</v>
      </c>
      <c r="U32" s="182">
        <f t="shared" si="4"/>
        <v>3.181112256</v>
      </c>
      <c r="V32" s="182">
        <f t="shared" si="4"/>
        <v>2.5130613999999998</v>
      </c>
    </row>
    <row r="33" spans="2:22" s="142" customFormat="1" ht="15.75">
      <c r="B33" s="144" t="s">
        <v>341</v>
      </c>
      <c r="C33" s="183" t="s">
        <v>200</v>
      </c>
      <c r="D33" s="17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  <c r="U33" s="149"/>
      <c r="V33" s="149"/>
    </row>
    <row r="34" spans="2:22" s="142" customFormat="1" ht="15.75">
      <c r="B34" s="179">
        <f>B32+1</f>
        <v>18</v>
      </c>
      <c r="C34" s="181" t="s">
        <v>434</v>
      </c>
      <c r="D34" s="179" t="s">
        <v>490</v>
      </c>
      <c r="E34" s="180">
        <f t="shared" ref="E34:V34" si="5">IFERROR((E10+E32)/(E9+E16),0)*10000000</f>
        <v>61077.078511711625</v>
      </c>
      <c r="F34" s="180">
        <f t="shared" si="5"/>
        <v>67891.282739775823</v>
      </c>
      <c r="G34" s="180">
        <f t="shared" si="5"/>
        <v>67973.314228680843</v>
      </c>
      <c r="H34" s="180">
        <f t="shared" si="5"/>
        <v>68017.896092794268</v>
      </c>
      <c r="I34" s="180">
        <f t="shared" si="5"/>
        <v>65970.803710147709</v>
      </c>
      <c r="J34" s="180">
        <f t="shared" si="5"/>
        <v>66049.171985099849</v>
      </c>
      <c r="K34" s="180">
        <f t="shared" si="5"/>
        <v>66113.989784011777</v>
      </c>
      <c r="L34" s="180">
        <f t="shared" si="5"/>
        <v>66125.7175348171</v>
      </c>
      <c r="M34" s="180">
        <f t="shared" si="5"/>
        <v>66083.659993195615</v>
      </c>
      <c r="N34" s="180">
        <f t="shared" si="5"/>
        <v>61571.492906608517</v>
      </c>
      <c r="O34" s="180">
        <f t="shared" si="5"/>
        <v>61523.303096028816</v>
      </c>
      <c r="P34" s="180">
        <f t="shared" si="5"/>
        <v>61483.56919230381</v>
      </c>
      <c r="Q34" s="180">
        <f t="shared" si="5"/>
        <v>61516.954463441572</v>
      </c>
      <c r="R34" s="180">
        <f t="shared" si="5"/>
        <v>61469.956893762501</v>
      </c>
      <c r="S34" s="180">
        <f t="shared" si="5"/>
        <v>61357.972361008702</v>
      </c>
      <c r="T34" s="180">
        <f t="shared" si="5"/>
        <v>61328.350754070503</v>
      </c>
      <c r="U34" s="180">
        <f t="shared" si="5"/>
        <v>61666.436414610427</v>
      </c>
      <c r="V34" s="180">
        <f t="shared" si="5"/>
        <v>62602.416717245629</v>
      </c>
    </row>
    <row r="35" spans="2:22" s="142" customFormat="1">
      <c r="B35" s="179">
        <f>B34+1</f>
        <v>19</v>
      </c>
      <c r="C35" s="181" t="s">
        <v>343</v>
      </c>
      <c r="D35" s="17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</row>
    <row r="36" spans="2:22" s="142" customFormat="1" ht="30">
      <c r="B36" s="179">
        <f>B35+1</f>
        <v>20</v>
      </c>
      <c r="C36" s="181" t="s">
        <v>435</v>
      </c>
      <c r="D36" s="179" t="s">
        <v>490</v>
      </c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</row>
    <row r="37" spans="2:22" s="142" customFormat="1" ht="15.75">
      <c r="B37" s="144" t="s">
        <v>344</v>
      </c>
      <c r="C37" s="183" t="s">
        <v>345</v>
      </c>
      <c r="D37" s="17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</row>
    <row r="38" spans="2:22" s="142" customFormat="1" ht="45">
      <c r="B38" s="179">
        <f>B36+1</f>
        <v>21</v>
      </c>
      <c r="C38" s="181" t="s">
        <v>436</v>
      </c>
      <c r="D38" s="179" t="s">
        <v>346</v>
      </c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</row>
    <row r="39" spans="2:22" s="142" customFormat="1" ht="30">
      <c r="B39" s="179">
        <f>B38+1</f>
        <v>22</v>
      </c>
      <c r="C39" s="181" t="s">
        <v>437</v>
      </c>
      <c r="D39" s="179" t="s">
        <v>346</v>
      </c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  <c r="V39" s="149"/>
    </row>
    <row r="40" spans="2:22" s="142" customFormat="1" ht="45">
      <c r="B40" s="179">
        <f t="shared" ref="B40:B47" si="6">B39+1</f>
        <v>23</v>
      </c>
      <c r="C40" s="181" t="s">
        <v>438</v>
      </c>
      <c r="D40" s="179" t="s">
        <v>346</v>
      </c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</row>
    <row r="41" spans="2:22" s="142" customFormat="1" ht="30">
      <c r="B41" s="179">
        <f t="shared" si="6"/>
        <v>24</v>
      </c>
      <c r="C41" s="181" t="s">
        <v>439</v>
      </c>
      <c r="D41" s="179" t="s">
        <v>346</v>
      </c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  <c r="U41" s="149"/>
      <c r="V41" s="149"/>
    </row>
    <row r="42" spans="2:22" s="142" customFormat="1">
      <c r="B42" s="179">
        <f t="shared" si="6"/>
        <v>25</v>
      </c>
      <c r="C42" s="181" t="s">
        <v>440</v>
      </c>
      <c r="D42" s="179" t="s">
        <v>346</v>
      </c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</row>
    <row r="43" spans="2:22" s="142" customFormat="1" ht="45">
      <c r="B43" s="179">
        <f t="shared" si="6"/>
        <v>26</v>
      </c>
      <c r="C43" s="181" t="s">
        <v>441</v>
      </c>
      <c r="D43" s="179" t="s">
        <v>346</v>
      </c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</row>
    <row r="44" spans="2:22" s="142" customFormat="1" ht="30">
      <c r="B44" s="179">
        <f t="shared" si="6"/>
        <v>27</v>
      </c>
      <c r="C44" s="181" t="s">
        <v>442</v>
      </c>
      <c r="D44" s="179" t="s">
        <v>346</v>
      </c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2:22" s="142" customFormat="1" ht="45">
      <c r="B45" s="179">
        <f t="shared" si="6"/>
        <v>28</v>
      </c>
      <c r="C45" s="181" t="s">
        <v>443</v>
      </c>
      <c r="D45" s="179" t="s">
        <v>346</v>
      </c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  <c r="U45" s="149"/>
      <c r="V45" s="149"/>
    </row>
    <row r="46" spans="2:22" s="142" customFormat="1" ht="30">
      <c r="B46" s="179">
        <f t="shared" si="6"/>
        <v>29</v>
      </c>
      <c r="C46" s="181" t="s">
        <v>444</v>
      </c>
      <c r="D46" s="179" t="s">
        <v>346</v>
      </c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  <c r="U46" s="149"/>
      <c r="V46" s="149"/>
    </row>
    <row r="47" spans="2:22" s="142" customFormat="1">
      <c r="B47" s="179">
        <f t="shared" si="6"/>
        <v>30</v>
      </c>
      <c r="C47" s="181" t="s">
        <v>445</v>
      </c>
      <c r="D47" s="179" t="s">
        <v>346</v>
      </c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</row>
    <row r="49" spans="2:4" s="142" customFormat="1" ht="15.75">
      <c r="B49" s="185" t="s">
        <v>271</v>
      </c>
      <c r="D49" s="178"/>
    </row>
    <row r="50" spans="2:4" s="142" customFormat="1">
      <c r="B50" s="178">
        <v>1</v>
      </c>
      <c r="C50" s="142" t="s">
        <v>347</v>
      </c>
      <c r="D50" s="178"/>
    </row>
    <row r="51" spans="2:4" s="142" customFormat="1">
      <c r="B51" s="178">
        <f>B50+1</f>
        <v>2</v>
      </c>
      <c r="C51" s="142" t="s">
        <v>348</v>
      </c>
      <c r="D51" s="178"/>
    </row>
    <row r="52" spans="2:4" s="142" customFormat="1">
      <c r="B52" s="178">
        <f>B51+1</f>
        <v>3</v>
      </c>
      <c r="C52" s="142" t="s">
        <v>349</v>
      </c>
      <c r="D52" s="178"/>
    </row>
    <row r="53" spans="2:4" s="142" customFormat="1">
      <c r="B53" s="178">
        <f>B52+1</f>
        <v>4</v>
      </c>
      <c r="C53" s="142" t="s">
        <v>350</v>
      </c>
      <c r="D53" s="178"/>
    </row>
  </sheetData>
  <mergeCells count="8">
    <mergeCell ref="B2:V2"/>
    <mergeCell ref="B3:V3"/>
    <mergeCell ref="B4:V4"/>
    <mergeCell ref="E6:P6"/>
    <mergeCell ref="Q6:V6"/>
    <mergeCell ref="B6:B7"/>
    <mergeCell ref="C6:C7"/>
    <mergeCell ref="D6:D7"/>
  </mergeCells>
  <phoneticPr fontId="13" type="noConversion"/>
  <pageMargins left="0" right="0" top="0" bottom="0" header="0.05" footer="0.05"/>
  <pageSetup paperSize="9" scale="5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N27"/>
  <sheetViews>
    <sheetView showGridLines="0" topLeftCell="A10" zoomScale="80" zoomScaleNormal="80" workbookViewId="0">
      <selection activeCell="F22" sqref="F22"/>
    </sheetView>
  </sheetViews>
  <sheetFormatPr defaultColWidth="9.28515625" defaultRowHeight="15"/>
  <cols>
    <col min="1" max="1" width="2.42578125" style="142" customWidth="1"/>
    <col min="2" max="2" width="25.140625" style="218" customWidth="1"/>
    <col min="3" max="3" width="9.5703125" style="142" customWidth="1"/>
    <col min="4" max="4" width="10" style="142" customWidth="1"/>
    <col min="5" max="8" width="9.28515625" style="142" customWidth="1"/>
    <col min="9" max="9" width="10.140625" style="142" customWidth="1"/>
    <col min="10" max="14" width="9.28515625" style="142" customWidth="1"/>
    <col min="15" max="16384" width="9.28515625" style="142"/>
  </cols>
  <sheetData>
    <row r="1" spans="2:14" ht="15.75">
      <c r="B1" s="353" t="s">
        <v>510</v>
      </c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</row>
    <row r="2" spans="2:14" ht="15.75">
      <c r="B2" s="353" t="s">
        <v>497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</row>
    <row r="3" spans="2:14" ht="15" customHeight="1">
      <c r="B3" s="353" t="s">
        <v>563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</row>
    <row r="5" spans="2:14" ht="47.25" customHeight="1">
      <c r="B5" s="403" t="s">
        <v>18</v>
      </c>
      <c r="C5" s="402" t="s">
        <v>226</v>
      </c>
      <c r="D5" s="402" t="s">
        <v>39</v>
      </c>
      <c r="E5" s="399" t="s">
        <v>493</v>
      </c>
      <c r="F5" s="400"/>
      <c r="G5" s="401"/>
      <c r="H5" s="399" t="s">
        <v>494</v>
      </c>
      <c r="I5" s="401"/>
      <c r="J5" s="397" t="s">
        <v>251</v>
      </c>
      <c r="K5" s="397"/>
      <c r="L5" s="397"/>
      <c r="M5" s="397"/>
      <c r="N5" s="397"/>
    </row>
    <row r="6" spans="2:14" ht="63">
      <c r="B6" s="403"/>
      <c r="C6" s="402"/>
      <c r="D6" s="402"/>
      <c r="E6" s="130" t="s">
        <v>381</v>
      </c>
      <c r="F6" s="130" t="s">
        <v>269</v>
      </c>
      <c r="G6" s="130" t="s">
        <v>225</v>
      </c>
      <c r="H6" s="130" t="s">
        <v>417</v>
      </c>
      <c r="I6" s="130" t="s">
        <v>268</v>
      </c>
      <c r="J6" s="130" t="s">
        <v>475</v>
      </c>
      <c r="K6" s="130" t="s">
        <v>476</v>
      </c>
      <c r="L6" s="130" t="s">
        <v>477</v>
      </c>
      <c r="M6" s="130" t="s">
        <v>478</v>
      </c>
      <c r="N6" s="130" t="s">
        <v>479</v>
      </c>
    </row>
    <row r="7" spans="2:14" ht="31.5">
      <c r="B7" s="403"/>
      <c r="C7" s="402"/>
      <c r="D7" s="402"/>
      <c r="E7" s="130" t="s">
        <v>10</v>
      </c>
      <c r="F7" s="130" t="s">
        <v>12</v>
      </c>
      <c r="G7" s="130" t="s">
        <v>258</v>
      </c>
      <c r="H7" s="130" t="s">
        <v>10</v>
      </c>
      <c r="I7" s="130" t="s">
        <v>3</v>
      </c>
      <c r="J7" s="130" t="s">
        <v>8</v>
      </c>
      <c r="K7" s="130" t="s">
        <v>8</v>
      </c>
      <c r="L7" s="130" t="s">
        <v>8</v>
      </c>
      <c r="M7" s="130" t="s">
        <v>8</v>
      </c>
      <c r="N7" s="130" t="s">
        <v>8</v>
      </c>
    </row>
    <row r="8" spans="2:14">
      <c r="B8" s="219" t="s">
        <v>183</v>
      </c>
      <c r="C8" s="146" t="s">
        <v>359</v>
      </c>
      <c r="D8" s="146" t="s">
        <v>42</v>
      </c>
      <c r="E8" s="195">
        <v>9</v>
      </c>
      <c r="F8" s="194">
        <v>10.65</v>
      </c>
      <c r="G8" s="202">
        <f>F8</f>
        <v>10.65</v>
      </c>
      <c r="H8" s="148">
        <v>9</v>
      </c>
      <c r="I8" s="194">
        <v>11.082382130011194</v>
      </c>
      <c r="J8" s="149">
        <v>9.3000000000000007</v>
      </c>
      <c r="K8" s="149">
        <v>9.3000000000000007</v>
      </c>
      <c r="L8" s="149">
        <v>9.3000000000000007</v>
      </c>
      <c r="M8" s="149">
        <v>9.3000000000000007</v>
      </c>
      <c r="N8" s="149">
        <v>9.3000000000000007</v>
      </c>
    </row>
    <row r="9" spans="2:14" ht="39" customHeight="1">
      <c r="B9" s="220" t="s">
        <v>224</v>
      </c>
      <c r="C9" s="150" t="s">
        <v>369</v>
      </c>
      <c r="D9" s="150" t="s">
        <v>49</v>
      </c>
      <c r="E9" s="197">
        <v>2500</v>
      </c>
      <c r="F9" s="203">
        <v>2307.3379000599107</v>
      </c>
      <c r="G9" s="195">
        <f t="shared" ref="G9:G14" si="0">F9</f>
        <v>2307.3379000599107</v>
      </c>
      <c r="H9" s="147">
        <v>2500</v>
      </c>
      <c r="I9" s="195">
        <f>'F10'!I34</f>
        <v>2346.13</v>
      </c>
      <c r="J9" s="149">
        <v>2500</v>
      </c>
      <c r="K9" s="149">
        <v>2500</v>
      </c>
      <c r="L9" s="149">
        <v>2500</v>
      </c>
      <c r="M9" s="149">
        <v>2500</v>
      </c>
      <c r="N9" s="149">
        <v>2500</v>
      </c>
    </row>
    <row r="10" spans="2:14" ht="30">
      <c r="B10" s="219" t="s">
        <v>353</v>
      </c>
      <c r="C10" s="146" t="s">
        <v>360</v>
      </c>
      <c r="D10" s="146" t="s">
        <v>51</v>
      </c>
      <c r="E10" s="197">
        <v>2</v>
      </c>
      <c r="F10" s="204">
        <v>0.52359705943296797</v>
      </c>
      <c r="G10" s="202">
        <f t="shared" si="0"/>
        <v>0.52359705943296797</v>
      </c>
      <c r="H10" s="148">
        <v>2</v>
      </c>
      <c r="I10" s="196">
        <f>'F10'!I38</f>
        <v>0.39406107387591499</v>
      </c>
      <c r="J10" s="149">
        <v>0.5</v>
      </c>
      <c r="K10" s="149">
        <v>0.5</v>
      </c>
      <c r="L10" s="149">
        <v>0.5</v>
      </c>
      <c r="M10" s="149">
        <v>0.5</v>
      </c>
      <c r="N10" s="149">
        <v>0.5</v>
      </c>
    </row>
    <row r="11" spans="2:14" ht="30">
      <c r="B11" s="219" t="s">
        <v>354</v>
      </c>
      <c r="C11" s="146" t="s">
        <v>361</v>
      </c>
      <c r="D11" s="146" t="s">
        <v>362</v>
      </c>
      <c r="E11" s="197">
        <v>9819</v>
      </c>
      <c r="F11" s="197">
        <v>9819</v>
      </c>
      <c r="G11" s="195">
        <f t="shared" si="0"/>
        <v>9819</v>
      </c>
      <c r="H11" s="147">
        <v>9819</v>
      </c>
      <c r="I11" s="197">
        <v>9819</v>
      </c>
      <c r="J11" s="149">
        <v>9819</v>
      </c>
      <c r="K11" s="149">
        <v>9819</v>
      </c>
      <c r="L11" s="149">
        <v>9819</v>
      </c>
      <c r="M11" s="149">
        <v>9819</v>
      </c>
      <c r="N11" s="149">
        <v>9819</v>
      </c>
    </row>
    <row r="12" spans="2:14" ht="30">
      <c r="B12" s="219" t="s">
        <v>355</v>
      </c>
      <c r="C12" s="146" t="s">
        <v>363</v>
      </c>
      <c r="D12" s="146" t="s">
        <v>364</v>
      </c>
      <c r="E12" s="202">
        <v>6.5600000000000006E-2</v>
      </c>
      <c r="F12" s="202">
        <v>6.5571327967200804E-2</v>
      </c>
      <c r="G12" s="202">
        <f t="shared" si="0"/>
        <v>6.5571327967200804E-2</v>
      </c>
      <c r="H12" s="148">
        <v>6.2502989719752697E-2</v>
      </c>
      <c r="I12" s="198">
        <f>62502.9897197527/1000000</f>
        <v>6.2502989719752697E-2</v>
      </c>
      <c r="J12" s="148">
        <v>6.23201222500274E-2</v>
      </c>
      <c r="K12" s="148">
        <f>J12*1.02</f>
        <v>6.3566524695027951E-2</v>
      </c>
      <c r="L12" s="148">
        <f>K12*1.02</f>
        <v>6.4837855188928512E-2</v>
      </c>
      <c r="M12" s="148">
        <f>L12*1.02</f>
        <v>6.6134612292707076E-2</v>
      </c>
      <c r="N12" s="148">
        <f>M12*1.02</f>
        <v>6.7457304538561219E-2</v>
      </c>
    </row>
    <row r="13" spans="2:14" ht="30">
      <c r="B13" s="219" t="s">
        <v>370</v>
      </c>
      <c r="C13" s="146" t="s">
        <v>365</v>
      </c>
      <c r="D13" s="146" t="s">
        <v>346</v>
      </c>
      <c r="E13" s="195">
        <v>2888.1582189289134</v>
      </c>
      <c r="F13" s="195">
        <v>2888.1582189289134</v>
      </c>
      <c r="G13" s="195">
        <f t="shared" si="0"/>
        <v>2888.1582189289134</v>
      </c>
      <c r="H13" s="147">
        <v>2907.3668046824541</v>
      </c>
      <c r="I13" s="198">
        <v>2907.3668046824541</v>
      </c>
      <c r="J13" s="147">
        <v>3004.7265982659387</v>
      </c>
      <c r="K13" s="147">
        <v>3004.7265982659387</v>
      </c>
      <c r="L13" s="147">
        <v>3004.7265982659387</v>
      </c>
      <c r="M13" s="147">
        <v>3004.7265982659387</v>
      </c>
      <c r="N13" s="147">
        <v>3004.7265982659387</v>
      </c>
    </row>
    <row r="14" spans="2:14">
      <c r="B14" s="219" t="s">
        <v>356</v>
      </c>
      <c r="C14" s="146" t="s">
        <v>366</v>
      </c>
      <c r="D14" s="146" t="s">
        <v>367</v>
      </c>
      <c r="E14" s="202">
        <v>3.6958945508294692</v>
      </c>
      <c r="F14" s="202">
        <v>3.6958945508294692</v>
      </c>
      <c r="G14" s="202">
        <f t="shared" si="0"/>
        <v>3.6958945508294692</v>
      </c>
      <c r="H14" s="148">
        <v>4.2890203378213672</v>
      </c>
      <c r="I14" s="198">
        <f>4289.02033782137/1000</f>
        <v>4.2890203378213698</v>
      </c>
      <c r="J14" s="148">
        <v>4.5429655317739535</v>
      </c>
      <c r="K14" s="148">
        <f>J14*1.02</f>
        <v>4.6338248424094326</v>
      </c>
      <c r="L14" s="148">
        <f>K14*1.02</f>
        <v>4.7265013392576209</v>
      </c>
      <c r="M14" s="148">
        <f>L14*1.02</f>
        <v>4.8210313660427735</v>
      </c>
      <c r="N14" s="148">
        <f>M14*1.02</f>
        <v>4.9174519933636294</v>
      </c>
    </row>
    <row r="15" spans="2:14" ht="30">
      <c r="B15" s="219" t="s">
        <v>357</v>
      </c>
      <c r="C15" s="146"/>
      <c r="D15" s="146" t="s">
        <v>368</v>
      </c>
      <c r="E15" s="202">
        <f t="shared" ref="E15:J15" si="1">(E9-(E10*E11/1000))/E13</f>
        <v>0.85880405849782482</v>
      </c>
      <c r="F15" s="202">
        <f t="shared" si="1"/>
        <v>0.79711585239506677</v>
      </c>
      <c r="G15" s="202">
        <f t="shared" si="1"/>
        <v>0.79711585239506677</v>
      </c>
      <c r="H15" s="202">
        <f t="shared" si="1"/>
        <v>0.85313005431762434</v>
      </c>
      <c r="I15" s="202">
        <f t="shared" si="1"/>
        <v>0.80562958569358667</v>
      </c>
      <c r="J15" s="202">
        <f t="shared" si="1"/>
        <v>0.83038852900624782</v>
      </c>
      <c r="K15" s="148">
        <f t="shared" ref="K15:N15" si="2">(K9-(K10*K11/1000))/K13</f>
        <v>0.83038852900624782</v>
      </c>
      <c r="L15" s="148">
        <f t="shared" si="2"/>
        <v>0.83038852900624782</v>
      </c>
      <c r="M15" s="148">
        <f t="shared" si="2"/>
        <v>0.83038852900624782</v>
      </c>
      <c r="N15" s="148">
        <f t="shared" si="2"/>
        <v>0.83038852900624782</v>
      </c>
    </row>
    <row r="16" spans="2:14">
      <c r="B16" s="219" t="s">
        <v>500</v>
      </c>
      <c r="C16" s="146"/>
      <c r="D16" s="146" t="s">
        <v>499</v>
      </c>
      <c r="E16" s="196">
        <f>IFERROR(((E9-E10*E11/1000)*E14/E13)*100/(100-E8),0)</f>
        <v>3.4879661978377405</v>
      </c>
      <c r="F16" s="196">
        <f t="shared" ref="F16:I16" si="3">IFERROR(((F9-F10*F11/1000)*F14/F13)*100/(100-F8),0)</f>
        <v>3.2972088810819415</v>
      </c>
      <c r="G16" s="196">
        <f t="shared" si="3"/>
        <v>3.2972088810819415</v>
      </c>
      <c r="H16" s="151">
        <f>IFERROR(((H9-H10*H11/1000)*H14/H13)*100/(100-H8),0)</f>
        <v>4.0209803887636681</v>
      </c>
      <c r="I16" s="196">
        <f t="shared" si="3"/>
        <v>3.8860259199056211</v>
      </c>
      <c r="J16" s="151">
        <f>IFERROR(((J9-J10*J11/1000)*J14/J13)*100/(100-J8),0)</f>
        <v>4.1592353530935613</v>
      </c>
      <c r="K16" s="151">
        <f>IFERROR(((K9-K10*K11/1000)*K14/K13)*100/(100-K8),0)</f>
        <v>4.2424200601554318</v>
      </c>
      <c r="L16" s="151">
        <f>IFERROR(((L9-L10*L11/1000)*L14/L13)*100/(100-L8),0)</f>
        <v>4.3272684613585399</v>
      </c>
      <c r="M16" s="151">
        <f>IFERROR(((M9-M10*M11/1000)*M14/M13)*100/(100-M8),0)</f>
        <v>4.4138138305857106</v>
      </c>
      <c r="N16" s="151">
        <f>IFERROR(((N9-N10*N11/1000)*N14/N13)*100/(100-N8),0)</f>
        <v>4.502090107197426</v>
      </c>
    </row>
    <row r="17" spans="2:14">
      <c r="B17" s="219" t="s">
        <v>498</v>
      </c>
      <c r="C17" s="146"/>
      <c r="D17" s="146" t="s">
        <v>499</v>
      </c>
      <c r="E17" s="196">
        <f>(E10*E12)/(100-E8)*100</f>
        <v>0.1441758241758242</v>
      </c>
      <c r="F17" s="196">
        <f t="shared" ref="F17:N17" si="4">(F10*F12)/(100-F8)*100</f>
        <v>3.8425242872681668E-2</v>
      </c>
      <c r="G17" s="196">
        <f t="shared" si="4"/>
        <v>3.8425242872681668E-2</v>
      </c>
      <c r="H17" s="151">
        <f t="shared" si="4"/>
        <v>0.13736920817528064</v>
      </c>
      <c r="I17" s="196">
        <f t="shared" si="4"/>
        <v>2.7699792054071731E-2</v>
      </c>
      <c r="J17" s="151">
        <f t="shared" si="4"/>
        <v>3.435508393055535E-2</v>
      </c>
      <c r="K17" s="151">
        <f t="shared" si="4"/>
        <v>3.504218560916645E-2</v>
      </c>
      <c r="L17" s="151">
        <f t="shared" si="4"/>
        <v>3.5743029321349783E-2</v>
      </c>
      <c r="M17" s="151">
        <f t="shared" si="4"/>
        <v>3.6457889907776778E-2</v>
      </c>
      <c r="N17" s="151">
        <f t="shared" si="4"/>
        <v>3.7187047705932313E-2</v>
      </c>
    </row>
    <row r="18" spans="2:14" ht="15.75">
      <c r="B18" s="221" t="s">
        <v>358</v>
      </c>
      <c r="C18" s="146"/>
      <c r="D18" s="152" t="s">
        <v>220</v>
      </c>
      <c r="E18" s="199">
        <f t="shared" ref="E18:N18" si="5">IFERROR(((E9-E10*E11/1000)*E14/E13+E10*E12)*100/(100-E8),0)</f>
        <v>3.6321420220135647</v>
      </c>
      <c r="F18" s="199">
        <f t="shared" si="5"/>
        <v>3.3356341239546232</v>
      </c>
      <c r="G18" s="199">
        <f t="shared" si="5"/>
        <v>3.3356341239546232</v>
      </c>
      <c r="H18" s="153">
        <f t="shared" si="5"/>
        <v>4.1583495969389492</v>
      </c>
      <c r="I18" s="199">
        <f t="shared" si="5"/>
        <v>3.9137257119596929</v>
      </c>
      <c r="J18" s="153">
        <f t="shared" si="5"/>
        <v>4.1935904370241168</v>
      </c>
      <c r="K18" s="153">
        <f t="shared" si="5"/>
        <v>4.2774622457645979</v>
      </c>
      <c r="L18" s="153">
        <f t="shared" si="5"/>
        <v>4.3630114906798898</v>
      </c>
      <c r="M18" s="153">
        <f t="shared" si="5"/>
        <v>4.4502717204934878</v>
      </c>
      <c r="N18" s="153">
        <f t="shared" si="5"/>
        <v>4.5392771549033579</v>
      </c>
    </row>
    <row r="19" spans="2:14" ht="44.25" customHeight="1">
      <c r="B19" s="404" t="s">
        <v>565</v>
      </c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6"/>
    </row>
    <row r="20" spans="2:14">
      <c r="E20" s="200"/>
    </row>
    <row r="21" spans="2:14">
      <c r="E21" s="283"/>
      <c r="F21" s="285"/>
      <c r="J21" s="188"/>
      <c r="K21" s="188"/>
      <c r="L21" s="188"/>
      <c r="M21" s="188"/>
      <c r="N21" s="188"/>
    </row>
    <row r="22" spans="2:14">
      <c r="E22" s="201"/>
    </row>
    <row r="23" spans="2:14">
      <c r="J23" s="201"/>
      <c r="K23" s="201"/>
      <c r="L23" s="201"/>
      <c r="M23" s="201"/>
      <c r="N23" s="201"/>
    </row>
    <row r="24" spans="2:14">
      <c r="J24" s="201"/>
      <c r="K24" s="201"/>
      <c r="L24" s="201"/>
      <c r="M24" s="201"/>
      <c r="N24" s="201"/>
    </row>
    <row r="25" spans="2:14">
      <c r="J25" s="201"/>
      <c r="K25" s="201"/>
      <c r="L25" s="201"/>
      <c r="M25" s="201"/>
      <c r="N25" s="201"/>
    </row>
    <row r="26" spans="2:14">
      <c r="J26" s="200"/>
      <c r="K26" s="200"/>
      <c r="L26" s="200"/>
      <c r="M26" s="200"/>
      <c r="N26" s="200"/>
    </row>
    <row r="27" spans="2:14">
      <c r="J27" s="200"/>
      <c r="K27" s="200"/>
      <c r="L27" s="200"/>
      <c r="M27" s="200"/>
      <c r="N27" s="200"/>
    </row>
  </sheetData>
  <mergeCells count="10">
    <mergeCell ref="B1:N1"/>
    <mergeCell ref="B2:N2"/>
    <mergeCell ref="B3:N3"/>
    <mergeCell ref="B19:N19"/>
    <mergeCell ref="E5:G5"/>
    <mergeCell ref="J5:N5"/>
    <mergeCell ref="B5:B7"/>
    <mergeCell ref="D5:D7"/>
    <mergeCell ref="C5:C7"/>
    <mergeCell ref="H5:I5"/>
  </mergeCells>
  <pageMargins left="0.25" right="0.28999999999999998" top="0.75" bottom="0.75" header="0.31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25"/>
  <sheetViews>
    <sheetView showGridLines="0" zoomScale="94" zoomScaleNormal="94" workbookViewId="0">
      <selection activeCell="B5" sqref="B5:P5"/>
    </sheetView>
  </sheetViews>
  <sheetFormatPr defaultColWidth="9.28515625" defaultRowHeight="14.25"/>
  <cols>
    <col min="1" max="1" width="3" style="19" customWidth="1"/>
    <col min="2" max="2" width="6.28515625" style="19" customWidth="1"/>
    <col min="3" max="3" width="37.28515625" style="19" customWidth="1"/>
    <col min="4" max="4" width="14.28515625" style="19" customWidth="1"/>
    <col min="5" max="5" width="11.5703125" style="19" customWidth="1"/>
    <col min="6" max="6" width="13.42578125" style="19" customWidth="1"/>
    <col min="7" max="7" width="13.140625" style="19" customWidth="1"/>
    <col min="8" max="8" width="14.140625" style="19" customWidth="1"/>
    <col min="9" max="9" width="15.5703125" style="19" customWidth="1"/>
    <col min="10" max="10" width="13.85546875" style="19" customWidth="1"/>
    <col min="11" max="11" width="12.42578125" style="19" customWidth="1"/>
    <col min="12" max="12" width="11.42578125" style="19" customWidth="1"/>
    <col min="13" max="13" width="13.5703125" style="19" customWidth="1"/>
    <col min="14" max="14" width="11.85546875" style="19" customWidth="1"/>
    <col min="15" max="15" width="12" style="19" customWidth="1"/>
    <col min="16" max="16" width="15.7109375" style="19" customWidth="1"/>
    <col min="17" max="16384" width="9.28515625" style="19"/>
  </cols>
  <sheetData>
    <row r="2" spans="1:16"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" customHeight="1">
      <c r="A3" s="154"/>
      <c r="B3" s="353" t="s">
        <v>510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</row>
    <row r="4" spans="1:16" s="4" customFormat="1" ht="15" customHeight="1">
      <c r="A4" s="154"/>
      <c r="B4" s="353" t="s">
        <v>517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</row>
    <row r="5" spans="1:16" ht="14.25" customHeight="1">
      <c r="A5" s="154"/>
      <c r="B5" s="353" t="s">
        <v>557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</row>
    <row r="7" spans="1:16" ht="12.75" customHeight="1">
      <c r="B7" s="360" t="s">
        <v>209</v>
      </c>
      <c r="C7" s="363" t="s">
        <v>18</v>
      </c>
      <c r="D7" s="357" t="s">
        <v>39</v>
      </c>
      <c r="E7" s="363" t="s">
        <v>1</v>
      </c>
      <c r="F7" s="367" t="s">
        <v>473</v>
      </c>
      <c r="G7" s="368"/>
      <c r="H7" s="369"/>
      <c r="I7" s="69" t="s">
        <v>474</v>
      </c>
      <c r="J7" s="205"/>
      <c r="K7" s="365" t="s">
        <v>251</v>
      </c>
      <c r="L7" s="365"/>
      <c r="M7" s="365"/>
      <c r="N7" s="365"/>
      <c r="O7" s="365"/>
      <c r="P7" s="365" t="s">
        <v>11</v>
      </c>
    </row>
    <row r="8" spans="1:16" ht="30" customHeight="1">
      <c r="B8" s="361"/>
      <c r="C8" s="363"/>
      <c r="D8" s="358"/>
      <c r="E8" s="363"/>
      <c r="F8" s="21" t="s">
        <v>381</v>
      </c>
      <c r="G8" s="21" t="s">
        <v>257</v>
      </c>
      <c r="H8" s="21" t="s">
        <v>225</v>
      </c>
      <c r="I8" s="21" t="s">
        <v>381</v>
      </c>
      <c r="J8" s="21" t="s">
        <v>261</v>
      </c>
      <c r="K8" s="21" t="s">
        <v>475</v>
      </c>
      <c r="L8" s="21" t="s">
        <v>476</v>
      </c>
      <c r="M8" s="21" t="s">
        <v>477</v>
      </c>
      <c r="N8" s="21" t="s">
        <v>478</v>
      </c>
      <c r="O8" s="21" t="s">
        <v>479</v>
      </c>
      <c r="P8" s="365"/>
    </row>
    <row r="9" spans="1:16" ht="15">
      <c r="B9" s="362"/>
      <c r="C9" s="364"/>
      <c r="D9" s="359"/>
      <c r="E9" s="364"/>
      <c r="F9" s="21" t="s">
        <v>10</v>
      </c>
      <c r="G9" s="21" t="s">
        <v>12</v>
      </c>
      <c r="H9" s="21" t="s">
        <v>258</v>
      </c>
      <c r="I9" s="21" t="s">
        <v>10</v>
      </c>
      <c r="J9" s="21" t="s">
        <v>513</v>
      </c>
      <c r="K9" s="21" t="s">
        <v>8</v>
      </c>
      <c r="L9" s="21" t="s">
        <v>8</v>
      </c>
      <c r="M9" s="21" t="s">
        <v>8</v>
      </c>
      <c r="N9" s="21" t="s">
        <v>8</v>
      </c>
      <c r="O9" s="21" t="s">
        <v>8</v>
      </c>
      <c r="P9" s="366"/>
    </row>
    <row r="10" spans="1:16" ht="15">
      <c r="B10" s="28" t="s">
        <v>67</v>
      </c>
      <c r="C10" s="29" t="s">
        <v>264</v>
      </c>
      <c r="D10" s="26"/>
      <c r="E10" s="26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7"/>
    </row>
    <row r="11" spans="1:16" ht="15">
      <c r="B11" s="2">
        <v>1</v>
      </c>
      <c r="C11" s="3" t="s">
        <v>36</v>
      </c>
      <c r="D11" s="2" t="s">
        <v>221</v>
      </c>
      <c r="E11" s="23" t="s">
        <v>287</v>
      </c>
      <c r="F11" s="110">
        <f>'F2'!E13</f>
        <v>188.60885999999999</v>
      </c>
      <c r="G11" s="110">
        <f>'F2'!F13</f>
        <v>245.63771683565477</v>
      </c>
      <c r="H11" s="110">
        <f>'F2'!G13</f>
        <v>245.63771683565477</v>
      </c>
      <c r="I11" s="110">
        <v>196.55</v>
      </c>
      <c r="J11" s="110">
        <f>'F2'!I13</f>
        <v>272.28834963762199</v>
      </c>
      <c r="K11" s="110">
        <f>'F2'!J13</f>
        <v>270.25382570435119</v>
      </c>
      <c r="L11" s="110">
        <f>'F2'!K13</f>
        <v>284.42055328857703</v>
      </c>
      <c r="M11" s="110">
        <f>'F2'!L13</f>
        <v>299.3733477557081</v>
      </c>
      <c r="N11" s="110">
        <f>'F2'!M13</f>
        <v>315.03003876480921</v>
      </c>
      <c r="O11" s="110">
        <f>'F2'!N13</f>
        <v>331.12607029819424</v>
      </c>
      <c r="P11" s="116"/>
    </row>
    <row r="12" spans="1:16" ht="15">
      <c r="B12" s="2">
        <f t="shared" ref="B12:B17" si="0">B11+1</f>
        <v>2</v>
      </c>
      <c r="C12" s="24" t="s">
        <v>176</v>
      </c>
      <c r="D12" s="2" t="s">
        <v>221</v>
      </c>
      <c r="E12" s="23" t="s">
        <v>23</v>
      </c>
      <c r="F12" s="117">
        <v>73.33</v>
      </c>
      <c r="G12" s="117">
        <f>H12</f>
        <v>34.590000000000003</v>
      </c>
      <c r="H12" s="110">
        <f>'F4'!K22-'F4'!L22</f>
        <v>34.590000000000003</v>
      </c>
      <c r="I12" s="116">
        <v>19.149999999999999</v>
      </c>
      <c r="J12" s="110">
        <f>'F4'!K40</f>
        <v>35.49</v>
      </c>
      <c r="K12" s="110">
        <f>'F4'!K49-'F4'!L49</f>
        <v>35.52510868054992</v>
      </c>
      <c r="L12" s="110">
        <f>'F4'!K57-'F4'!L57</f>
        <v>44.129108680549848</v>
      </c>
      <c r="M12" s="110">
        <f>'F4'!K66-'F4'!L66</f>
        <v>55.679108680549838</v>
      </c>
      <c r="N12" s="110">
        <f>'F4'!K75-'F4'!L75</f>
        <v>69.179108680549803</v>
      </c>
      <c r="O12" s="110">
        <f>'F4'!K84-'F4'!L84</f>
        <v>69.179108680549689</v>
      </c>
      <c r="P12" s="116"/>
    </row>
    <row r="13" spans="1:16" ht="15">
      <c r="B13" s="2">
        <f t="shared" si="0"/>
        <v>3</v>
      </c>
      <c r="C13" s="3" t="s">
        <v>262</v>
      </c>
      <c r="D13" s="2" t="s">
        <v>221</v>
      </c>
      <c r="E13" s="22" t="s">
        <v>29</v>
      </c>
      <c r="F13" s="110">
        <v>8.39</v>
      </c>
      <c r="G13" s="110">
        <f>'F5'!E22</f>
        <v>0</v>
      </c>
      <c r="H13" s="110">
        <f>'F5'!F22</f>
        <v>0</v>
      </c>
      <c r="I13" s="110">
        <f>'F5'!G22</f>
        <v>8.39</v>
      </c>
      <c r="J13" s="110">
        <f>'F5'!H22</f>
        <v>0</v>
      </c>
      <c r="K13" s="110">
        <f>'F5'!I22</f>
        <v>0</v>
      </c>
      <c r="L13" s="110">
        <f>'F5'!J22</f>
        <v>0</v>
      </c>
      <c r="M13" s="110">
        <f>'F5'!K22</f>
        <v>0</v>
      </c>
      <c r="N13" s="110">
        <f>'F5'!L22</f>
        <v>0</v>
      </c>
      <c r="O13" s="110">
        <f>'F5'!M22</f>
        <v>0</v>
      </c>
      <c r="P13" s="116"/>
    </row>
    <row r="14" spans="1:16" ht="15">
      <c r="B14" s="2">
        <f t="shared" si="0"/>
        <v>4</v>
      </c>
      <c r="C14" s="24" t="s">
        <v>37</v>
      </c>
      <c r="D14" s="2" t="s">
        <v>221</v>
      </c>
      <c r="E14" s="22" t="s">
        <v>30</v>
      </c>
      <c r="F14" s="110">
        <v>30.27</v>
      </c>
      <c r="G14" s="110">
        <f ca="1">'F6'!E19</f>
        <v>38.673875435764032</v>
      </c>
      <c r="H14" s="110">
        <f ca="1">'F6'!F19</f>
        <v>38.673875435764032</v>
      </c>
      <c r="I14" s="110">
        <f>'F6'!G19</f>
        <v>30.55</v>
      </c>
      <c r="J14" s="110">
        <f ca="1">'F6'!H19</f>
        <v>46.556330241160346</v>
      </c>
      <c r="K14" s="110">
        <f ca="1">'F6'!I19</f>
        <v>35.476040894119556</v>
      </c>
      <c r="L14" s="110">
        <f ca="1">'F6'!J19</f>
        <v>36.43803768896791</v>
      </c>
      <c r="M14" s="110">
        <f ca="1">'F6'!K19</f>
        <v>37.462924067704229</v>
      </c>
      <c r="N14" s="110">
        <f ca="1">'F6'!L19</f>
        <v>38.496293174498931</v>
      </c>
      <c r="O14" s="110">
        <f ca="1">'F6'!M19</f>
        <v>39.169011441748466</v>
      </c>
      <c r="P14" s="116"/>
    </row>
    <row r="15" spans="1:16" ht="15">
      <c r="B15" s="2">
        <f t="shared" si="0"/>
        <v>5</v>
      </c>
      <c r="C15" s="3" t="s">
        <v>263</v>
      </c>
      <c r="D15" s="2" t="s">
        <v>221</v>
      </c>
      <c r="E15" s="22" t="s">
        <v>31</v>
      </c>
      <c r="F15" s="110">
        <f>'F7'!D22</f>
        <v>127.89</v>
      </c>
      <c r="G15" s="110">
        <f>'F7'!E22</f>
        <v>141.23679041051957</v>
      </c>
      <c r="H15" s="110">
        <f>'F7'!F22</f>
        <v>141.23679041051957</v>
      </c>
      <c r="I15" s="110">
        <f>'F7'!G22</f>
        <v>127.89</v>
      </c>
      <c r="J15" s="110">
        <f>'F7'!H22</f>
        <v>141.43043721559093</v>
      </c>
      <c r="K15" s="110">
        <f>'F7'!I22</f>
        <v>85.125721616420776</v>
      </c>
      <c r="L15" s="110">
        <f>'F7'!J22</f>
        <v>85.696136885977552</v>
      </c>
      <c r="M15" s="110">
        <f>'F7'!K22</f>
        <v>84.266084441187573</v>
      </c>
      <c r="N15" s="110">
        <f>'F7'!L22</f>
        <v>78.015066366720447</v>
      </c>
      <c r="O15" s="110">
        <f>'F7'!M22</f>
        <v>63.701488157551594</v>
      </c>
      <c r="P15" s="116"/>
    </row>
    <row r="16" spans="1:16" ht="15">
      <c r="B16" s="2">
        <f t="shared" si="0"/>
        <v>6</v>
      </c>
      <c r="C16" s="3" t="s">
        <v>38</v>
      </c>
      <c r="D16" s="2" t="s">
        <v>221</v>
      </c>
      <c r="E16" s="22" t="s">
        <v>32</v>
      </c>
      <c r="F16" s="110">
        <f>'F8'!D22</f>
        <v>0</v>
      </c>
      <c r="G16" s="110">
        <f>'F8'!E22</f>
        <v>23.438580290317145</v>
      </c>
      <c r="H16" s="110">
        <f>'F8'!F22</f>
        <v>23.438580290317145</v>
      </c>
      <c r="I16" s="110">
        <f>'F8'!G22</f>
        <v>0</v>
      </c>
      <c r="J16" s="110">
        <f>'F8'!H22</f>
        <v>14.146743884475507</v>
      </c>
      <c r="K16" s="110">
        <f>'F8'!I22</f>
        <v>15.219245234996038</v>
      </c>
      <c r="L16" s="110">
        <f>'F8'!J22</f>
        <v>15.82801504439588</v>
      </c>
      <c r="M16" s="110">
        <f>'F8'!K22</f>
        <v>16.461135646171716</v>
      </c>
      <c r="N16" s="110">
        <f>'F8'!L22</f>
        <v>17.119581072018583</v>
      </c>
      <c r="O16" s="110">
        <f>'F8'!M22</f>
        <v>17.804364314899328</v>
      </c>
      <c r="P16" s="116"/>
    </row>
    <row r="17" spans="2:16" ht="15">
      <c r="B17" s="20">
        <f t="shared" si="0"/>
        <v>7</v>
      </c>
      <c r="C17" s="25" t="s">
        <v>264</v>
      </c>
      <c r="D17" s="20" t="s">
        <v>221</v>
      </c>
      <c r="E17" s="22"/>
      <c r="F17" s="110">
        <f>SUM(F11:F15)-F16</f>
        <v>428.48885999999993</v>
      </c>
      <c r="G17" s="110">
        <f ca="1">SUM(G11:G15)-G16</f>
        <v>436.69980239162123</v>
      </c>
      <c r="H17" s="110">
        <f ca="1">SUM(H11:H15)-H16</f>
        <v>436.69980239162123</v>
      </c>
      <c r="I17" s="110">
        <f t="shared" ref="I17" si="1">SUM(I11:I16)</f>
        <v>382.53000000000003</v>
      </c>
      <c r="J17" s="110">
        <f ca="1">SUM(J11:J15)-J16</f>
        <v>481.61837320989781</v>
      </c>
      <c r="K17" s="110">
        <f t="shared" ref="K17:M17" ca="1" si="2">SUM(K11:K15)-K16</f>
        <v>411.16145166044538</v>
      </c>
      <c r="L17" s="110">
        <f t="shared" ca="1" si="2"/>
        <v>434.85582149967649</v>
      </c>
      <c r="M17" s="110">
        <f t="shared" ca="1" si="2"/>
        <v>460.32032929897804</v>
      </c>
      <c r="N17" s="110">
        <f ca="1">SUM(N11:N15)-N16</f>
        <v>483.60092591455975</v>
      </c>
      <c r="O17" s="110">
        <f t="shared" ref="O17" ca="1" si="3">SUM(O11:O15)-O16</f>
        <v>485.37131426314465</v>
      </c>
      <c r="P17" s="116"/>
    </row>
    <row r="18" spans="2:16" ht="15">
      <c r="B18" s="20" t="s">
        <v>71</v>
      </c>
      <c r="C18" s="20" t="s">
        <v>265</v>
      </c>
      <c r="D18" s="22"/>
      <c r="E18" s="22"/>
      <c r="F18" s="22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2:16" ht="15">
      <c r="B19" s="2">
        <v>1</v>
      </c>
      <c r="C19" s="22" t="s">
        <v>266</v>
      </c>
      <c r="D19" s="2" t="s">
        <v>220</v>
      </c>
      <c r="E19" s="22" t="s">
        <v>172</v>
      </c>
      <c r="F19" s="286">
        <f>'F12'!E18</f>
        <v>3.6321420220135647</v>
      </c>
      <c r="G19" s="286">
        <f>'F12'!F18</f>
        <v>3.3356341239546232</v>
      </c>
      <c r="H19" s="286">
        <f>'F12'!G18</f>
        <v>3.3356341239546232</v>
      </c>
      <c r="I19" s="286">
        <f>'F12'!H18</f>
        <v>4.1583495969389492</v>
      </c>
      <c r="J19" s="286">
        <f>'F12'!I18</f>
        <v>3.9137257119596929</v>
      </c>
      <c r="K19" s="286">
        <f>'F12'!J18</f>
        <v>4.1935904370241168</v>
      </c>
      <c r="L19" s="286">
        <f>'F12'!K18</f>
        <v>4.2774622457645979</v>
      </c>
      <c r="M19" s="286">
        <f>'F12'!L18</f>
        <v>4.3630114906798898</v>
      </c>
      <c r="N19" s="286">
        <f>'F12'!M18</f>
        <v>4.4502717204934878</v>
      </c>
      <c r="O19" s="286">
        <f>'F12'!N18</f>
        <v>4.5392771549033579</v>
      </c>
      <c r="P19" s="3"/>
    </row>
    <row r="20" spans="2:16" ht="15">
      <c r="B20" s="2">
        <f>B19+1</f>
        <v>2</v>
      </c>
      <c r="C20" s="22" t="s">
        <v>267</v>
      </c>
      <c r="D20" s="2" t="s">
        <v>45</v>
      </c>
      <c r="E20" s="22" t="s">
        <v>34</v>
      </c>
      <c r="F20" s="110">
        <v>3173.63</v>
      </c>
      <c r="G20" s="110">
        <f>'F10'!F30</f>
        <v>3173.63</v>
      </c>
      <c r="H20" s="110">
        <f>'F10'!G30</f>
        <v>3173.63</v>
      </c>
      <c r="I20" s="110">
        <f>J20</f>
        <v>3101.4795999999997</v>
      </c>
      <c r="J20" s="110">
        <f>'F10'!I30</f>
        <v>3101.4795999999997</v>
      </c>
      <c r="K20" s="110">
        <f>'F10'!J30</f>
        <v>3378.9378000000002</v>
      </c>
      <c r="L20" s="110">
        <f>'F10'!K30</f>
        <v>3376.761</v>
      </c>
      <c r="M20" s="110">
        <f>'F10'!L30</f>
        <v>3378.9378000000002</v>
      </c>
      <c r="N20" s="110">
        <f>'F10'!M30</f>
        <v>3386.0123999999996</v>
      </c>
      <c r="O20" s="110">
        <f>'F10'!N30</f>
        <v>3379.482</v>
      </c>
      <c r="P20" s="3"/>
    </row>
    <row r="21" spans="2:16" ht="15">
      <c r="B21" s="2">
        <f>B20+1</f>
        <v>3</v>
      </c>
      <c r="C21" s="22" t="s">
        <v>265</v>
      </c>
      <c r="D21" s="2" t="s">
        <v>221</v>
      </c>
      <c r="E21" s="22"/>
      <c r="F21" s="110">
        <f>F19*F20/10</f>
        <v>1152.7074885322911</v>
      </c>
      <c r="G21" s="110">
        <f t="shared" ref="G21:O21" si="4">G19*G20/10</f>
        <v>1058.606852480611</v>
      </c>
      <c r="H21" s="110">
        <f t="shared" si="4"/>
        <v>1058.606852480611</v>
      </c>
      <c r="I21" s="110">
        <f t="shared" si="4"/>
        <v>1289.7036444574373</v>
      </c>
      <c r="J21" s="110">
        <f t="shared" si="4"/>
        <v>1213.8340455638463</v>
      </c>
      <c r="K21" s="110">
        <f t="shared" si="4"/>
        <v>1416.9881245379308</v>
      </c>
      <c r="L21" s="110">
        <f t="shared" si="4"/>
        <v>1444.3967690470308</v>
      </c>
      <c r="M21" s="110">
        <f t="shared" si="4"/>
        <v>1474.2344447692628</v>
      </c>
      <c r="N21" s="110">
        <f t="shared" si="4"/>
        <v>1506.8675228960283</v>
      </c>
      <c r="O21" s="110">
        <f t="shared" si="4"/>
        <v>1534.040543800711</v>
      </c>
      <c r="P21" s="3"/>
    </row>
    <row r="22" spans="2:16" ht="15">
      <c r="B22" s="20" t="s">
        <v>72</v>
      </c>
      <c r="C22" s="20" t="s">
        <v>416</v>
      </c>
      <c r="D22" s="2" t="s">
        <v>221</v>
      </c>
      <c r="E22" s="3"/>
      <c r="F22" s="110">
        <f>F17+F21</f>
        <v>1581.196348532291</v>
      </c>
      <c r="G22" s="110">
        <f t="shared" ref="G22:O22" ca="1" si="5">G17+G21</f>
        <v>1495.3066548722322</v>
      </c>
      <c r="H22" s="110">
        <f t="shared" ca="1" si="5"/>
        <v>1495.3066548722322</v>
      </c>
      <c r="I22" s="110">
        <f>I17+I21</f>
        <v>1672.2336444574373</v>
      </c>
      <c r="J22" s="110">
        <f t="shared" ca="1" si="5"/>
        <v>1695.4524187737441</v>
      </c>
      <c r="K22" s="110">
        <f t="shared" ca="1" si="5"/>
        <v>1828.1495761983763</v>
      </c>
      <c r="L22" s="110">
        <f t="shared" ca="1" si="5"/>
        <v>1879.2525905467073</v>
      </c>
      <c r="M22" s="110">
        <f t="shared" ca="1" si="5"/>
        <v>1934.5547740682409</v>
      </c>
      <c r="N22" s="110">
        <f t="shared" ca="1" si="5"/>
        <v>1990.4684488105881</v>
      </c>
      <c r="O22" s="110">
        <f t="shared" ca="1" si="5"/>
        <v>2019.4118580638556</v>
      </c>
      <c r="P22" s="3"/>
    </row>
    <row r="23" spans="2:16" hidden="1">
      <c r="F23" s="128">
        <f>F17+F16</f>
        <v>428.48885999999993</v>
      </c>
      <c r="G23" s="128">
        <f t="shared" ref="G23:O23" ca="1" si="6">G17+G16</f>
        <v>460.13838268193837</v>
      </c>
      <c r="H23" s="128">
        <f t="shared" ca="1" si="6"/>
        <v>460.13838268193837</v>
      </c>
      <c r="I23" s="128">
        <f t="shared" si="6"/>
        <v>382.53000000000003</v>
      </c>
      <c r="J23" s="128">
        <f t="shared" ca="1" si="6"/>
        <v>495.7651170943733</v>
      </c>
      <c r="K23" s="128">
        <f t="shared" ca="1" si="6"/>
        <v>426.38069689544142</v>
      </c>
      <c r="L23" s="128">
        <f ca="1">L17+L16</f>
        <v>450.68383654407239</v>
      </c>
      <c r="M23" s="128">
        <f t="shared" ca="1" si="6"/>
        <v>476.78146494514976</v>
      </c>
      <c r="N23" s="128">
        <f t="shared" ca="1" si="6"/>
        <v>500.72050698657836</v>
      </c>
      <c r="O23" s="128">
        <f t="shared" ca="1" si="6"/>
        <v>503.17567857804397</v>
      </c>
    </row>
    <row r="24" spans="2:16">
      <c r="G24" s="290"/>
    </row>
    <row r="25" spans="2:16">
      <c r="F25" s="284"/>
    </row>
  </sheetData>
  <mergeCells count="10">
    <mergeCell ref="B3:P3"/>
    <mergeCell ref="B4:P4"/>
    <mergeCell ref="B5:P5"/>
    <mergeCell ref="D7:D9"/>
    <mergeCell ref="B7:B9"/>
    <mergeCell ref="C7:C9"/>
    <mergeCell ref="E7:E9"/>
    <mergeCell ref="P7:P9"/>
    <mergeCell ref="K7:O7"/>
    <mergeCell ref="F7:H7"/>
  </mergeCells>
  <pageMargins left="0.23" right="0.23" top="0.92" bottom="1" header="0.5" footer="0.5"/>
  <pageSetup paperSize="9" scale="6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59"/>
  <sheetViews>
    <sheetView showGridLines="0" zoomScale="80" zoomScaleNormal="80" workbookViewId="0">
      <selection activeCell="A4" sqref="A4:XFD4"/>
    </sheetView>
  </sheetViews>
  <sheetFormatPr defaultColWidth="9.28515625" defaultRowHeight="14.25"/>
  <cols>
    <col min="1" max="1" width="4.28515625" style="5" customWidth="1"/>
    <col min="2" max="2" width="30.42578125" style="5" customWidth="1"/>
    <col min="3" max="15" width="10.7109375" style="5" customWidth="1"/>
    <col min="16" max="16384" width="9.28515625" style="5"/>
  </cols>
  <sheetData>
    <row r="1" spans="1:17" ht="14.25" customHeight="1">
      <c r="B1" s="372" t="s">
        <v>511</v>
      </c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</row>
    <row r="2" spans="1:17" ht="14.25" customHeight="1">
      <c r="B2" s="372" t="s">
        <v>467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</row>
    <row r="3" spans="1:17" ht="15">
      <c r="B3" s="376" t="s">
        <v>372</v>
      </c>
      <c r="C3" s="376"/>
      <c r="D3" s="376"/>
      <c r="E3" s="376"/>
      <c r="F3" s="376"/>
      <c r="G3" s="376"/>
      <c r="H3" s="376"/>
      <c r="I3" s="376"/>
      <c r="J3" s="376"/>
      <c r="K3" s="376"/>
      <c r="L3" s="376"/>
      <c r="M3" s="376"/>
      <c r="N3" s="376"/>
      <c r="O3" s="376"/>
    </row>
    <row r="4" spans="1:17" ht="15">
      <c r="B4" s="30" t="s">
        <v>473</v>
      </c>
      <c r="C4" s="74"/>
      <c r="D4" s="74"/>
      <c r="E4" s="74"/>
      <c r="F4" s="74"/>
      <c r="G4" s="74"/>
      <c r="H4" s="74"/>
      <c r="I4" s="41"/>
    </row>
    <row r="5" spans="1:17" ht="15">
      <c r="B5" s="30" t="s">
        <v>12</v>
      </c>
      <c r="C5" s="31"/>
      <c r="D5" s="31"/>
      <c r="O5" s="31" t="s">
        <v>140</v>
      </c>
    </row>
    <row r="6" spans="1:17" s="38" customFormat="1" ht="15" customHeight="1">
      <c r="B6" s="37" t="s">
        <v>373</v>
      </c>
      <c r="C6" s="37" t="s">
        <v>141</v>
      </c>
      <c r="D6" s="37" t="s">
        <v>142</v>
      </c>
      <c r="E6" s="93" t="s">
        <v>143</v>
      </c>
      <c r="F6" s="93" t="s">
        <v>144</v>
      </c>
      <c r="G6" s="93" t="s">
        <v>145</v>
      </c>
      <c r="H6" s="93" t="s">
        <v>146</v>
      </c>
      <c r="I6" s="93" t="s">
        <v>147</v>
      </c>
      <c r="J6" s="93" t="s">
        <v>148</v>
      </c>
      <c r="K6" s="93" t="s">
        <v>149</v>
      </c>
      <c r="L6" s="93" t="s">
        <v>150</v>
      </c>
      <c r="M6" s="93" t="s">
        <v>151</v>
      </c>
      <c r="N6" s="93" t="s">
        <v>152</v>
      </c>
      <c r="O6" s="93" t="s">
        <v>139</v>
      </c>
    </row>
    <row r="7" spans="1:17" s="38" customFormat="1" ht="15">
      <c r="B7" s="72" t="s">
        <v>471</v>
      </c>
      <c r="C7" s="119">
        <v>212.29980077499997</v>
      </c>
      <c r="D7" s="119">
        <v>213.61937785199999</v>
      </c>
      <c r="E7" s="119">
        <v>191.27339625000002</v>
      </c>
      <c r="F7" s="119">
        <v>92.450272100000007</v>
      </c>
      <c r="G7" s="119">
        <v>161.27846407499999</v>
      </c>
      <c r="H7" s="119">
        <v>189.91015859999999</v>
      </c>
      <c r="I7" s="119">
        <v>183.976445025</v>
      </c>
      <c r="J7" s="119">
        <v>182.49306072499999</v>
      </c>
      <c r="K7" s="119">
        <v>201.89237059999999</v>
      </c>
      <c r="L7" s="119">
        <v>209.88617945000001</v>
      </c>
      <c r="M7" s="119">
        <v>192.43627189999998</v>
      </c>
      <c r="N7" s="119">
        <v>207.486315375</v>
      </c>
      <c r="O7" s="119">
        <f>SUM(C7:N7)</f>
        <v>2239.0021127270002</v>
      </c>
    </row>
    <row r="8" spans="1:17" s="38" customFormat="1" ht="15">
      <c r="B8" s="72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7" s="38" customFormat="1" ht="15">
      <c r="B9" s="72" t="s">
        <v>472</v>
      </c>
      <c r="C9" s="119">
        <v>88.621249225000014</v>
      </c>
      <c r="D9" s="119">
        <v>89.172086148000034</v>
      </c>
      <c r="E9" s="119">
        <v>79.844103749999988</v>
      </c>
      <c r="F9" s="119">
        <v>38.591927900000002</v>
      </c>
      <c r="G9" s="119">
        <v>67.323185925000018</v>
      </c>
      <c r="H9" s="119">
        <v>79.275041400000021</v>
      </c>
      <c r="I9" s="119">
        <v>76.798104974999973</v>
      </c>
      <c r="J9" s="119">
        <v>76.178889274999989</v>
      </c>
      <c r="K9" s="119">
        <v>84.276829399999997</v>
      </c>
      <c r="L9" s="119">
        <v>87.613720550000011</v>
      </c>
      <c r="M9" s="119">
        <v>80.329528100000033</v>
      </c>
      <c r="N9" s="119">
        <v>86.611934625000004</v>
      </c>
      <c r="O9" s="119">
        <f t="shared" ref="O9" si="0">SUM(C9:N9)</f>
        <v>934.63660127300011</v>
      </c>
    </row>
    <row r="10" spans="1:17" ht="15">
      <c r="B10" s="44" t="s">
        <v>139</v>
      </c>
      <c r="C10" s="100">
        <f>C7+C9</f>
        <v>300.92104999999998</v>
      </c>
      <c r="D10" s="100">
        <f t="shared" ref="D10:O10" si="1">D7+D9</f>
        <v>302.79146400000002</v>
      </c>
      <c r="E10" s="100">
        <f t="shared" si="1"/>
        <v>271.11750000000001</v>
      </c>
      <c r="F10" s="100">
        <f t="shared" si="1"/>
        <v>131.04220000000001</v>
      </c>
      <c r="G10" s="100">
        <f t="shared" si="1"/>
        <v>228.60165000000001</v>
      </c>
      <c r="H10" s="100">
        <f t="shared" si="1"/>
        <v>269.18520000000001</v>
      </c>
      <c r="I10" s="100">
        <f t="shared" si="1"/>
        <v>260.77454999999998</v>
      </c>
      <c r="J10" s="100">
        <f t="shared" si="1"/>
        <v>258.67194999999998</v>
      </c>
      <c r="K10" s="100">
        <f t="shared" si="1"/>
        <v>286.16919999999999</v>
      </c>
      <c r="L10" s="100">
        <f t="shared" si="1"/>
        <v>297.49990000000003</v>
      </c>
      <c r="M10" s="100">
        <f t="shared" si="1"/>
        <v>272.76580000000001</v>
      </c>
      <c r="N10" s="100">
        <f t="shared" si="1"/>
        <v>294.09825000000001</v>
      </c>
      <c r="O10" s="100">
        <f t="shared" si="1"/>
        <v>3173.6387140000002</v>
      </c>
    </row>
    <row r="11" spans="1:17" ht="16.5">
      <c r="B11" s="30"/>
      <c r="C11" s="74"/>
      <c r="D11" s="74"/>
      <c r="E11" s="74"/>
      <c r="F11" s="74"/>
      <c r="G11" s="74"/>
      <c r="H11" s="74"/>
      <c r="I11" s="87"/>
    </row>
    <row r="12" spans="1:17" ht="16.5">
      <c r="B12" s="30" t="s">
        <v>474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41"/>
      <c r="P12" s="87"/>
    </row>
    <row r="13" spans="1:17" ht="16.5">
      <c r="A13" s="5" t="s">
        <v>371</v>
      </c>
      <c r="B13" s="30" t="s">
        <v>5</v>
      </c>
      <c r="C13" s="31"/>
      <c r="D13" s="31"/>
      <c r="O13" s="31" t="s">
        <v>140</v>
      </c>
      <c r="P13" s="87"/>
    </row>
    <row r="14" spans="1:17" ht="18.75" customHeight="1">
      <c r="B14" s="407" t="s">
        <v>373</v>
      </c>
      <c r="C14" s="373" t="s">
        <v>153</v>
      </c>
      <c r="D14" s="374"/>
      <c r="E14" s="374"/>
      <c r="F14" s="374"/>
      <c r="G14" s="374"/>
      <c r="H14" s="375"/>
      <c r="I14" s="373" t="s">
        <v>513</v>
      </c>
      <c r="J14" s="374"/>
      <c r="K14" s="374"/>
      <c r="L14" s="374"/>
      <c r="M14" s="374"/>
      <c r="N14" s="375"/>
      <c r="O14" s="37" t="s">
        <v>154</v>
      </c>
      <c r="P14" s="87"/>
      <c r="Q14" s="87"/>
    </row>
    <row r="15" spans="1:17" ht="15">
      <c r="B15" s="408"/>
      <c r="C15" s="37" t="s">
        <v>141</v>
      </c>
      <c r="D15" s="37" t="s">
        <v>142</v>
      </c>
      <c r="E15" s="93" t="s">
        <v>143</v>
      </c>
      <c r="F15" s="93" t="s">
        <v>144</v>
      </c>
      <c r="G15" s="93" t="s">
        <v>145</v>
      </c>
      <c r="H15" s="93" t="s">
        <v>146</v>
      </c>
      <c r="I15" s="93" t="s">
        <v>147</v>
      </c>
      <c r="J15" s="93" t="s">
        <v>148</v>
      </c>
      <c r="K15" s="93" t="s">
        <v>149</v>
      </c>
      <c r="L15" s="93" t="s">
        <v>150</v>
      </c>
      <c r="M15" s="93" t="s">
        <v>151</v>
      </c>
      <c r="N15" s="93" t="s">
        <v>152</v>
      </c>
      <c r="O15" s="27"/>
    </row>
    <row r="16" spans="1:17" s="38" customFormat="1" ht="15">
      <c r="B16" s="72" t="s">
        <v>471</v>
      </c>
      <c r="C16" s="119">
        <v>181.701525</v>
      </c>
      <c r="D16" s="119">
        <v>174.75940500000002</v>
      </c>
      <c r="E16" s="119">
        <v>190.07581000000002</v>
      </c>
      <c r="F16" s="127">
        <v>183.352395</v>
      </c>
      <c r="G16" s="119">
        <v>178.03292500000001</v>
      </c>
      <c r="H16" s="119">
        <v>186.44953999999998</v>
      </c>
      <c r="I16" s="119">
        <v>189.37031000000002</v>
      </c>
      <c r="J16" s="119">
        <v>184.74928500000001</v>
      </c>
      <c r="K16" s="119">
        <f>259.94*0.7055</f>
        <v>183.38767000000001</v>
      </c>
      <c r="L16" s="119">
        <f>263.26*0.7055</f>
        <v>185.72993</v>
      </c>
      <c r="M16" s="119">
        <f>240.75*0.7055</f>
        <v>169.84912500000002</v>
      </c>
      <c r="N16" s="119">
        <f>256.0331*0.7055</f>
        <v>180.63135205</v>
      </c>
      <c r="O16" s="127">
        <f>SUM(C16:N16)</f>
        <v>2188.0892720500001</v>
      </c>
    </row>
    <row r="17" spans="2:16" s="38" customFormat="1" ht="15">
      <c r="B17" s="72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44"/>
      <c r="N17" s="44"/>
      <c r="O17" s="127"/>
    </row>
    <row r="18" spans="2:16" s="38" customFormat="1" ht="15">
      <c r="B18" s="72" t="s">
        <v>472</v>
      </c>
      <c r="C18" s="119">
        <v>75.848475000000008</v>
      </c>
      <c r="D18" s="119">
        <v>72.950594999999993</v>
      </c>
      <c r="E18" s="119">
        <v>79.344189999999998</v>
      </c>
      <c r="F18" s="119">
        <v>76.537604999999985</v>
      </c>
      <c r="G18" s="119">
        <v>74.317074999999988</v>
      </c>
      <c r="H18" s="119">
        <v>77.830459999999988</v>
      </c>
      <c r="I18" s="119">
        <v>79.049689999999998</v>
      </c>
      <c r="J18" s="119">
        <v>77.120715000000004</v>
      </c>
      <c r="K18" s="119">
        <v>76.552329999999998</v>
      </c>
      <c r="L18" s="119">
        <f>263.26*0.2945</f>
        <v>77.530069999999995</v>
      </c>
      <c r="M18" s="119">
        <f>240.75*0.2945</f>
        <v>70.900874999999999</v>
      </c>
      <c r="N18" s="119">
        <f>256.0331*0.2945</f>
        <v>75.401747949999987</v>
      </c>
      <c r="O18" s="127">
        <f>SUM(C18:N18)</f>
        <v>913.38382794999995</v>
      </c>
    </row>
    <row r="19" spans="2:16" ht="15">
      <c r="B19" s="44" t="s">
        <v>139</v>
      </c>
      <c r="C19" s="100">
        <f>C16+C18</f>
        <v>257.55</v>
      </c>
      <c r="D19" s="100">
        <f t="shared" ref="D19:O19" si="2">D16+D18</f>
        <v>247.71</v>
      </c>
      <c r="E19" s="100">
        <f t="shared" si="2"/>
        <v>269.42</v>
      </c>
      <c r="F19" s="100">
        <f t="shared" si="2"/>
        <v>259.89</v>
      </c>
      <c r="G19" s="100">
        <f t="shared" si="2"/>
        <v>252.35</v>
      </c>
      <c r="H19" s="100">
        <f t="shared" si="2"/>
        <v>264.27999999999997</v>
      </c>
      <c r="I19" s="100">
        <f t="shared" ref="I19:N19" si="3">I16+I18</f>
        <v>268.42</v>
      </c>
      <c r="J19" s="100">
        <f t="shared" si="3"/>
        <v>261.87</v>
      </c>
      <c r="K19" s="100">
        <f t="shared" si="3"/>
        <v>259.94</v>
      </c>
      <c r="L19" s="100">
        <f t="shared" si="3"/>
        <v>263.26</v>
      </c>
      <c r="M19" s="100">
        <f t="shared" si="3"/>
        <v>240.75</v>
      </c>
      <c r="N19" s="100">
        <f t="shared" si="3"/>
        <v>256.03309999999999</v>
      </c>
      <c r="O19" s="100">
        <f t="shared" si="2"/>
        <v>3101.4731000000002</v>
      </c>
    </row>
    <row r="20" spans="2:16" ht="16.5">
      <c r="B20" s="30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41"/>
      <c r="P20" s="87"/>
    </row>
    <row r="21" spans="2:16" ht="15">
      <c r="B21" s="30" t="s">
        <v>475</v>
      </c>
      <c r="C21" s="74"/>
      <c r="D21" s="74"/>
      <c r="E21" s="74"/>
      <c r="F21" s="74"/>
      <c r="G21" s="74"/>
      <c r="H21" s="74"/>
      <c r="I21" s="41"/>
    </row>
    <row r="22" spans="2:16" ht="15">
      <c r="B22" s="30" t="s">
        <v>8</v>
      </c>
      <c r="C22" s="31"/>
      <c r="D22" s="31"/>
      <c r="O22" s="31" t="s">
        <v>140</v>
      </c>
    </row>
    <row r="23" spans="2:16" ht="15">
      <c r="B23" s="37" t="s">
        <v>373</v>
      </c>
      <c r="C23" s="37" t="s">
        <v>141</v>
      </c>
      <c r="D23" s="37" t="s">
        <v>142</v>
      </c>
      <c r="E23" s="93" t="s">
        <v>143</v>
      </c>
      <c r="F23" s="93" t="s">
        <v>144</v>
      </c>
      <c r="G23" s="93" t="s">
        <v>145</v>
      </c>
      <c r="H23" s="93" t="s">
        <v>146</v>
      </c>
      <c r="I23" s="93" t="s">
        <v>147</v>
      </c>
      <c r="J23" s="93" t="s">
        <v>148</v>
      </c>
      <c r="K23" s="93" t="s">
        <v>149</v>
      </c>
      <c r="L23" s="93" t="s">
        <v>150</v>
      </c>
      <c r="M23" s="93" t="s">
        <v>151</v>
      </c>
      <c r="N23" s="93" t="s">
        <v>152</v>
      </c>
      <c r="O23" s="93" t="s">
        <v>139</v>
      </c>
    </row>
    <row r="24" spans="2:16" ht="15">
      <c r="B24" s="72" t="s">
        <v>471</v>
      </c>
      <c r="C24" s="119">
        <f>305.2962*0.7055</f>
        <v>215.3864691</v>
      </c>
      <c r="D24" s="119">
        <f>315.47274*0.7055</f>
        <v>222.56601806999998</v>
      </c>
      <c r="E24" s="119">
        <f>146.934*0.7055</f>
        <v>103.66193699999999</v>
      </c>
      <c r="F24" s="119">
        <f>157.92684*0.7055</f>
        <v>111.41738562</v>
      </c>
      <c r="G24" s="119">
        <f>295.88154*0.7055</f>
        <v>208.74442646999998</v>
      </c>
      <c r="H24" s="119">
        <f>305.2962*0.7055</f>
        <v>215.3864691</v>
      </c>
      <c r="I24" s="119">
        <f>315.47274*0.7055</f>
        <v>222.56601806999998</v>
      </c>
      <c r="J24" s="119">
        <f>305.2962*0.7055</f>
        <v>215.3864691</v>
      </c>
      <c r="K24" s="119">
        <f>315.47274*0.7055</f>
        <v>222.56601806999998</v>
      </c>
      <c r="L24" s="119">
        <f>315.47274*0.7055</f>
        <v>222.56601806999998</v>
      </c>
      <c r="M24" s="119">
        <f>284.94312*0.7055</f>
        <v>201.02737116000003</v>
      </c>
      <c r="N24" s="119">
        <f>315.47274*0.7055</f>
        <v>222.56601806999998</v>
      </c>
      <c r="O24" s="119">
        <f>SUM(C24:N24)</f>
        <v>2383.8406178999999</v>
      </c>
    </row>
    <row r="25" spans="2:16" ht="15">
      <c r="B25" s="72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2:16" ht="15">
      <c r="B26" s="72" t="s">
        <v>472</v>
      </c>
      <c r="C26" s="119">
        <f>305.2962*0.2945</f>
        <v>89.9097309</v>
      </c>
      <c r="D26" s="119">
        <f>315.47274*0.2945</f>
        <v>92.906721929999989</v>
      </c>
      <c r="E26" s="119">
        <f>146.934*0.2945</f>
        <v>43.272062999999996</v>
      </c>
      <c r="F26" s="119">
        <f>157.92684*0.2945</f>
        <v>46.509454379999994</v>
      </c>
      <c r="G26" s="119">
        <f>295.88154*0.2945</f>
        <v>87.137113529999993</v>
      </c>
      <c r="H26" s="119">
        <f>305.2962*0.2945</f>
        <v>89.9097309</v>
      </c>
      <c r="I26" s="119">
        <f>315.47274*0.2945</f>
        <v>92.906721929999989</v>
      </c>
      <c r="J26" s="119">
        <f>305.2962*0.2945</f>
        <v>89.9097309</v>
      </c>
      <c r="K26" s="119">
        <f>315.47274*0.2945</f>
        <v>92.906721929999989</v>
      </c>
      <c r="L26" s="119">
        <f>315.47274*0.2945</f>
        <v>92.906721929999989</v>
      </c>
      <c r="M26" s="119">
        <f>284.94312*0.2945</f>
        <v>83.915748840000006</v>
      </c>
      <c r="N26" s="119">
        <f>315.47274*0.2945</f>
        <v>92.906721929999989</v>
      </c>
      <c r="O26" s="119">
        <f t="shared" ref="O26" si="4">SUM(C26:N26)</f>
        <v>995.09718209999994</v>
      </c>
    </row>
    <row r="27" spans="2:16" ht="15">
      <c r="B27" s="44" t="s">
        <v>139</v>
      </c>
      <c r="C27" s="100">
        <f>C24+C26</f>
        <v>305.2962</v>
      </c>
      <c r="D27" s="100">
        <f t="shared" ref="D27:O27" si="5">D24+D26</f>
        <v>315.47273999999999</v>
      </c>
      <c r="E27" s="100">
        <f t="shared" si="5"/>
        <v>146.934</v>
      </c>
      <c r="F27" s="100">
        <f t="shared" si="5"/>
        <v>157.92684</v>
      </c>
      <c r="G27" s="100">
        <f t="shared" si="5"/>
        <v>295.88153999999997</v>
      </c>
      <c r="H27" s="100">
        <f t="shared" si="5"/>
        <v>305.2962</v>
      </c>
      <c r="I27" s="100">
        <f t="shared" si="5"/>
        <v>315.47273999999999</v>
      </c>
      <c r="J27" s="100">
        <f t="shared" si="5"/>
        <v>305.2962</v>
      </c>
      <c r="K27" s="100">
        <f t="shared" si="5"/>
        <v>315.47273999999999</v>
      </c>
      <c r="L27" s="100">
        <f t="shared" si="5"/>
        <v>315.47273999999999</v>
      </c>
      <c r="M27" s="100">
        <f t="shared" si="5"/>
        <v>284.94312000000002</v>
      </c>
      <c r="N27" s="100">
        <f t="shared" si="5"/>
        <v>315.47273999999999</v>
      </c>
      <c r="O27" s="100">
        <f t="shared" si="5"/>
        <v>3378.9377999999997</v>
      </c>
    </row>
    <row r="29" spans="2:16" ht="15">
      <c r="B29" s="30" t="s">
        <v>476</v>
      </c>
      <c r="C29" s="74"/>
      <c r="D29" s="74"/>
      <c r="E29" s="74"/>
      <c r="F29" s="74"/>
      <c r="G29" s="74"/>
      <c r="H29" s="74"/>
      <c r="I29" s="41"/>
    </row>
    <row r="30" spans="2:16" ht="15">
      <c r="B30" s="30" t="s">
        <v>8</v>
      </c>
      <c r="C30" s="31"/>
      <c r="D30" s="31"/>
      <c r="O30" s="31" t="s">
        <v>140</v>
      </c>
    </row>
    <row r="31" spans="2:16" ht="15">
      <c r="B31" s="37" t="s">
        <v>373</v>
      </c>
      <c r="C31" s="37" t="s">
        <v>141</v>
      </c>
      <c r="D31" s="37" t="s">
        <v>142</v>
      </c>
      <c r="E31" s="93" t="s">
        <v>143</v>
      </c>
      <c r="F31" s="93" t="s">
        <v>144</v>
      </c>
      <c r="G31" s="93" t="s">
        <v>145</v>
      </c>
      <c r="H31" s="93" t="s">
        <v>146</v>
      </c>
      <c r="I31" s="93" t="s">
        <v>147</v>
      </c>
      <c r="J31" s="93" t="s">
        <v>148</v>
      </c>
      <c r="K31" s="93" t="s">
        <v>149</v>
      </c>
      <c r="L31" s="93" t="s">
        <v>150</v>
      </c>
      <c r="M31" s="93" t="s">
        <v>151</v>
      </c>
      <c r="N31" s="93" t="s">
        <v>152</v>
      </c>
      <c r="O31" s="93" t="s">
        <v>139</v>
      </c>
    </row>
    <row r="32" spans="2:16" ht="15">
      <c r="B32" s="72" t="s">
        <v>471</v>
      </c>
      <c r="C32" s="119">
        <v>195.805881</v>
      </c>
      <c r="D32" s="119">
        <v>202.33274369999998</v>
      </c>
      <c r="E32" s="119">
        <v>195.805881</v>
      </c>
      <c r="F32" s="119">
        <v>202.33274369999998</v>
      </c>
      <c r="G32" s="119">
        <v>202.33274369999998</v>
      </c>
      <c r="H32" s="119">
        <v>195.805881</v>
      </c>
      <c r="I32" s="119">
        <v>202.33274369999998</v>
      </c>
      <c r="J32" s="119">
        <v>195.805881</v>
      </c>
      <c r="K32" s="119">
        <v>202.33274369999998</v>
      </c>
      <c r="L32" s="119">
        <v>202.33274369999998</v>
      </c>
      <c r="M32" s="119">
        <v>182.75215559999995</v>
      </c>
      <c r="N32" s="119">
        <v>202.33274369999998</v>
      </c>
      <c r="O32" s="119">
        <f>SUM(C32:N32)</f>
        <v>2382.3048855000002</v>
      </c>
    </row>
    <row r="33" spans="2:15" ht="15">
      <c r="B33" s="72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</row>
    <row r="34" spans="2:15" ht="15">
      <c r="B34" s="72" t="s">
        <v>472</v>
      </c>
      <c r="C34" s="119">
        <v>81.736118999999988</v>
      </c>
      <c r="D34" s="119">
        <v>84.460656299999982</v>
      </c>
      <c r="E34" s="119">
        <v>81.736118999999988</v>
      </c>
      <c r="F34" s="119">
        <v>84.460656299999982</v>
      </c>
      <c r="G34" s="119">
        <v>84.460656299999982</v>
      </c>
      <c r="H34" s="119">
        <v>81.736118999999988</v>
      </c>
      <c r="I34" s="119">
        <v>84.460656299999982</v>
      </c>
      <c r="J34" s="119">
        <v>81.736118999999988</v>
      </c>
      <c r="K34" s="119">
        <v>84.460656299999982</v>
      </c>
      <c r="L34" s="119">
        <v>84.460656299999982</v>
      </c>
      <c r="M34" s="119">
        <v>76.287044399999971</v>
      </c>
      <c r="N34" s="119">
        <v>84.460656299999982</v>
      </c>
      <c r="O34" s="119">
        <f t="shared" ref="O34" si="6">SUM(C34:N34)</f>
        <v>994.4561144999999</v>
      </c>
    </row>
    <row r="35" spans="2:15" ht="15">
      <c r="B35" s="44" t="s">
        <v>139</v>
      </c>
      <c r="C35" s="100">
        <f>C32+C34</f>
        <v>277.54199999999997</v>
      </c>
      <c r="D35" s="100">
        <f t="shared" ref="D35:O35" si="7">D32+D34</f>
        <v>286.79339999999996</v>
      </c>
      <c r="E35" s="100">
        <f t="shared" si="7"/>
        <v>277.54199999999997</v>
      </c>
      <c r="F35" s="100">
        <f t="shared" si="7"/>
        <v>286.79339999999996</v>
      </c>
      <c r="G35" s="100">
        <f t="shared" si="7"/>
        <v>286.79339999999996</v>
      </c>
      <c r="H35" s="100">
        <f t="shared" si="7"/>
        <v>277.54199999999997</v>
      </c>
      <c r="I35" s="100">
        <f t="shared" si="7"/>
        <v>286.79339999999996</v>
      </c>
      <c r="J35" s="100">
        <f t="shared" si="7"/>
        <v>277.54199999999997</v>
      </c>
      <c r="K35" s="100">
        <f t="shared" si="7"/>
        <v>286.79339999999996</v>
      </c>
      <c r="L35" s="100">
        <f t="shared" si="7"/>
        <v>286.79339999999996</v>
      </c>
      <c r="M35" s="100">
        <f t="shared" si="7"/>
        <v>259.03919999999994</v>
      </c>
      <c r="N35" s="100">
        <f t="shared" si="7"/>
        <v>286.79339999999996</v>
      </c>
      <c r="O35" s="100">
        <f t="shared" si="7"/>
        <v>3376.761</v>
      </c>
    </row>
    <row r="37" spans="2:15" ht="15">
      <c r="B37" s="30" t="s">
        <v>477</v>
      </c>
      <c r="C37" s="74"/>
      <c r="D37" s="74"/>
      <c r="E37" s="74"/>
      <c r="F37" s="74"/>
      <c r="G37" s="74"/>
      <c r="H37" s="74"/>
      <c r="I37" s="41"/>
    </row>
    <row r="38" spans="2:15" ht="15">
      <c r="B38" s="30" t="s">
        <v>8</v>
      </c>
      <c r="C38" s="31"/>
      <c r="D38" s="31"/>
      <c r="O38" s="31" t="s">
        <v>140</v>
      </c>
    </row>
    <row r="39" spans="2:15" ht="15">
      <c r="B39" s="37" t="s">
        <v>373</v>
      </c>
      <c r="C39" s="37" t="s">
        <v>141</v>
      </c>
      <c r="D39" s="37" t="s">
        <v>142</v>
      </c>
      <c r="E39" s="93" t="s">
        <v>143</v>
      </c>
      <c r="F39" s="93" t="s">
        <v>144</v>
      </c>
      <c r="G39" s="93" t="s">
        <v>145</v>
      </c>
      <c r="H39" s="93" t="s">
        <v>146</v>
      </c>
      <c r="I39" s="93" t="s">
        <v>147</v>
      </c>
      <c r="J39" s="93" t="s">
        <v>148</v>
      </c>
      <c r="K39" s="93" t="s">
        <v>149</v>
      </c>
      <c r="L39" s="93" t="s">
        <v>150</v>
      </c>
      <c r="M39" s="93" t="s">
        <v>151</v>
      </c>
      <c r="N39" s="93" t="s">
        <v>152</v>
      </c>
      <c r="O39" s="93" t="s">
        <v>139</v>
      </c>
    </row>
    <row r="40" spans="2:15" ht="15">
      <c r="B40" s="72" t="s">
        <v>471</v>
      </c>
      <c r="C40" s="119">
        <v>215.3864691</v>
      </c>
      <c r="D40" s="119">
        <v>222.56601806999998</v>
      </c>
      <c r="E40" s="119">
        <v>103.66193699999999</v>
      </c>
      <c r="F40" s="119">
        <v>111.41738562</v>
      </c>
      <c r="G40" s="119">
        <v>208.74442647000004</v>
      </c>
      <c r="H40" s="119">
        <v>215.3864691</v>
      </c>
      <c r="I40" s="119">
        <v>222.56601806999998</v>
      </c>
      <c r="J40" s="119">
        <v>215.3864691</v>
      </c>
      <c r="K40" s="119">
        <v>222.56601806999998</v>
      </c>
      <c r="L40" s="119">
        <v>222.56601806999998</v>
      </c>
      <c r="M40" s="119">
        <v>201.02737116000003</v>
      </c>
      <c r="N40" s="119">
        <v>222.56601806999998</v>
      </c>
      <c r="O40" s="119">
        <f>SUM(C40:N40)</f>
        <v>2383.8406178999999</v>
      </c>
    </row>
    <row r="41" spans="2:15" ht="15">
      <c r="B41" s="72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</row>
    <row r="42" spans="2:15" ht="15">
      <c r="B42" s="72" t="s">
        <v>472</v>
      </c>
      <c r="C42" s="119">
        <v>89.9097309</v>
      </c>
      <c r="D42" s="119">
        <v>92.906721929999989</v>
      </c>
      <c r="E42" s="119">
        <v>43.272062999999996</v>
      </c>
      <c r="F42" s="119">
        <v>46.509454379999994</v>
      </c>
      <c r="G42" s="119">
        <v>87.137113530000008</v>
      </c>
      <c r="H42" s="119">
        <v>89.9097309</v>
      </c>
      <c r="I42" s="119">
        <v>92.906721929999989</v>
      </c>
      <c r="J42" s="119">
        <v>89.9097309</v>
      </c>
      <c r="K42" s="119">
        <v>92.906721929999989</v>
      </c>
      <c r="L42" s="119">
        <v>92.906721929999989</v>
      </c>
      <c r="M42" s="119">
        <v>83.915748840000006</v>
      </c>
      <c r="N42" s="119">
        <v>92.906721929999989</v>
      </c>
      <c r="O42" s="119">
        <f t="shared" ref="O42" si="8">SUM(C42:N42)</f>
        <v>995.09718209999994</v>
      </c>
    </row>
    <row r="43" spans="2:15" ht="15">
      <c r="B43" s="44" t="s">
        <v>139</v>
      </c>
      <c r="C43" s="100">
        <f>C40+C42</f>
        <v>305.2962</v>
      </c>
      <c r="D43" s="100">
        <f t="shared" ref="D43:O43" si="9">D40+D42</f>
        <v>315.47273999999999</v>
      </c>
      <c r="E43" s="100">
        <f t="shared" si="9"/>
        <v>146.934</v>
      </c>
      <c r="F43" s="100">
        <f t="shared" si="9"/>
        <v>157.92684</v>
      </c>
      <c r="G43" s="100">
        <f t="shared" si="9"/>
        <v>295.88154000000003</v>
      </c>
      <c r="H43" s="100">
        <f t="shared" si="9"/>
        <v>305.2962</v>
      </c>
      <c r="I43" s="100">
        <f t="shared" si="9"/>
        <v>315.47273999999999</v>
      </c>
      <c r="J43" s="100">
        <f t="shared" si="9"/>
        <v>305.2962</v>
      </c>
      <c r="K43" s="100">
        <f t="shared" si="9"/>
        <v>315.47273999999999</v>
      </c>
      <c r="L43" s="100">
        <f t="shared" si="9"/>
        <v>315.47273999999999</v>
      </c>
      <c r="M43" s="100">
        <f t="shared" si="9"/>
        <v>284.94312000000002</v>
      </c>
      <c r="N43" s="100">
        <f t="shared" si="9"/>
        <v>315.47273999999999</v>
      </c>
      <c r="O43" s="100">
        <f t="shared" si="9"/>
        <v>3378.9377999999997</v>
      </c>
    </row>
    <row r="45" spans="2:15" ht="15">
      <c r="B45" s="30" t="s">
        <v>478</v>
      </c>
      <c r="C45" s="74"/>
      <c r="D45" s="74"/>
      <c r="E45" s="74"/>
      <c r="F45" s="74"/>
      <c r="G45" s="74"/>
      <c r="H45" s="74"/>
      <c r="I45" s="41"/>
    </row>
    <row r="46" spans="2:15" ht="15">
      <c r="B46" s="30" t="s">
        <v>8</v>
      </c>
      <c r="C46" s="31"/>
      <c r="D46" s="31"/>
      <c r="O46" s="31" t="s">
        <v>140</v>
      </c>
    </row>
    <row r="47" spans="2:15" ht="15">
      <c r="B47" s="37" t="s">
        <v>373</v>
      </c>
      <c r="C47" s="37" t="s">
        <v>141</v>
      </c>
      <c r="D47" s="37" t="s">
        <v>142</v>
      </c>
      <c r="E47" s="93" t="s">
        <v>143</v>
      </c>
      <c r="F47" s="93" t="s">
        <v>144</v>
      </c>
      <c r="G47" s="93" t="s">
        <v>145</v>
      </c>
      <c r="H47" s="93" t="s">
        <v>146</v>
      </c>
      <c r="I47" s="93" t="s">
        <v>147</v>
      </c>
      <c r="J47" s="93" t="s">
        <v>148</v>
      </c>
      <c r="K47" s="93" t="s">
        <v>149</v>
      </c>
      <c r="L47" s="93" t="s">
        <v>150</v>
      </c>
      <c r="M47" s="93" t="s">
        <v>151</v>
      </c>
      <c r="N47" s="93" t="s">
        <v>152</v>
      </c>
      <c r="O47" s="93" t="s">
        <v>139</v>
      </c>
    </row>
    <row r="48" spans="2:15" ht="15">
      <c r="B48" s="72" t="s">
        <v>471</v>
      </c>
      <c r="C48" s="119">
        <v>195.805881</v>
      </c>
      <c r="D48" s="119">
        <v>202.33274369999998</v>
      </c>
      <c r="E48" s="119">
        <v>195.805881</v>
      </c>
      <c r="F48" s="119">
        <v>202.33274369999998</v>
      </c>
      <c r="G48" s="119">
        <v>202.33274369999998</v>
      </c>
      <c r="H48" s="119">
        <v>195.805881</v>
      </c>
      <c r="I48" s="119">
        <v>202.33274369999998</v>
      </c>
      <c r="J48" s="119">
        <v>195.805881</v>
      </c>
      <c r="K48" s="119">
        <v>202.33274369999998</v>
      </c>
      <c r="L48" s="119">
        <v>202.33274369999998</v>
      </c>
      <c r="M48" s="119">
        <v>189.27901829999999</v>
      </c>
      <c r="N48" s="119">
        <v>202.33274369999998</v>
      </c>
      <c r="O48" s="119">
        <f>SUM(C48:N48)</f>
        <v>2388.8317482000002</v>
      </c>
    </row>
    <row r="49" spans="2:15" ht="15">
      <c r="B49" s="72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2:15" ht="15">
      <c r="B50" s="72" t="s">
        <v>472</v>
      </c>
      <c r="C50" s="119">
        <v>81.736118999999988</v>
      </c>
      <c r="D50" s="119">
        <v>84.460656299999982</v>
      </c>
      <c r="E50" s="119">
        <v>81.736118999999988</v>
      </c>
      <c r="F50" s="119">
        <v>84.460656299999982</v>
      </c>
      <c r="G50" s="119">
        <v>84.460656299999982</v>
      </c>
      <c r="H50" s="119">
        <v>81.736118999999988</v>
      </c>
      <c r="I50" s="119">
        <v>84.460656299999982</v>
      </c>
      <c r="J50" s="119">
        <v>81.736118999999988</v>
      </c>
      <c r="K50" s="119">
        <v>84.460656299999982</v>
      </c>
      <c r="L50" s="119">
        <v>84.460656299999982</v>
      </c>
      <c r="M50" s="119">
        <v>79.011581699999994</v>
      </c>
      <c r="N50" s="119">
        <v>84.460656299999982</v>
      </c>
      <c r="O50" s="119">
        <f t="shared" ref="O50" si="10">SUM(C50:N50)</f>
        <v>997.18065179999985</v>
      </c>
    </row>
    <row r="51" spans="2:15" ht="15">
      <c r="B51" s="44" t="s">
        <v>139</v>
      </c>
      <c r="C51" s="100">
        <f>C48+C50</f>
        <v>277.54199999999997</v>
      </c>
      <c r="D51" s="100">
        <f t="shared" ref="D51:O51" si="11">D48+D50</f>
        <v>286.79339999999996</v>
      </c>
      <c r="E51" s="100">
        <f t="shared" si="11"/>
        <v>277.54199999999997</v>
      </c>
      <c r="F51" s="100">
        <f t="shared" si="11"/>
        <v>286.79339999999996</v>
      </c>
      <c r="G51" s="100">
        <f t="shared" si="11"/>
        <v>286.79339999999996</v>
      </c>
      <c r="H51" s="100">
        <f t="shared" si="11"/>
        <v>277.54199999999997</v>
      </c>
      <c r="I51" s="100">
        <f t="shared" si="11"/>
        <v>286.79339999999996</v>
      </c>
      <c r="J51" s="100">
        <f t="shared" si="11"/>
        <v>277.54199999999997</v>
      </c>
      <c r="K51" s="100">
        <f t="shared" si="11"/>
        <v>286.79339999999996</v>
      </c>
      <c r="L51" s="100">
        <f t="shared" si="11"/>
        <v>286.79339999999996</v>
      </c>
      <c r="M51" s="100">
        <f t="shared" si="11"/>
        <v>268.29059999999998</v>
      </c>
      <c r="N51" s="100">
        <f t="shared" si="11"/>
        <v>286.79339999999996</v>
      </c>
      <c r="O51" s="100">
        <f t="shared" si="11"/>
        <v>3386.0124000000001</v>
      </c>
    </row>
    <row r="53" spans="2:15" ht="15">
      <c r="B53" s="30" t="s">
        <v>479</v>
      </c>
      <c r="C53" s="74"/>
      <c r="D53" s="74"/>
      <c r="E53" s="74"/>
      <c r="F53" s="74"/>
      <c r="G53" s="74"/>
      <c r="H53" s="74"/>
      <c r="I53" s="41"/>
    </row>
    <row r="54" spans="2:15" ht="15">
      <c r="B54" s="30" t="s">
        <v>8</v>
      </c>
      <c r="C54" s="31"/>
      <c r="D54" s="31"/>
      <c r="O54" s="31" t="s">
        <v>140</v>
      </c>
    </row>
    <row r="55" spans="2:15" ht="15">
      <c r="B55" s="37" t="s">
        <v>373</v>
      </c>
      <c r="C55" s="37" t="s">
        <v>141</v>
      </c>
      <c r="D55" s="37" t="s">
        <v>142</v>
      </c>
      <c r="E55" s="93" t="s">
        <v>143</v>
      </c>
      <c r="F55" s="93" t="s">
        <v>144</v>
      </c>
      <c r="G55" s="93" t="s">
        <v>145</v>
      </c>
      <c r="H55" s="93" t="s">
        <v>146</v>
      </c>
      <c r="I55" s="93" t="s">
        <v>147</v>
      </c>
      <c r="J55" s="93" t="s">
        <v>148</v>
      </c>
      <c r="K55" s="93" t="s">
        <v>149</v>
      </c>
      <c r="L55" s="93" t="s">
        <v>150</v>
      </c>
      <c r="M55" s="93" t="s">
        <v>151</v>
      </c>
      <c r="N55" s="93" t="s">
        <v>152</v>
      </c>
      <c r="O55" s="93" t="s">
        <v>139</v>
      </c>
    </row>
    <row r="56" spans="2:15" ht="15">
      <c r="B56" s="72" t="s">
        <v>471</v>
      </c>
      <c r="C56" s="119">
        <v>207.32387399999999</v>
      </c>
      <c r="D56" s="119">
        <v>214.23466980000003</v>
      </c>
      <c r="E56" s="119">
        <v>103.66193699999999</v>
      </c>
      <c r="F56" s="119">
        <v>179.68069080000001</v>
      </c>
      <c r="G56" s="119">
        <v>214.23466980000003</v>
      </c>
      <c r="H56" s="119">
        <v>207.32387399999999</v>
      </c>
      <c r="I56" s="119">
        <v>214.23466980000003</v>
      </c>
      <c r="J56" s="119">
        <v>207.32387399999999</v>
      </c>
      <c r="K56" s="119">
        <v>214.23466980000003</v>
      </c>
      <c r="L56" s="119">
        <v>214.23466980000003</v>
      </c>
      <c r="M56" s="119">
        <v>193.50228240000004</v>
      </c>
      <c r="N56" s="119">
        <v>214.23466980000003</v>
      </c>
      <c r="O56" s="119">
        <f>SUM(C56:N56)</f>
        <v>2384.2245510000007</v>
      </c>
    </row>
    <row r="57" spans="2:15" ht="15">
      <c r="B57" s="72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</row>
    <row r="58" spans="2:15" ht="15">
      <c r="B58" s="72" t="s">
        <v>472</v>
      </c>
      <c r="C58" s="119">
        <v>86.544125999999991</v>
      </c>
      <c r="D58" s="119">
        <v>89.428930200000011</v>
      </c>
      <c r="E58" s="119">
        <v>43.272062999999996</v>
      </c>
      <c r="F58" s="119">
        <v>75.0049092</v>
      </c>
      <c r="G58" s="119">
        <v>89.428930200000011</v>
      </c>
      <c r="H58" s="119">
        <v>86.544125999999991</v>
      </c>
      <c r="I58" s="119">
        <v>89.428930200000011</v>
      </c>
      <c r="J58" s="119">
        <v>86.544125999999991</v>
      </c>
      <c r="K58" s="119">
        <v>89.428930200000011</v>
      </c>
      <c r="L58" s="119">
        <v>89.428930200000011</v>
      </c>
      <c r="M58" s="119">
        <v>80.77451760000001</v>
      </c>
      <c r="N58" s="119">
        <v>89.428930200000011</v>
      </c>
      <c r="O58" s="119">
        <f t="shared" ref="O58" si="12">SUM(C58:N58)</f>
        <v>995.25744899999995</v>
      </c>
    </row>
    <row r="59" spans="2:15" ht="15">
      <c r="B59" s="44" t="s">
        <v>139</v>
      </c>
      <c r="C59" s="100">
        <f>C56+C58</f>
        <v>293.86799999999999</v>
      </c>
      <c r="D59" s="100">
        <f t="shared" ref="D59:O59" si="13">D56+D58</f>
        <v>303.66360000000003</v>
      </c>
      <c r="E59" s="100">
        <f t="shared" si="13"/>
        <v>146.934</v>
      </c>
      <c r="F59" s="100">
        <f t="shared" si="13"/>
        <v>254.68560000000002</v>
      </c>
      <c r="G59" s="100">
        <f t="shared" si="13"/>
        <v>303.66360000000003</v>
      </c>
      <c r="H59" s="100">
        <f t="shared" si="13"/>
        <v>293.86799999999999</v>
      </c>
      <c r="I59" s="100">
        <f t="shared" si="13"/>
        <v>303.66360000000003</v>
      </c>
      <c r="J59" s="100">
        <f t="shared" si="13"/>
        <v>293.86799999999999</v>
      </c>
      <c r="K59" s="100">
        <f t="shared" si="13"/>
        <v>303.66360000000003</v>
      </c>
      <c r="L59" s="100">
        <f t="shared" si="13"/>
        <v>303.66360000000003</v>
      </c>
      <c r="M59" s="100">
        <f t="shared" si="13"/>
        <v>274.27680000000004</v>
      </c>
      <c r="N59" s="100">
        <f t="shared" si="13"/>
        <v>303.66360000000003</v>
      </c>
      <c r="O59" s="100">
        <f t="shared" si="13"/>
        <v>3379.4820000000009</v>
      </c>
    </row>
  </sheetData>
  <mergeCells count="6">
    <mergeCell ref="B14:B15"/>
    <mergeCell ref="I14:N14"/>
    <mergeCell ref="C14:H14"/>
    <mergeCell ref="B1:O1"/>
    <mergeCell ref="B2:O2"/>
    <mergeCell ref="B3:O3"/>
  </mergeCells>
  <pageMargins left="0" right="0" top="0" bottom="0" header="0.25" footer="0.05"/>
  <pageSetup paperSize="9" scale="6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9"/>
  <sheetViews>
    <sheetView showGridLines="0" zoomScale="80" zoomScaleNormal="80" zoomScaleSheetLayoutView="70" workbookViewId="0">
      <selection activeCell="E26" sqref="E26"/>
    </sheetView>
  </sheetViews>
  <sheetFormatPr defaultColWidth="9.28515625" defaultRowHeight="14.25"/>
  <cols>
    <col min="1" max="1" width="3.28515625" style="19" customWidth="1"/>
    <col min="2" max="2" width="29.42578125" style="19" customWidth="1"/>
    <col min="3" max="3" width="18.5703125" style="19" customWidth="1"/>
    <col min="4" max="4" width="14.42578125" style="19" customWidth="1"/>
    <col min="5" max="5" width="20.7109375" style="19" customWidth="1"/>
    <col min="6" max="6" width="19.7109375" style="19" customWidth="1"/>
    <col min="7" max="9" width="12.5703125" style="19" customWidth="1"/>
    <col min="10" max="10" width="18.28515625" style="19" customWidth="1"/>
    <col min="11" max="11" width="15.42578125" style="19" customWidth="1"/>
    <col min="12" max="12" width="21.5703125" style="19" customWidth="1"/>
    <col min="13" max="14" width="12.5703125" style="19" customWidth="1"/>
    <col min="15" max="16384" width="9.28515625" style="19"/>
  </cols>
  <sheetData>
    <row r="1" spans="2:14" s="5" customFormat="1" ht="15">
      <c r="B1" s="92"/>
    </row>
    <row r="2" spans="2:14" s="5" customFormat="1" ht="15" customHeight="1">
      <c r="B2" s="372" t="s">
        <v>511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</row>
    <row r="3" spans="2:14" s="5" customFormat="1" ht="15" customHeight="1">
      <c r="B3" s="372" t="s">
        <v>467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</row>
    <row r="4" spans="2:14" ht="14.25" customHeight="1">
      <c r="B4" s="376" t="s">
        <v>377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</row>
    <row r="5" spans="2:14" ht="15">
      <c r="B5" s="30" t="s">
        <v>495</v>
      </c>
    </row>
    <row r="6" spans="2:14" ht="15">
      <c r="B6" s="30" t="s">
        <v>12</v>
      </c>
      <c r="N6" s="42" t="s">
        <v>4</v>
      </c>
    </row>
    <row r="7" spans="2:14" s="61" customFormat="1" ht="45.75" customHeight="1">
      <c r="B7" s="363" t="s">
        <v>373</v>
      </c>
      <c r="C7" s="370" t="s">
        <v>155</v>
      </c>
      <c r="D7" s="370"/>
      <c r="E7" s="370"/>
      <c r="F7" s="370"/>
      <c r="G7" s="392" t="s">
        <v>156</v>
      </c>
      <c r="H7" s="392"/>
      <c r="I7" s="392"/>
      <c r="J7" s="392" t="s">
        <v>157</v>
      </c>
      <c r="K7" s="392"/>
      <c r="L7" s="392"/>
      <c r="M7" s="392"/>
      <c r="N7" s="392"/>
    </row>
    <row r="8" spans="2:14" ht="45">
      <c r="B8" s="371"/>
      <c r="C8" s="37" t="s">
        <v>180</v>
      </c>
      <c r="D8" s="37" t="s">
        <v>178</v>
      </c>
      <c r="E8" s="37" t="s">
        <v>247</v>
      </c>
      <c r="F8" s="37" t="s">
        <v>179</v>
      </c>
      <c r="G8" s="37" t="s">
        <v>158</v>
      </c>
      <c r="H8" s="37" t="s">
        <v>248</v>
      </c>
      <c r="I8" s="37" t="s">
        <v>159</v>
      </c>
      <c r="J8" s="37" t="s">
        <v>160</v>
      </c>
      <c r="K8" s="37" t="s">
        <v>161</v>
      </c>
      <c r="L8" s="37" t="s">
        <v>249</v>
      </c>
      <c r="M8" s="37" t="s">
        <v>250</v>
      </c>
      <c r="N8" s="29" t="s">
        <v>139</v>
      </c>
    </row>
    <row r="9" spans="2:14" ht="15"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29"/>
    </row>
    <row r="10" spans="2:14" ht="15">
      <c r="B10" s="72" t="s">
        <v>374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2:14" ht="15">
      <c r="B11" s="7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2:14" ht="15">
      <c r="B12" s="72" t="s">
        <v>375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2:14">
      <c r="B13" s="4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2:14" ht="15">
      <c r="B14" s="72" t="s">
        <v>376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2:14">
      <c r="B15" s="70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2:14" ht="15">
      <c r="B16" s="72" t="s">
        <v>9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4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2:14" ht="15">
      <c r="B18" s="72" t="s">
        <v>139</v>
      </c>
      <c r="C18" s="99">
        <f>C10+C12+C14</f>
        <v>0</v>
      </c>
      <c r="D18" s="99">
        <f>D10+D12+D14</f>
        <v>0</v>
      </c>
      <c r="E18" s="99">
        <f>E10+E12+E14</f>
        <v>0</v>
      </c>
      <c r="F18" s="99">
        <f>F10+F12+F14</f>
        <v>0</v>
      </c>
      <c r="G18" s="99">
        <f>G10+G12+G14</f>
        <v>0</v>
      </c>
      <c r="H18" s="3"/>
      <c r="I18" s="3"/>
      <c r="J18" s="99">
        <f>J10+J12+J14</f>
        <v>0</v>
      </c>
      <c r="K18" s="99">
        <f>K10+K12+K14</f>
        <v>0</v>
      </c>
      <c r="L18" s="99">
        <f>L10+L12+L14</f>
        <v>0</v>
      </c>
      <c r="M18" s="99">
        <f>M10+M12+M14</f>
        <v>0</v>
      </c>
      <c r="N18" s="99">
        <f>N10+N12+N14</f>
        <v>0</v>
      </c>
    </row>
    <row r="19" spans="2:14" ht="15">
      <c r="B19" s="42"/>
    </row>
  </sheetData>
  <mergeCells count="7">
    <mergeCell ref="B7:B8"/>
    <mergeCell ref="C7:F7"/>
    <mergeCell ref="G7:I7"/>
    <mergeCell ref="J7:N7"/>
    <mergeCell ref="B2:N2"/>
    <mergeCell ref="B3:N3"/>
    <mergeCell ref="B4:N4"/>
  </mergeCells>
  <pageMargins left="0" right="0" top="0" bottom="0" header="0.25" footer="0.25"/>
  <pageSetup paperSize="9" scale="66" fitToHeight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29"/>
  <sheetViews>
    <sheetView showGridLines="0" zoomScale="131" zoomScaleNormal="131" workbookViewId="0">
      <selection activeCell="B2" sqref="B2:Q2"/>
    </sheetView>
  </sheetViews>
  <sheetFormatPr defaultColWidth="9.28515625" defaultRowHeight="12.75"/>
  <cols>
    <col min="1" max="1" width="2.42578125" style="225" customWidth="1"/>
    <col min="2" max="2" width="5" style="225" customWidth="1"/>
    <col min="3" max="3" width="30" style="224" customWidth="1"/>
    <col min="4" max="4" width="13" style="225" customWidth="1"/>
    <col min="5" max="16" width="7" style="225" customWidth="1"/>
    <col min="17" max="17" width="7.85546875" style="243" customWidth="1"/>
    <col min="18" max="16384" width="9.28515625" style="225"/>
  </cols>
  <sheetData>
    <row r="1" spans="2:17" s="222" customFormat="1" ht="15" customHeight="1">
      <c r="B1" s="409" t="s">
        <v>511</v>
      </c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</row>
    <row r="2" spans="2:17" s="222" customFormat="1" ht="15" customHeight="1">
      <c r="B2" s="409" t="s">
        <v>467</v>
      </c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09"/>
      <c r="P2" s="409"/>
      <c r="Q2" s="409"/>
    </row>
    <row r="3" spans="2:17">
      <c r="B3" s="223" t="s">
        <v>496</v>
      </c>
      <c r="I3" s="226" t="s">
        <v>380</v>
      </c>
    </row>
    <row r="4" spans="2:17">
      <c r="B4" s="227" t="s">
        <v>12</v>
      </c>
    </row>
    <row r="5" spans="2:17" ht="25.5">
      <c r="B5" s="228" t="s">
        <v>209</v>
      </c>
      <c r="C5" s="228" t="s">
        <v>18</v>
      </c>
      <c r="D5" s="228" t="s">
        <v>39</v>
      </c>
      <c r="E5" s="229" t="s">
        <v>141</v>
      </c>
      <c r="F5" s="229" t="s">
        <v>142</v>
      </c>
      <c r="G5" s="230" t="s">
        <v>143</v>
      </c>
      <c r="H5" s="230" t="s">
        <v>144</v>
      </c>
      <c r="I5" s="230" t="s">
        <v>145</v>
      </c>
      <c r="J5" s="230" t="s">
        <v>146</v>
      </c>
      <c r="K5" s="230" t="s">
        <v>147</v>
      </c>
      <c r="L5" s="230" t="s">
        <v>148</v>
      </c>
      <c r="M5" s="230" t="s">
        <v>149</v>
      </c>
      <c r="N5" s="230" t="s">
        <v>150</v>
      </c>
      <c r="O5" s="230" t="s">
        <v>151</v>
      </c>
      <c r="P5" s="230" t="s">
        <v>152</v>
      </c>
      <c r="Q5" s="244" t="s">
        <v>139</v>
      </c>
    </row>
    <row r="6" spans="2:17">
      <c r="B6" s="231">
        <v>1</v>
      </c>
      <c r="C6" s="232" t="s">
        <v>184</v>
      </c>
      <c r="D6" s="231" t="s">
        <v>42</v>
      </c>
      <c r="E6" s="238">
        <v>80</v>
      </c>
      <c r="F6" s="238">
        <v>80</v>
      </c>
      <c r="G6" s="238">
        <v>80</v>
      </c>
      <c r="H6" s="238">
        <v>80</v>
      </c>
      <c r="I6" s="238">
        <v>80</v>
      </c>
      <c r="J6" s="238">
        <v>80</v>
      </c>
      <c r="K6" s="238">
        <v>80</v>
      </c>
      <c r="L6" s="238">
        <v>80</v>
      </c>
      <c r="M6" s="238">
        <v>80</v>
      </c>
      <c r="N6" s="238">
        <v>80</v>
      </c>
      <c r="O6" s="238">
        <v>80</v>
      </c>
      <c r="P6" s="238">
        <v>80</v>
      </c>
      <c r="Q6" s="238">
        <v>80</v>
      </c>
    </row>
    <row r="7" spans="2:17">
      <c r="B7" s="231">
        <f>B6+1</f>
        <v>2</v>
      </c>
      <c r="C7" s="232" t="s">
        <v>210</v>
      </c>
      <c r="D7" s="231" t="s">
        <v>42</v>
      </c>
      <c r="E7" s="238">
        <v>93.84</v>
      </c>
      <c r="F7" s="238">
        <v>92.88</v>
      </c>
      <c r="G7" s="238">
        <v>83.44</v>
      </c>
      <c r="H7" s="238">
        <v>39.090000000000003</v>
      </c>
      <c r="I7" s="238">
        <v>70.98</v>
      </c>
      <c r="J7" s="238">
        <v>85.64</v>
      </c>
      <c r="K7" s="238">
        <v>83.08</v>
      </c>
      <c r="L7" s="238">
        <v>81.05</v>
      </c>
      <c r="M7" s="238">
        <v>89.08</v>
      </c>
      <c r="N7" s="238">
        <v>92.48</v>
      </c>
      <c r="O7" s="238">
        <v>89.56</v>
      </c>
      <c r="P7" s="238">
        <v>87.27</v>
      </c>
      <c r="Q7" s="238">
        <v>82.26</v>
      </c>
    </row>
    <row r="8" spans="2:17">
      <c r="B8" s="231">
        <f t="shared" ref="B8:B24" si="0">B7+1</f>
        <v>3</v>
      </c>
      <c r="C8" s="232" t="s">
        <v>211</v>
      </c>
      <c r="D8" s="231" t="s">
        <v>42</v>
      </c>
      <c r="E8" s="238">
        <v>93.84</v>
      </c>
      <c r="F8" s="238">
        <v>93.35</v>
      </c>
      <c r="G8" s="238">
        <v>90.08</v>
      </c>
      <c r="H8" s="238">
        <v>77.13</v>
      </c>
      <c r="I8" s="238">
        <v>75.88</v>
      </c>
      <c r="J8" s="238">
        <v>77.48</v>
      </c>
      <c r="K8" s="238">
        <v>78.290000000000006</v>
      </c>
      <c r="L8" s="238">
        <v>78.63</v>
      </c>
      <c r="M8" s="238">
        <v>79.81</v>
      </c>
      <c r="N8" s="238">
        <v>81.09</v>
      </c>
      <c r="O8" s="238">
        <v>81.8</v>
      </c>
      <c r="P8" s="238">
        <v>82.27</v>
      </c>
      <c r="Q8" s="238"/>
    </row>
    <row r="9" spans="2:17">
      <c r="B9" s="231">
        <f t="shared" si="0"/>
        <v>4</v>
      </c>
      <c r="C9" s="232" t="s">
        <v>43</v>
      </c>
      <c r="D9" s="231" t="s">
        <v>42</v>
      </c>
      <c r="E9" s="238">
        <v>80</v>
      </c>
      <c r="F9" s="238">
        <v>80</v>
      </c>
      <c r="G9" s="238">
        <v>80</v>
      </c>
      <c r="H9" s="238">
        <v>80</v>
      </c>
      <c r="I9" s="238">
        <v>80</v>
      </c>
      <c r="J9" s="238">
        <v>80</v>
      </c>
      <c r="K9" s="238">
        <v>80</v>
      </c>
      <c r="L9" s="238">
        <v>80</v>
      </c>
      <c r="M9" s="238">
        <v>80</v>
      </c>
      <c r="N9" s="238">
        <v>80</v>
      </c>
      <c r="O9" s="238">
        <v>80</v>
      </c>
      <c r="P9" s="238">
        <v>80</v>
      </c>
      <c r="Q9" s="238">
        <v>80</v>
      </c>
    </row>
    <row r="10" spans="2:17">
      <c r="B10" s="231">
        <f t="shared" si="0"/>
        <v>5</v>
      </c>
      <c r="C10" s="232" t="s">
        <v>212</v>
      </c>
      <c r="D10" s="231" t="s">
        <v>42</v>
      </c>
      <c r="E10" s="238">
        <v>92.92</v>
      </c>
      <c r="F10" s="238">
        <v>90.64</v>
      </c>
      <c r="G10" s="238">
        <v>84.08</v>
      </c>
      <c r="H10" s="238">
        <v>40.22</v>
      </c>
      <c r="I10" s="238">
        <v>69.37</v>
      </c>
      <c r="J10" s="238">
        <v>83.69</v>
      </c>
      <c r="K10" s="238">
        <v>78.78</v>
      </c>
      <c r="L10" s="238">
        <v>80.709999999999994</v>
      </c>
      <c r="M10" s="238">
        <v>86.05</v>
      </c>
      <c r="N10" s="238">
        <v>89.16</v>
      </c>
      <c r="O10" s="238">
        <v>90.47</v>
      </c>
      <c r="P10" s="238">
        <v>88.51</v>
      </c>
      <c r="Q10" s="238"/>
    </row>
    <row r="11" spans="2:17">
      <c r="B11" s="231">
        <f t="shared" si="0"/>
        <v>6</v>
      </c>
      <c r="C11" s="232" t="s">
        <v>213</v>
      </c>
      <c r="D11" s="231" t="s">
        <v>42</v>
      </c>
      <c r="E11" s="238">
        <v>92.92</v>
      </c>
      <c r="F11" s="238">
        <v>91.76</v>
      </c>
      <c r="G11" s="238">
        <v>89.23</v>
      </c>
      <c r="H11" s="238">
        <v>76.78</v>
      </c>
      <c r="I11" s="238">
        <v>75.28</v>
      </c>
      <c r="J11" s="238">
        <v>76.650000000000006</v>
      </c>
      <c r="K11" s="238">
        <v>76.959999999999994</v>
      </c>
      <c r="L11" s="238">
        <v>77.42</v>
      </c>
      <c r="M11" s="238">
        <v>78.400000000000006</v>
      </c>
      <c r="N11" s="238">
        <v>79.489999999999995</v>
      </c>
      <c r="O11" s="238">
        <v>80.41</v>
      </c>
      <c r="P11" s="238">
        <v>81.099999999999994</v>
      </c>
      <c r="Q11" s="238"/>
    </row>
    <row r="12" spans="2:17">
      <c r="B12" s="231">
        <f t="shared" si="0"/>
        <v>7</v>
      </c>
      <c r="C12" s="233" t="s">
        <v>214</v>
      </c>
      <c r="D12" s="234" t="s">
        <v>45</v>
      </c>
      <c r="E12" s="238">
        <v>334.50400000000002</v>
      </c>
      <c r="F12" s="238">
        <v>337.18599999999998</v>
      </c>
      <c r="G12" s="238">
        <v>302.68599999999998</v>
      </c>
      <c r="H12" s="238">
        <v>149.62799999999999</v>
      </c>
      <c r="I12" s="238">
        <v>258.05200000000002</v>
      </c>
      <c r="J12" s="238">
        <v>301.27999999999997</v>
      </c>
      <c r="K12" s="238">
        <v>293.04399999999998</v>
      </c>
      <c r="L12" s="238">
        <v>290.56200000000001</v>
      </c>
      <c r="M12" s="238">
        <v>320.10399999999998</v>
      </c>
      <c r="N12" s="238">
        <v>331.66199999999998</v>
      </c>
      <c r="O12" s="238">
        <v>303.988</v>
      </c>
      <c r="P12" s="238">
        <v>329.27199999999999</v>
      </c>
      <c r="Q12" s="238">
        <f>SUM(E12:P12)</f>
        <v>3551.9679999999994</v>
      </c>
    </row>
    <row r="13" spans="2:17">
      <c r="B13" s="231">
        <f t="shared" si="0"/>
        <v>8</v>
      </c>
      <c r="C13" s="233" t="s">
        <v>215</v>
      </c>
      <c r="D13" s="234" t="s">
        <v>45</v>
      </c>
      <c r="E13" s="238">
        <v>33.582949999999997</v>
      </c>
      <c r="F13" s="238">
        <v>34.394535999999285</v>
      </c>
      <c r="G13" s="238">
        <v>31.5685</v>
      </c>
      <c r="H13" s="238">
        <v>18.585799999999999</v>
      </c>
      <c r="I13" s="238">
        <v>29.450350000000029</v>
      </c>
      <c r="J13" s="238">
        <v>32.094799999999999</v>
      </c>
      <c r="K13" s="238">
        <v>32.269449999999999</v>
      </c>
      <c r="L13" s="238">
        <v>31.890049999999999</v>
      </c>
      <c r="M13" s="238">
        <v>33.934800000000003</v>
      </c>
      <c r="N13" s="238">
        <v>34.162100000000002</v>
      </c>
      <c r="O13" s="238">
        <v>31.222200000000001</v>
      </c>
      <c r="P13" s="238">
        <v>35.173749999999998</v>
      </c>
      <c r="Q13" s="238">
        <f>SUM(E13:P13)</f>
        <v>378.32928599999929</v>
      </c>
    </row>
    <row r="14" spans="2:17">
      <c r="B14" s="231">
        <f t="shared" si="0"/>
        <v>9</v>
      </c>
      <c r="C14" s="233" t="s">
        <v>233</v>
      </c>
      <c r="D14" s="234" t="s">
        <v>45</v>
      </c>
      <c r="E14" s="235">
        <f>E12-E13</f>
        <v>300.92105000000004</v>
      </c>
      <c r="F14" s="235">
        <f t="shared" ref="F14:Q14" si="1">F12-F13</f>
        <v>302.7914640000007</v>
      </c>
      <c r="G14" s="235">
        <f t="shared" si="1"/>
        <v>271.11749999999995</v>
      </c>
      <c r="H14" s="235">
        <f t="shared" si="1"/>
        <v>131.04219999999998</v>
      </c>
      <c r="I14" s="235">
        <f t="shared" si="1"/>
        <v>228.60165000000001</v>
      </c>
      <c r="J14" s="235">
        <f t="shared" si="1"/>
        <v>269.18519999999995</v>
      </c>
      <c r="K14" s="235">
        <f t="shared" si="1"/>
        <v>260.77454999999998</v>
      </c>
      <c r="L14" s="235">
        <f t="shared" si="1"/>
        <v>258.67195000000004</v>
      </c>
      <c r="M14" s="235">
        <f t="shared" si="1"/>
        <v>286.16919999999999</v>
      </c>
      <c r="N14" s="235">
        <f t="shared" si="1"/>
        <v>297.49989999999997</v>
      </c>
      <c r="O14" s="235">
        <f t="shared" si="1"/>
        <v>272.76580000000001</v>
      </c>
      <c r="P14" s="235">
        <f t="shared" si="1"/>
        <v>294.09825000000001</v>
      </c>
      <c r="Q14" s="235">
        <f t="shared" si="1"/>
        <v>3173.6387140000002</v>
      </c>
    </row>
    <row r="15" spans="2:17">
      <c r="B15" s="231">
        <f t="shared" si="0"/>
        <v>10</v>
      </c>
      <c r="C15" s="233" t="s">
        <v>234</v>
      </c>
      <c r="D15" s="234" t="s">
        <v>45</v>
      </c>
      <c r="E15" s="237">
        <f>E14-((500*1000*24*30*E9%)/1000000)</f>
        <v>12.921050000000037</v>
      </c>
      <c r="F15" s="237">
        <f>F14-((500*1000*24*31*F9%)/1000000)</f>
        <v>5.1914640000006784</v>
      </c>
      <c r="G15" s="237">
        <f>G14-((500*1000*24*30*G9%)/1000000)</f>
        <v>-16.88250000000005</v>
      </c>
      <c r="H15" s="237">
        <f>H14-((500*1000*24*31*H9%)/1000000)</f>
        <v>-166.55780000000004</v>
      </c>
      <c r="I15" s="237">
        <f>I14-((500*1000*24*31*I9%)/1000000)</f>
        <v>-68.998350000000016</v>
      </c>
      <c r="J15" s="237">
        <f>J14-((500*1000*24*30*J9%)/1000000)</f>
        <v>-18.814800000000048</v>
      </c>
      <c r="K15" s="237">
        <f>K14-((500*1000*24*31*K9%)/1000000)</f>
        <v>-36.825450000000046</v>
      </c>
      <c r="L15" s="237">
        <f>L14-((500*1000*24*30*L9%)/1000000)</f>
        <v>-29.328049999999962</v>
      </c>
      <c r="M15" s="237">
        <f>M14-((500*1000*24*31*M9%)/1000000)</f>
        <v>-11.430800000000033</v>
      </c>
      <c r="N15" s="237">
        <f>N14-((500*1000*24*31*N9%)/1000000)</f>
        <v>-0.10010000000005448</v>
      </c>
      <c r="O15" s="237">
        <f>O14-((500*1000*24*28*O9%)/1000000)</f>
        <v>3.9658000000000015</v>
      </c>
      <c r="P15" s="237">
        <f>P14-((500*1000*24*31*P9%)/1000000)</f>
        <v>-3.5017500000000155</v>
      </c>
      <c r="Q15" s="235">
        <f>SUM(E15:P15)</f>
        <v>-330.36128599999955</v>
      </c>
    </row>
    <row r="16" spans="2:17">
      <c r="B16" s="231">
        <f t="shared" si="0"/>
        <v>11</v>
      </c>
      <c r="C16" s="233" t="s">
        <v>216</v>
      </c>
      <c r="D16" s="234" t="s">
        <v>220</v>
      </c>
      <c r="E16" s="236">
        <v>2.6680000000000001</v>
      </c>
      <c r="F16" s="236">
        <v>2.6680000000000001</v>
      </c>
      <c r="G16" s="236">
        <v>2.6680000000000001</v>
      </c>
      <c r="H16" s="236">
        <v>2.6680000000000001</v>
      </c>
      <c r="I16" s="236">
        <v>2.6680000000000001</v>
      </c>
      <c r="J16" s="236">
        <v>2.6680000000000001</v>
      </c>
      <c r="K16" s="236">
        <v>2.6680000000000001</v>
      </c>
      <c r="L16" s="236">
        <v>2.6680000000000001</v>
      </c>
      <c r="M16" s="236">
        <v>2.6680000000000001</v>
      </c>
      <c r="N16" s="236">
        <v>2.6680000000000001</v>
      </c>
      <c r="O16" s="236">
        <v>2.6680000000000001</v>
      </c>
      <c r="P16" s="236">
        <v>2.6680000000000001</v>
      </c>
      <c r="Q16" s="236">
        <v>2.6680000000000001</v>
      </c>
    </row>
    <row r="17" spans="2:17">
      <c r="B17" s="231">
        <f t="shared" si="0"/>
        <v>12</v>
      </c>
      <c r="C17" s="233" t="s">
        <v>235</v>
      </c>
      <c r="D17" s="234" t="s">
        <v>221</v>
      </c>
      <c r="E17" s="237">
        <v>31.034166666666668</v>
      </c>
      <c r="F17" s="237">
        <v>31.034166666666668</v>
      </c>
      <c r="G17" s="237">
        <v>31.034166666666668</v>
      </c>
      <c r="H17" s="237">
        <v>31.034166666666668</v>
      </c>
      <c r="I17" s="237">
        <v>31.034166666666668</v>
      </c>
      <c r="J17" s="237">
        <v>31.034166666666668</v>
      </c>
      <c r="K17" s="237">
        <v>31.034166666666668</v>
      </c>
      <c r="L17" s="237">
        <v>31.034166666666668</v>
      </c>
      <c r="M17" s="237">
        <v>31.034166666666668</v>
      </c>
      <c r="N17" s="237">
        <v>31.034166666666668</v>
      </c>
      <c r="O17" s="237">
        <v>31.034166666666668</v>
      </c>
      <c r="P17" s="237">
        <v>31.034166666666668</v>
      </c>
      <c r="Q17" s="238">
        <f>SUM(E17:P17)</f>
        <v>372.41000000000008</v>
      </c>
    </row>
    <row r="18" spans="2:17">
      <c r="B18" s="231">
        <f t="shared" si="0"/>
        <v>13</v>
      </c>
      <c r="C18" s="233" t="s">
        <v>378</v>
      </c>
      <c r="D18" s="234" t="s">
        <v>220</v>
      </c>
      <c r="E18" s="236">
        <v>3.164349775232814</v>
      </c>
      <c r="F18" s="236">
        <v>3.2622890031201579</v>
      </c>
      <c r="G18" s="236">
        <v>3.3686813675434246</v>
      </c>
      <c r="H18" s="236">
        <v>3.7625266166577807</v>
      </c>
      <c r="I18" s="236">
        <v>3.6616073154992632</v>
      </c>
      <c r="J18" s="236">
        <v>3.6580209525538847</v>
      </c>
      <c r="K18" s="236">
        <v>3.795202938840081</v>
      </c>
      <c r="L18" s="236">
        <v>3.7229054111063316</v>
      </c>
      <c r="M18" s="236">
        <v>3.7708836650101483</v>
      </c>
      <c r="N18" s="236">
        <v>3.8179880595465856</v>
      </c>
      <c r="O18" s="236">
        <v>3.7638152046923414</v>
      </c>
      <c r="P18" s="236">
        <v>3.9236981241487117</v>
      </c>
      <c r="Q18" s="245">
        <v>3.6287570059104328</v>
      </c>
    </row>
    <row r="19" spans="2:17">
      <c r="B19" s="231">
        <f t="shared" si="0"/>
        <v>14</v>
      </c>
      <c r="C19" s="233" t="s">
        <v>217</v>
      </c>
      <c r="D19" s="234" t="s">
        <v>221</v>
      </c>
      <c r="E19" s="237">
        <v>31.034166666666668</v>
      </c>
      <c r="F19" s="237">
        <v>31.034166666666668</v>
      </c>
      <c r="G19" s="237">
        <v>31.034166666666668</v>
      </c>
      <c r="H19" s="237">
        <v>26.580763749999988</v>
      </c>
      <c r="I19" s="237">
        <v>27.496271666666658</v>
      </c>
      <c r="J19" s="237">
        <v>33.160007083333369</v>
      </c>
      <c r="K19" s="237">
        <v>32.256136979166683</v>
      </c>
      <c r="L19" s="237">
        <v>31.425972999999999</v>
      </c>
      <c r="M19" s="237">
        <v>34.622492187500001</v>
      </c>
      <c r="N19" s="237">
        <v>31.697521979166709</v>
      </c>
      <c r="O19" s="237">
        <v>31.034166666666632</v>
      </c>
      <c r="P19" s="237">
        <v>31.034166666666692</v>
      </c>
      <c r="Q19" s="238">
        <f>SUM(E19:P19)</f>
        <v>372.40999997916674</v>
      </c>
    </row>
    <row r="20" spans="2:17">
      <c r="B20" s="231">
        <f t="shared" si="0"/>
        <v>15</v>
      </c>
      <c r="C20" s="233" t="s">
        <v>379</v>
      </c>
      <c r="D20" s="234" t="s">
        <v>221</v>
      </c>
      <c r="E20" s="237">
        <v>80.285736099999994</v>
      </c>
      <c r="F20" s="237">
        <v>80.784762595200192</v>
      </c>
      <c r="G20" s="237">
        <v>72.334148999999996</v>
      </c>
      <c r="H20" s="237">
        <v>34.96205896</v>
      </c>
      <c r="I20" s="237">
        <v>60.990920220000007</v>
      </c>
      <c r="J20" s="237">
        <v>71.818611360000006</v>
      </c>
      <c r="K20" s="237">
        <v>69.57464994</v>
      </c>
      <c r="L20" s="237">
        <v>69.013676259999997</v>
      </c>
      <c r="M20" s="237">
        <v>76.349942560000002</v>
      </c>
      <c r="N20" s="237">
        <v>79.37297332</v>
      </c>
      <c r="O20" s="237">
        <v>72.773915400000007</v>
      </c>
      <c r="P20" s="237">
        <v>78.465413100000006</v>
      </c>
      <c r="Q20" s="238">
        <f t="shared" ref="Q20:Q22" si="2">SUM(E20:P20)</f>
        <v>846.72680881520023</v>
      </c>
    </row>
    <row r="21" spans="2:17" ht="25.5">
      <c r="B21" s="231">
        <f t="shared" si="0"/>
        <v>16</v>
      </c>
      <c r="C21" s="233" t="s">
        <v>236</v>
      </c>
      <c r="D21" s="234" t="s">
        <v>221</v>
      </c>
      <c r="E21" s="237">
        <v>14.936209553032244</v>
      </c>
      <c r="F21" s="237">
        <v>17.994563729385366</v>
      </c>
      <c r="G21" s="237">
        <v>18.996698066495444</v>
      </c>
      <c r="H21" s="237">
        <v>14.34291758053922</v>
      </c>
      <c r="I21" s="237">
        <v>22.714027177520215</v>
      </c>
      <c r="J21" s="237">
        <v>26.64989881174079</v>
      </c>
      <c r="K21" s="237">
        <v>29.394583913469958</v>
      </c>
      <c r="L21" s="237">
        <v>27.287443975642656</v>
      </c>
      <c r="M21" s="237">
        <v>31.561133610902203</v>
      </c>
      <c r="N21" s="237">
        <v>34.212133271630314</v>
      </c>
      <c r="O21" s="237">
        <v>29.890091136007033</v>
      </c>
      <c r="P21" s="237">
        <v>36.929862084041879</v>
      </c>
      <c r="Q21" s="238">
        <f t="shared" si="2"/>
        <v>304.90956291040732</v>
      </c>
    </row>
    <row r="22" spans="2:17">
      <c r="B22" s="231">
        <f t="shared" si="0"/>
        <v>17</v>
      </c>
      <c r="C22" s="233" t="s">
        <v>218</v>
      </c>
      <c r="D22" s="234" t="s">
        <v>221</v>
      </c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8"/>
      <c r="Q22" s="238">
        <f t="shared" si="2"/>
        <v>0</v>
      </c>
    </row>
    <row r="23" spans="2:17" ht="25.5">
      <c r="B23" s="231">
        <f t="shared" si="0"/>
        <v>18</v>
      </c>
      <c r="C23" s="239" t="s">
        <v>163</v>
      </c>
      <c r="D23" s="234" t="s">
        <v>221</v>
      </c>
      <c r="E23" s="238">
        <f>E19+E20+E21+E22</f>
        <v>126.2561123196989</v>
      </c>
      <c r="F23" s="238">
        <f t="shared" ref="F23:P23" si="3">F19+F20+F21+F22</f>
        <v>129.81349299125222</v>
      </c>
      <c r="G23" s="238">
        <f t="shared" si="3"/>
        <v>122.3650137331621</v>
      </c>
      <c r="H23" s="238">
        <f t="shared" si="3"/>
        <v>75.885740290539204</v>
      </c>
      <c r="I23" s="238">
        <f t="shared" si="3"/>
        <v>111.20121906418689</v>
      </c>
      <c r="J23" s="238">
        <f t="shared" si="3"/>
        <v>131.62851725507417</v>
      </c>
      <c r="K23" s="238">
        <f t="shared" si="3"/>
        <v>131.22537083263666</v>
      </c>
      <c r="L23" s="238">
        <f t="shared" si="3"/>
        <v>127.72709323564266</v>
      </c>
      <c r="M23" s="238">
        <f t="shared" si="3"/>
        <v>142.53356835840219</v>
      </c>
      <c r="N23" s="238">
        <f t="shared" si="3"/>
        <v>145.28262857079702</v>
      </c>
      <c r="O23" s="238">
        <f t="shared" si="3"/>
        <v>133.69817320267367</v>
      </c>
      <c r="P23" s="238">
        <f t="shared" si="3"/>
        <v>146.42944185070857</v>
      </c>
      <c r="Q23" s="242">
        <f>SUM(Q19:Q22)</f>
        <v>1524.0463717047742</v>
      </c>
    </row>
    <row r="24" spans="2:17">
      <c r="B24" s="231">
        <f t="shared" si="0"/>
        <v>19</v>
      </c>
      <c r="C24" s="240" t="s">
        <v>219</v>
      </c>
      <c r="D24" s="234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42"/>
    </row>
    <row r="25" spans="2:17" ht="25.5">
      <c r="B25" s="231"/>
      <c r="C25" s="241" t="s">
        <v>469</v>
      </c>
      <c r="D25" s="234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42">
        <v>-67.69</v>
      </c>
    </row>
    <row r="26" spans="2:17" ht="25.5">
      <c r="B26" s="231"/>
      <c r="C26" s="241" t="s">
        <v>470</v>
      </c>
      <c r="D26" s="234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42">
        <v>53.07</v>
      </c>
    </row>
    <row r="27" spans="2:17">
      <c r="B27" s="231"/>
      <c r="C27" s="233" t="s">
        <v>468</v>
      </c>
      <c r="D27" s="234" t="s">
        <v>221</v>
      </c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42">
        <v>1.76</v>
      </c>
    </row>
    <row r="28" spans="2:17">
      <c r="B28" s="234">
        <f>B24+1</f>
        <v>20</v>
      </c>
      <c r="C28" s="240" t="s">
        <v>182</v>
      </c>
      <c r="D28" s="234" t="s">
        <v>221</v>
      </c>
      <c r="E28" s="235">
        <f t="shared" ref="E28:P28" si="4">E23+E24</f>
        <v>126.2561123196989</v>
      </c>
      <c r="F28" s="235">
        <f t="shared" si="4"/>
        <v>129.81349299125222</v>
      </c>
      <c r="G28" s="235">
        <f t="shared" si="4"/>
        <v>122.3650137331621</v>
      </c>
      <c r="H28" s="235">
        <f t="shared" si="4"/>
        <v>75.885740290539204</v>
      </c>
      <c r="I28" s="235">
        <f t="shared" si="4"/>
        <v>111.20121906418689</v>
      </c>
      <c r="J28" s="235">
        <f t="shared" si="4"/>
        <v>131.62851725507417</v>
      </c>
      <c r="K28" s="235">
        <f t="shared" si="4"/>
        <v>131.22537083263666</v>
      </c>
      <c r="L28" s="235">
        <f t="shared" si="4"/>
        <v>127.72709323564266</v>
      </c>
      <c r="M28" s="235">
        <f t="shared" si="4"/>
        <v>142.53356835840219</v>
      </c>
      <c r="N28" s="235">
        <f t="shared" si="4"/>
        <v>145.28262857079702</v>
      </c>
      <c r="O28" s="235">
        <f t="shared" si="4"/>
        <v>133.69817320267367</v>
      </c>
      <c r="P28" s="235">
        <f t="shared" si="4"/>
        <v>146.42944185070857</v>
      </c>
      <c r="Q28" s="235">
        <f>Q23+Q25+Q26+Q27</f>
        <v>1511.186371704774</v>
      </c>
    </row>
    <row r="29" spans="2:17" ht="25.5">
      <c r="B29" s="234">
        <f>B28+1</f>
        <v>21</v>
      </c>
      <c r="C29" s="240" t="s">
        <v>222</v>
      </c>
      <c r="D29" s="234" t="s">
        <v>221</v>
      </c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42"/>
    </row>
  </sheetData>
  <mergeCells count="2">
    <mergeCell ref="B1:Q1"/>
    <mergeCell ref="B2:Q2"/>
  </mergeCells>
  <pageMargins left="0" right="0" top="0" bottom="0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showGridLines="0" zoomScale="96" zoomScaleNormal="96" zoomScaleSheetLayoutView="80" workbookViewId="0">
      <selection activeCell="J13" sqref="J13"/>
    </sheetView>
  </sheetViews>
  <sheetFormatPr defaultColWidth="9.28515625" defaultRowHeight="14.25"/>
  <cols>
    <col min="1" max="1" width="3.7109375" style="5" customWidth="1"/>
    <col min="2" max="2" width="7.28515625" style="5" customWidth="1"/>
    <col min="3" max="3" width="22.42578125" style="5" customWidth="1"/>
    <col min="4" max="4" width="10.85546875" style="5" customWidth="1"/>
    <col min="5" max="5" width="14.7109375" style="5" customWidth="1"/>
    <col min="6" max="6" width="13.85546875" style="5" customWidth="1"/>
    <col min="7" max="7" width="14.7109375" style="5" customWidth="1"/>
    <col min="8" max="8" width="12.28515625" style="5" bestFit="1" customWidth="1"/>
    <col min="9" max="9" width="12.85546875" style="5" customWidth="1"/>
    <col min="10" max="10" width="12.28515625" style="5" customWidth="1"/>
    <col min="11" max="11" width="12.28515625" style="5" bestFit="1" customWidth="1"/>
    <col min="12" max="12" width="13" style="5" customWidth="1"/>
    <col min="13" max="13" width="13.42578125" style="5" customWidth="1"/>
    <col min="14" max="14" width="12.7109375" style="5" customWidth="1"/>
    <col min="15" max="16384" width="9.28515625" style="5"/>
  </cols>
  <sheetData>
    <row r="1" spans="1:16" ht="15">
      <c r="C1" s="42"/>
      <c r="D1" s="42"/>
      <c r="E1" s="42"/>
      <c r="F1" s="42"/>
      <c r="G1" s="42"/>
      <c r="I1" s="39"/>
      <c r="J1" s="42"/>
    </row>
    <row r="2" spans="1:16" s="19" customFormat="1" ht="15.75">
      <c r="A2" s="154"/>
      <c r="B2" s="353" t="s">
        <v>510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5"/>
      <c r="P2" s="5"/>
    </row>
    <row r="3" spans="1:16" s="19" customFormat="1" ht="15.75">
      <c r="A3" s="154"/>
      <c r="B3" s="353" t="s">
        <v>517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5"/>
      <c r="P3" s="5"/>
    </row>
    <row r="4" spans="1:16" s="19" customFormat="1" ht="15.75">
      <c r="A4" s="154"/>
      <c r="B4" s="353" t="s">
        <v>388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5"/>
      <c r="P4" s="5"/>
    </row>
    <row r="5" spans="1:16" ht="15">
      <c r="B5" s="38" t="s">
        <v>68</v>
      </c>
      <c r="C5" s="38"/>
      <c r="D5" s="38"/>
      <c r="E5" s="38"/>
      <c r="F5" s="38"/>
      <c r="G5" s="38"/>
      <c r="H5" s="38"/>
      <c r="I5" s="38"/>
      <c r="J5" s="38"/>
    </row>
    <row r="6" spans="1:16" ht="15">
      <c r="N6" s="32" t="s">
        <v>4</v>
      </c>
    </row>
    <row r="7" spans="1:16" ht="13.9" customHeight="1">
      <c r="B7" s="72" t="s">
        <v>209</v>
      </c>
      <c r="C7" s="72" t="s">
        <v>18</v>
      </c>
      <c r="D7" s="209" t="s">
        <v>1</v>
      </c>
      <c r="E7" s="206" t="s">
        <v>473</v>
      </c>
      <c r="F7" s="207"/>
      <c r="G7" s="208"/>
      <c r="H7" s="206" t="s">
        <v>474</v>
      </c>
      <c r="I7" s="207"/>
      <c r="J7" s="44" t="s">
        <v>251</v>
      </c>
      <c r="K7" s="44"/>
      <c r="L7" s="44"/>
      <c r="M7" s="44"/>
      <c r="N7" s="44"/>
    </row>
    <row r="8" spans="1:16" ht="30">
      <c r="B8" s="72"/>
      <c r="C8" s="72"/>
      <c r="D8" s="210"/>
      <c r="E8" s="21" t="s">
        <v>381</v>
      </c>
      <c r="F8" s="21" t="s">
        <v>269</v>
      </c>
      <c r="G8" s="21" t="s">
        <v>225</v>
      </c>
      <c r="H8" s="21" t="s">
        <v>381</v>
      </c>
      <c r="I8" s="21" t="s">
        <v>268</v>
      </c>
      <c r="J8" s="21" t="s">
        <v>475</v>
      </c>
      <c r="K8" s="21" t="s">
        <v>476</v>
      </c>
      <c r="L8" s="21" t="s">
        <v>477</v>
      </c>
      <c r="M8" s="21" t="s">
        <v>478</v>
      </c>
      <c r="N8" s="21" t="s">
        <v>479</v>
      </c>
    </row>
    <row r="9" spans="1:16" ht="15">
      <c r="B9" s="72"/>
      <c r="C9" s="72"/>
      <c r="D9" s="211"/>
      <c r="E9" s="21" t="s">
        <v>10</v>
      </c>
      <c r="F9" s="21" t="s">
        <v>12</v>
      </c>
      <c r="G9" s="21" t="s">
        <v>258</v>
      </c>
      <c r="H9" s="21" t="s">
        <v>10</v>
      </c>
      <c r="I9" s="21" t="s">
        <v>513</v>
      </c>
      <c r="J9" s="21" t="s">
        <v>8</v>
      </c>
      <c r="K9" s="21" t="s">
        <v>8</v>
      </c>
      <c r="L9" s="21" t="s">
        <v>8</v>
      </c>
      <c r="M9" s="21" t="s">
        <v>8</v>
      </c>
      <c r="N9" s="21" t="s">
        <v>8</v>
      </c>
    </row>
    <row r="10" spans="1:16">
      <c r="B10" s="26">
        <v>1</v>
      </c>
      <c r="C10" s="35" t="s">
        <v>69</v>
      </c>
      <c r="D10" s="35" t="s">
        <v>24</v>
      </c>
      <c r="E10" s="135">
        <v>142.91</v>
      </c>
      <c r="F10" s="136">
        <f>F2.1!G35</f>
        <v>208.42883983104014</v>
      </c>
      <c r="G10" s="136">
        <f>F10</f>
        <v>208.42883983104014</v>
      </c>
      <c r="H10" s="135">
        <v>148.66</v>
      </c>
      <c r="I10" s="136">
        <f>F2.1!H35</f>
        <v>229.22910106374127</v>
      </c>
      <c r="J10" s="136">
        <f>F2.1!I35</f>
        <v>220.93559167164267</v>
      </c>
      <c r="K10" s="136">
        <f>F2.1!J35</f>
        <v>233.74985598859794</v>
      </c>
      <c r="L10" s="136">
        <f>F2.1!K35</f>
        <v>247.30734763593662</v>
      </c>
      <c r="M10" s="136">
        <f>F2.1!L35</f>
        <v>261.65117379882093</v>
      </c>
      <c r="N10" s="136">
        <f>F2.1!M35</f>
        <v>276.82694187915257</v>
      </c>
    </row>
    <row r="11" spans="1:16">
      <c r="B11" s="26">
        <f>B10+1</f>
        <v>2</v>
      </c>
      <c r="C11" s="43" t="s">
        <v>270</v>
      </c>
      <c r="D11" s="43" t="s">
        <v>25</v>
      </c>
      <c r="E11" s="135">
        <v>11.814</v>
      </c>
      <c r="F11" s="137">
        <f>F2.2!G39</f>
        <v>12.456280917608222</v>
      </c>
      <c r="G11" s="136">
        <f>F11</f>
        <v>12.456280917608222</v>
      </c>
      <c r="H11" s="138">
        <v>37.799999999999997</v>
      </c>
      <c r="I11" s="136">
        <f>F2.2!H39</f>
        <v>14.821043151630271</v>
      </c>
      <c r="J11" s="136">
        <f>F2.2!I39</f>
        <v>16.27007782740338</v>
      </c>
      <c r="K11" s="136">
        <f>F2.2!J39</f>
        <v>17.067311640946144</v>
      </c>
      <c r="L11" s="136">
        <f>F2.2!K39</f>
        <v>17.903609911352504</v>
      </c>
      <c r="M11" s="136">
        <f>F2.2!L39</f>
        <v>18.780886797008776</v>
      </c>
      <c r="N11" s="136">
        <f>F2.2!M39</f>
        <v>19.701150250062206</v>
      </c>
    </row>
    <row r="12" spans="1:16">
      <c r="B12" s="26">
        <f>B11+1</f>
        <v>3</v>
      </c>
      <c r="C12" s="35" t="s">
        <v>228</v>
      </c>
      <c r="D12" s="35" t="s">
        <v>288</v>
      </c>
      <c r="E12" s="135">
        <v>35.79</v>
      </c>
      <c r="F12" s="136">
        <f>F2.3!G17</f>
        <v>24.752596087006427</v>
      </c>
      <c r="G12" s="136">
        <f>F12</f>
        <v>24.752596087006427</v>
      </c>
      <c r="H12" s="138">
        <v>12.07</v>
      </c>
      <c r="I12" s="136">
        <f>F2.3!H17</f>
        <v>28.238205422250417</v>
      </c>
      <c r="J12" s="136">
        <f>F2.3!I17</f>
        <v>33.048156205305141</v>
      </c>
      <c r="K12" s="136">
        <f>F2.3!J17</f>
        <v>33.603385659032945</v>
      </c>
      <c r="L12" s="136">
        <f>F2.3!K17</f>
        <v>34.162390208418941</v>
      </c>
      <c r="M12" s="136">
        <f>F2.3!L17</f>
        <v>34.597978168979466</v>
      </c>
      <c r="N12" s="136">
        <f>F2.3!M17</f>
        <v>34.597978168979466</v>
      </c>
    </row>
    <row r="13" spans="1:16" ht="15">
      <c r="B13" s="26">
        <f>B12+1</f>
        <v>4</v>
      </c>
      <c r="C13" s="35" t="s">
        <v>70</v>
      </c>
      <c r="D13" s="35"/>
      <c r="E13" s="139">
        <f>SUM(E10:E12)*0.99</f>
        <v>188.60885999999999</v>
      </c>
      <c r="F13" s="139">
        <f t="shared" ref="F13:I13" si="0">SUM(F10:F12)</f>
        <v>245.63771683565477</v>
      </c>
      <c r="G13" s="139">
        <f>SUM(G10:G12)</f>
        <v>245.63771683565477</v>
      </c>
      <c r="H13" s="139">
        <f t="shared" si="0"/>
        <v>198.52999999999997</v>
      </c>
      <c r="I13" s="139">
        <f t="shared" si="0"/>
        <v>272.28834963762199</v>
      </c>
      <c r="J13" s="139">
        <f>SUM(J10:J12)</f>
        <v>270.25382570435119</v>
      </c>
      <c r="K13" s="139">
        <f t="shared" ref="K13:N13" si="1">SUM(K10:K12)</f>
        <v>284.42055328857703</v>
      </c>
      <c r="L13" s="139">
        <f t="shared" si="1"/>
        <v>299.3733477557081</v>
      </c>
      <c r="M13" s="139">
        <f t="shared" si="1"/>
        <v>315.03003876480921</v>
      </c>
      <c r="N13" s="139">
        <f t="shared" si="1"/>
        <v>331.12607029819424</v>
      </c>
    </row>
    <row r="14" spans="1:16">
      <c r="B14" s="55" t="s">
        <v>271</v>
      </c>
      <c r="C14" s="56"/>
      <c r="D14" s="53"/>
      <c r="E14" s="53"/>
      <c r="F14" s="53"/>
      <c r="G14" s="54"/>
      <c r="H14" s="54"/>
      <c r="I14" s="54"/>
      <c r="J14" s="54"/>
      <c r="K14" s="54"/>
      <c r="L14" s="54"/>
      <c r="M14" s="54"/>
      <c r="N14" s="54"/>
    </row>
    <row r="15" spans="1:16">
      <c r="B15" s="57">
        <v>1</v>
      </c>
      <c r="C15" s="56" t="s">
        <v>272</v>
      </c>
    </row>
  </sheetData>
  <mergeCells count="3">
    <mergeCell ref="B2:N2"/>
    <mergeCell ref="B3:N3"/>
    <mergeCell ref="B4:N4"/>
  </mergeCells>
  <pageMargins left="0" right="0" top="0.74803149606299202" bottom="0.74803149606299202" header="0.31496062992126" footer="0.31496062992126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P38"/>
  <sheetViews>
    <sheetView showGridLines="0" zoomScale="80" zoomScaleNormal="80" zoomScaleSheetLayoutView="70" workbookViewId="0">
      <selection activeCell="R30" sqref="R30"/>
    </sheetView>
  </sheetViews>
  <sheetFormatPr defaultColWidth="9.28515625" defaultRowHeight="14.25"/>
  <cols>
    <col min="1" max="1" width="6.7109375" style="19" customWidth="1"/>
    <col min="2" max="2" width="7" style="19" customWidth="1"/>
    <col min="3" max="3" width="47" style="19" customWidth="1"/>
    <col min="4" max="4" width="12.28515625" style="19" bestFit="1" customWidth="1"/>
    <col min="5" max="5" width="12" style="19" customWidth="1"/>
    <col min="6" max="6" width="10.85546875" style="19" customWidth="1"/>
    <col min="7" max="7" width="13" style="19" customWidth="1"/>
    <col min="8" max="8" width="12.85546875" style="19" customWidth="1"/>
    <col min="9" max="9" width="10.7109375" style="19" customWidth="1"/>
    <col min="10" max="10" width="12.28515625" style="19" bestFit="1" customWidth="1"/>
    <col min="11" max="11" width="11.85546875" style="19" customWidth="1"/>
    <col min="12" max="12" width="11.140625" style="19" customWidth="1"/>
    <col min="13" max="13" width="11.42578125" style="19" customWidth="1"/>
    <col min="14" max="16384" width="9.28515625" style="19"/>
  </cols>
  <sheetData>
    <row r="2" spans="2:16" ht="14.25" customHeight="1">
      <c r="B2" s="372" t="s">
        <v>511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5"/>
      <c r="O2" s="5"/>
      <c r="P2" s="5"/>
    </row>
    <row r="3" spans="2:16" ht="14.25" customHeight="1">
      <c r="B3" s="372" t="s">
        <v>467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5"/>
      <c r="O3" s="5"/>
      <c r="P3" s="5"/>
    </row>
    <row r="4" spans="2:16" s="4" customFormat="1" ht="14.25" customHeight="1">
      <c r="B4" s="353" t="s">
        <v>556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5" spans="2:16" s="4" customFormat="1" ht="15">
      <c r="C5" s="46"/>
      <c r="D5" s="46"/>
      <c r="E5" s="46"/>
      <c r="F5" s="46"/>
      <c r="G5" s="47"/>
      <c r="H5" s="47"/>
    </row>
    <row r="6" spans="2:16" ht="12.75" customHeight="1">
      <c r="B6" s="363" t="s">
        <v>2</v>
      </c>
      <c r="C6" s="363" t="s">
        <v>18</v>
      </c>
      <c r="D6" s="21" t="s">
        <v>486</v>
      </c>
      <c r="E6" s="21" t="s">
        <v>487</v>
      </c>
      <c r="F6" s="21" t="s">
        <v>488</v>
      </c>
      <c r="G6" s="21" t="s">
        <v>473</v>
      </c>
      <c r="H6" s="21" t="s">
        <v>474</v>
      </c>
      <c r="I6" s="370" t="s">
        <v>251</v>
      </c>
      <c r="J6" s="370"/>
      <c r="K6" s="370"/>
      <c r="L6" s="370"/>
      <c r="M6" s="370"/>
    </row>
    <row r="7" spans="2:16" ht="30">
      <c r="B7" s="363"/>
      <c r="C7" s="363"/>
      <c r="D7" s="21" t="s">
        <v>269</v>
      </c>
      <c r="E7" s="21" t="s">
        <v>269</v>
      </c>
      <c r="F7" s="21" t="s">
        <v>269</v>
      </c>
      <c r="G7" s="21" t="s">
        <v>269</v>
      </c>
      <c r="H7" s="21" t="s">
        <v>268</v>
      </c>
      <c r="I7" s="21" t="s">
        <v>475</v>
      </c>
      <c r="J7" s="21" t="s">
        <v>476</v>
      </c>
      <c r="K7" s="21" t="s">
        <v>477</v>
      </c>
      <c r="L7" s="21" t="s">
        <v>478</v>
      </c>
      <c r="M7" s="21" t="s">
        <v>479</v>
      </c>
    </row>
    <row r="8" spans="2:16" ht="30">
      <c r="B8" s="371"/>
      <c r="C8" s="363"/>
      <c r="D8" s="21" t="s">
        <v>12</v>
      </c>
      <c r="E8" s="21" t="s">
        <v>12</v>
      </c>
      <c r="F8" s="21" t="s">
        <v>12</v>
      </c>
      <c r="G8" s="21" t="s">
        <v>12</v>
      </c>
      <c r="H8" s="21" t="s">
        <v>513</v>
      </c>
      <c r="I8" s="21" t="s">
        <v>8</v>
      </c>
      <c r="J8" s="21" t="s">
        <v>8</v>
      </c>
      <c r="K8" s="21" t="s">
        <v>8</v>
      </c>
      <c r="L8" s="21" t="s">
        <v>8</v>
      </c>
      <c r="M8" s="21" t="s">
        <v>8</v>
      </c>
    </row>
    <row r="9" spans="2:16">
      <c r="B9" s="2">
        <v>1</v>
      </c>
      <c r="C9" s="48" t="s">
        <v>73</v>
      </c>
      <c r="D9" s="114"/>
      <c r="E9" s="114"/>
      <c r="F9" s="114"/>
      <c r="G9" s="111">
        <v>112.13106611425761</v>
      </c>
      <c r="H9" s="189">
        <v>121.23179870749709</v>
      </c>
      <c r="I9" s="3"/>
      <c r="J9" s="3"/>
      <c r="K9" s="3"/>
      <c r="L9" s="3"/>
      <c r="M9" s="3"/>
    </row>
    <row r="10" spans="2:16">
      <c r="B10" s="2">
        <v>2</v>
      </c>
      <c r="C10" s="48" t="s">
        <v>74</v>
      </c>
      <c r="D10" s="114"/>
      <c r="E10" s="114"/>
      <c r="F10" s="114"/>
      <c r="G10" s="111">
        <v>3.7140430141026322</v>
      </c>
      <c r="H10" s="189">
        <v>10.292793512512507</v>
      </c>
      <c r="I10" s="3"/>
      <c r="J10" s="3"/>
      <c r="K10" s="3"/>
      <c r="L10" s="3"/>
      <c r="M10" s="3"/>
    </row>
    <row r="11" spans="2:16">
      <c r="B11" s="2">
        <v>3</v>
      </c>
      <c r="C11" s="3" t="s">
        <v>75</v>
      </c>
      <c r="D11" s="111"/>
      <c r="E11" s="111"/>
      <c r="F11" s="111"/>
      <c r="G11" s="111">
        <v>8.8425025549077212</v>
      </c>
      <c r="H11" s="189">
        <v>9.1299631617798482</v>
      </c>
      <c r="I11" s="3"/>
      <c r="J11" s="3"/>
      <c r="K11" s="3"/>
      <c r="L11" s="3"/>
      <c r="M11" s="3"/>
    </row>
    <row r="12" spans="2:16">
      <c r="B12" s="2">
        <v>4</v>
      </c>
      <c r="C12" s="48" t="s">
        <v>76</v>
      </c>
      <c r="D12" s="114"/>
      <c r="E12" s="114"/>
      <c r="F12" s="114"/>
      <c r="G12" s="111">
        <v>1.2491170943711163</v>
      </c>
      <c r="H12" s="189">
        <v>1.2300945676626689</v>
      </c>
      <c r="I12" s="3"/>
      <c r="J12" s="3"/>
      <c r="K12" s="3"/>
      <c r="L12" s="3"/>
      <c r="M12" s="3"/>
    </row>
    <row r="13" spans="2:16">
      <c r="B13" s="2">
        <v>5</v>
      </c>
      <c r="C13" s="48" t="s">
        <v>77</v>
      </c>
      <c r="D13" s="114"/>
      <c r="E13" s="114"/>
      <c r="F13" s="114"/>
      <c r="G13" s="111">
        <v>2.265893636377654E-4</v>
      </c>
      <c r="H13" s="189">
        <v>8.6932818946349106E-4</v>
      </c>
      <c r="I13" s="3"/>
      <c r="J13" s="3"/>
      <c r="K13" s="3"/>
      <c r="L13" s="3"/>
      <c r="M13" s="3"/>
    </row>
    <row r="14" spans="2:16">
      <c r="B14" s="2">
        <v>6</v>
      </c>
      <c r="C14" s="3" t="s">
        <v>78</v>
      </c>
      <c r="D14" s="111"/>
      <c r="E14" s="111"/>
      <c r="F14" s="111"/>
      <c r="G14" s="111">
        <v>19.879881091644179</v>
      </c>
      <c r="H14" s="189">
        <v>19.879357302079022</v>
      </c>
      <c r="I14" s="3"/>
      <c r="J14" s="3"/>
      <c r="K14" s="3"/>
      <c r="L14" s="3"/>
      <c r="M14" s="3"/>
    </row>
    <row r="15" spans="2:16">
      <c r="B15" s="2">
        <v>7</v>
      </c>
      <c r="C15" s="48" t="s">
        <v>79</v>
      </c>
      <c r="D15" s="114"/>
      <c r="E15" s="114"/>
      <c r="F15" s="114"/>
      <c r="G15" s="111">
        <v>28.881201845839904</v>
      </c>
      <c r="H15" s="189">
        <v>21.133542844264031</v>
      </c>
      <c r="I15" s="3"/>
      <c r="J15" s="3"/>
      <c r="K15" s="3"/>
      <c r="L15" s="3"/>
      <c r="M15" s="3"/>
    </row>
    <row r="16" spans="2:16">
      <c r="B16" s="2">
        <v>8</v>
      </c>
      <c r="C16" s="48" t="s">
        <v>80</v>
      </c>
      <c r="D16" s="114"/>
      <c r="E16" s="114"/>
      <c r="F16" s="114"/>
      <c r="G16" s="111">
        <v>2.8348016649291479</v>
      </c>
      <c r="H16" s="189">
        <v>0.74865565928736855</v>
      </c>
      <c r="I16" s="3"/>
      <c r="J16" s="3"/>
      <c r="K16" s="3"/>
      <c r="L16" s="3"/>
      <c r="M16" s="3"/>
    </row>
    <row r="17" spans="2:13">
      <c r="B17" s="2">
        <v>9</v>
      </c>
      <c r="C17" s="48" t="s">
        <v>81</v>
      </c>
      <c r="D17" s="114"/>
      <c r="E17" s="114"/>
      <c r="F17" s="114"/>
      <c r="G17" s="111">
        <v>0</v>
      </c>
      <c r="H17" s="189">
        <v>0</v>
      </c>
      <c r="I17" s="3"/>
      <c r="J17" s="3"/>
      <c r="K17" s="3"/>
      <c r="L17" s="3"/>
      <c r="M17" s="3"/>
    </row>
    <row r="18" spans="2:13">
      <c r="B18" s="2">
        <v>10</v>
      </c>
      <c r="C18" s="48" t="s">
        <v>82</v>
      </c>
      <c r="D18" s="114"/>
      <c r="E18" s="114"/>
      <c r="F18" s="114"/>
      <c r="G18" s="114">
        <v>0</v>
      </c>
      <c r="H18" s="189">
        <v>0</v>
      </c>
      <c r="I18" s="3"/>
      <c r="J18" s="3"/>
      <c r="K18" s="3"/>
      <c r="L18" s="3"/>
      <c r="M18" s="3"/>
    </row>
    <row r="19" spans="2:13">
      <c r="B19" s="2">
        <v>11</v>
      </c>
      <c r="C19" s="48" t="s">
        <v>83</v>
      </c>
      <c r="D19" s="114"/>
      <c r="E19" s="114"/>
      <c r="F19" s="114"/>
      <c r="G19" s="114">
        <v>0</v>
      </c>
      <c r="H19" s="189">
        <v>8.3783842128149063E-4</v>
      </c>
      <c r="I19" s="3"/>
      <c r="J19" s="3"/>
      <c r="K19" s="3"/>
      <c r="L19" s="3"/>
      <c r="M19" s="3"/>
    </row>
    <row r="20" spans="2:13">
      <c r="B20" s="2">
        <v>12</v>
      </c>
      <c r="C20" s="48" t="s">
        <v>84</v>
      </c>
      <c r="D20" s="114"/>
      <c r="E20" s="114"/>
      <c r="F20" s="114"/>
      <c r="G20" s="114">
        <v>2.6524765624781965</v>
      </c>
      <c r="H20" s="189">
        <v>2.2958674494146911</v>
      </c>
      <c r="I20" s="3"/>
      <c r="J20" s="3"/>
      <c r="K20" s="3"/>
      <c r="L20" s="3"/>
      <c r="M20" s="3"/>
    </row>
    <row r="21" spans="2:13">
      <c r="B21" s="2">
        <v>13</v>
      </c>
      <c r="C21" s="48" t="s">
        <v>85</v>
      </c>
      <c r="D21" s="114"/>
      <c r="E21" s="114"/>
      <c r="F21" s="114"/>
      <c r="G21" s="114">
        <v>0</v>
      </c>
      <c r="H21" s="189">
        <v>0</v>
      </c>
      <c r="I21" s="3"/>
      <c r="J21" s="3"/>
      <c r="K21" s="3"/>
      <c r="L21" s="3"/>
      <c r="M21" s="3"/>
    </row>
    <row r="22" spans="2:13">
      <c r="B22" s="2">
        <v>14</v>
      </c>
      <c r="C22" s="48" t="s">
        <v>86</v>
      </c>
      <c r="D22" s="114"/>
      <c r="E22" s="114"/>
      <c r="F22" s="114"/>
      <c r="G22" s="114">
        <v>0</v>
      </c>
      <c r="H22" s="189">
        <v>0</v>
      </c>
      <c r="I22" s="3"/>
      <c r="J22" s="3"/>
      <c r="K22" s="3"/>
      <c r="L22" s="3"/>
      <c r="M22" s="3"/>
    </row>
    <row r="23" spans="2:13">
      <c r="B23" s="2">
        <v>15</v>
      </c>
      <c r="C23" s="48" t="s">
        <v>87</v>
      </c>
      <c r="D23" s="114"/>
      <c r="E23" s="114"/>
      <c r="F23" s="114"/>
      <c r="G23" s="111">
        <v>0</v>
      </c>
      <c r="H23" s="189">
        <v>0</v>
      </c>
      <c r="I23" s="3"/>
      <c r="J23" s="3"/>
      <c r="K23" s="3"/>
      <c r="L23" s="3"/>
      <c r="M23" s="3"/>
    </row>
    <row r="24" spans="2:13">
      <c r="B24" s="2">
        <v>16</v>
      </c>
      <c r="C24" s="48" t="s">
        <v>88</v>
      </c>
      <c r="D24" s="114"/>
      <c r="E24" s="114"/>
      <c r="F24" s="114"/>
      <c r="G24" s="125">
        <v>0.14247945000000001</v>
      </c>
      <c r="H24" s="189">
        <v>0</v>
      </c>
      <c r="I24" s="3"/>
      <c r="J24" s="3"/>
      <c r="K24" s="3"/>
      <c r="L24" s="3"/>
      <c r="M24" s="3"/>
    </row>
    <row r="25" spans="2:13" ht="15">
      <c r="B25" s="2">
        <v>17</v>
      </c>
      <c r="C25" s="48" t="s">
        <v>89</v>
      </c>
      <c r="D25" s="114"/>
      <c r="E25" s="114"/>
      <c r="F25" s="114"/>
      <c r="G25" s="125">
        <v>180.32779598189413</v>
      </c>
      <c r="H25" s="190">
        <f t="shared" ref="H25" si="0">SUM(H9:H24)</f>
        <v>185.94378037110798</v>
      </c>
      <c r="I25" s="3"/>
      <c r="J25" s="3"/>
      <c r="K25" s="3"/>
      <c r="L25" s="3"/>
      <c r="M25" s="3"/>
    </row>
    <row r="26" spans="2:13">
      <c r="B26" s="2">
        <v>18</v>
      </c>
      <c r="C26" s="48" t="s">
        <v>90</v>
      </c>
      <c r="D26" s="114"/>
      <c r="E26" s="114"/>
      <c r="F26" s="114"/>
      <c r="G26" s="125">
        <v>0</v>
      </c>
      <c r="H26" s="189">
        <v>0</v>
      </c>
      <c r="I26" s="3"/>
      <c r="J26" s="3"/>
      <c r="K26" s="3"/>
      <c r="L26" s="3"/>
      <c r="M26" s="3"/>
    </row>
    <row r="27" spans="2:13">
      <c r="B27" s="2">
        <f>+B26+0.1</f>
        <v>18.100000000000001</v>
      </c>
      <c r="C27" s="48" t="s">
        <v>91</v>
      </c>
      <c r="D27" s="114"/>
      <c r="E27" s="114"/>
      <c r="F27" s="114"/>
      <c r="G27" s="125">
        <v>11.506666945674171</v>
      </c>
      <c r="H27" s="189">
        <v>12.553009820706416</v>
      </c>
      <c r="I27" s="3"/>
      <c r="J27" s="3"/>
      <c r="K27" s="3"/>
      <c r="L27" s="3"/>
      <c r="M27" s="3"/>
    </row>
    <row r="28" spans="2:13">
      <c r="B28" s="2">
        <f>+B27+0.1</f>
        <v>18.200000000000003</v>
      </c>
      <c r="C28" s="48" t="s">
        <v>92</v>
      </c>
      <c r="D28" s="114"/>
      <c r="E28" s="114"/>
      <c r="F28" s="114"/>
      <c r="G28" s="125">
        <v>0</v>
      </c>
      <c r="H28" s="189">
        <v>0</v>
      </c>
      <c r="I28" s="3"/>
      <c r="J28" s="3"/>
      <c r="K28" s="3"/>
      <c r="L28" s="3"/>
      <c r="M28" s="3"/>
    </row>
    <row r="29" spans="2:13">
      <c r="B29" s="2">
        <f>+B28+0.1</f>
        <v>18.300000000000004</v>
      </c>
      <c r="C29" s="48" t="s">
        <v>93</v>
      </c>
      <c r="D29" s="114"/>
      <c r="E29" s="114"/>
      <c r="F29" s="114"/>
      <c r="G29" s="125">
        <v>0</v>
      </c>
      <c r="H29" s="189">
        <v>0</v>
      </c>
      <c r="I29" s="3"/>
      <c r="J29" s="3"/>
      <c r="K29" s="3"/>
      <c r="L29" s="3"/>
      <c r="M29" s="3"/>
    </row>
    <row r="30" spans="2:13">
      <c r="B30" s="2">
        <f>+B29+0.1</f>
        <v>18.400000000000006</v>
      </c>
      <c r="C30" s="48" t="s">
        <v>94</v>
      </c>
      <c r="D30" s="114"/>
      <c r="E30" s="114"/>
      <c r="F30" s="114"/>
      <c r="G30" s="111">
        <v>16.594376903471833</v>
      </c>
      <c r="H30" s="189">
        <v>30.73231087192687</v>
      </c>
      <c r="I30" s="3"/>
      <c r="J30" s="3"/>
      <c r="K30" s="3"/>
      <c r="L30" s="3"/>
      <c r="M30" s="3"/>
    </row>
    <row r="31" spans="2:13">
      <c r="B31" s="2">
        <v>19</v>
      </c>
      <c r="C31" s="52" t="s">
        <v>415</v>
      </c>
      <c r="D31" s="114"/>
      <c r="E31" s="114"/>
      <c r="F31" s="114"/>
      <c r="G31" s="111">
        <v>0</v>
      </c>
      <c r="H31" s="189">
        <v>0</v>
      </c>
      <c r="I31" s="3"/>
      <c r="J31" s="3"/>
      <c r="K31" s="3"/>
      <c r="L31" s="3"/>
      <c r="M31" s="3"/>
    </row>
    <row r="32" spans="2:13">
      <c r="B32" s="2">
        <v>20</v>
      </c>
      <c r="C32" s="48" t="s">
        <v>95</v>
      </c>
      <c r="D32" s="114"/>
      <c r="E32" s="114"/>
      <c r="F32" s="114"/>
      <c r="G32" s="111">
        <v>0</v>
      </c>
      <c r="H32" s="189">
        <v>0</v>
      </c>
      <c r="I32" s="111">
        <v>220.93559167164267</v>
      </c>
      <c r="J32" s="111">
        <v>233.74985598859794</v>
      </c>
      <c r="K32" s="111">
        <v>247.30734763593662</v>
      </c>
      <c r="L32" s="111">
        <v>261.65117379882093</v>
      </c>
      <c r="M32" s="111">
        <v>276.82694187915257</v>
      </c>
    </row>
    <row r="33" spans="2:13" ht="15">
      <c r="B33" s="20">
        <v>21</v>
      </c>
      <c r="C33" s="49" t="s">
        <v>96</v>
      </c>
      <c r="D33" s="113">
        <f>SUM(D25:D32)</f>
        <v>0</v>
      </c>
      <c r="E33" s="113">
        <f t="shared" ref="E33:G33" si="1">SUM(E25:E32)</f>
        <v>0</v>
      </c>
      <c r="F33" s="113">
        <f t="shared" si="1"/>
        <v>0</v>
      </c>
      <c r="G33" s="113">
        <f t="shared" si="1"/>
        <v>208.42883983104014</v>
      </c>
      <c r="H33" s="190">
        <f t="shared" ref="H33" si="2">H25+H27+H30</f>
        <v>229.22910106374127</v>
      </c>
      <c r="I33" s="113">
        <f t="shared" ref="I33:M33" si="3">SUM(I9:I32)</f>
        <v>220.93559167164267</v>
      </c>
      <c r="J33" s="113">
        <f t="shared" si="3"/>
        <v>233.74985598859794</v>
      </c>
      <c r="K33" s="113">
        <f t="shared" si="3"/>
        <v>247.30734763593662</v>
      </c>
      <c r="L33" s="113">
        <f t="shared" si="3"/>
        <v>261.65117379882093</v>
      </c>
      <c r="M33" s="113">
        <f t="shared" si="3"/>
        <v>276.82694187915257</v>
      </c>
    </row>
    <row r="34" spans="2:13">
      <c r="B34" s="2">
        <v>22</v>
      </c>
      <c r="C34" s="48" t="s">
        <v>17</v>
      </c>
      <c r="D34" s="114"/>
      <c r="E34" s="114"/>
      <c r="F34" s="114"/>
      <c r="G34" s="111">
        <v>0</v>
      </c>
      <c r="H34" s="189">
        <v>0</v>
      </c>
      <c r="I34" s="111"/>
      <c r="J34" s="111"/>
      <c r="K34" s="111"/>
      <c r="L34" s="111"/>
      <c r="M34" s="111"/>
    </row>
    <row r="35" spans="2:13" ht="15">
      <c r="B35" s="20">
        <v>23</v>
      </c>
      <c r="C35" s="25" t="s">
        <v>97</v>
      </c>
      <c r="D35" s="99">
        <v>144.01</v>
      </c>
      <c r="E35" s="99">
        <v>181.16</v>
      </c>
      <c r="F35" s="99">
        <v>169.95</v>
      </c>
      <c r="G35" s="99">
        <f t="shared" ref="G35:M35" si="4">G33-G34</f>
        <v>208.42883983104014</v>
      </c>
      <c r="H35" s="190">
        <f t="shared" si="4"/>
        <v>229.22910106374127</v>
      </c>
      <c r="I35" s="99">
        <f t="shared" si="4"/>
        <v>220.93559167164267</v>
      </c>
      <c r="J35" s="99">
        <f t="shared" si="4"/>
        <v>233.74985598859794</v>
      </c>
      <c r="K35" s="99">
        <f t="shared" si="4"/>
        <v>247.30734763593662</v>
      </c>
      <c r="L35" s="99">
        <f t="shared" si="4"/>
        <v>261.65117379882093</v>
      </c>
      <c r="M35" s="99">
        <f t="shared" si="4"/>
        <v>276.82694187915257</v>
      </c>
    </row>
    <row r="36" spans="2:13">
      <c r="G36" s="291"/>
    </row>
    <row r="37" spans="2:13" ht="15">
      <c r="B37" s="50"/>
    </row>
    <row r="38" spans="2:13">
      <c r="B38" s="51"/>
    </row>
  </sheetData>
  <mergeCells count="6">
    <mergeCell ref="I6:M6"/>
    <mergeCell ref="B6:B8"/>
    <mergeCell ref="C6:C8"/>
    <mergeCell ref="B2:M2"/>
    <mergeCell ref="B3:M3"/>
    <mergeCell ref="B4:M4"/>
  </mergeCells>
  <pageMargins left="0" right="0" top="1" bottom="1" header="0.5" footer="0.5"/>
  <pageSetup paperSize="9" scale="80" fitToHeight="0" orientation="landscape" r:id="rId1"/>
  <headerFooter alignWithMargins="0"/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40"/>
  <sheetViews>
    <sheetView showGridLines="0" zoomScale="80" zoomScaleNormal="80" zoomScaleSheetLayoutView="70" workbookViewId="0">
      <selection activeCell="B2" sqref="B2:M3"/>
    </sheetView>
  </sheetViews>
  <sheetFormatPr defaultColWidth="9.28515625" defaultRowHeight="14.25"/>
  <cols>
    <col min="1" max="1" width="2" style="19" customWidth="1"/>
    <col min="2" max="2" width="7" style="19" customWidth="1"/>
    <col min="3" max="3" width="47" style="19" customWidth="1"/>
    <col min="4" max="4" width="12.28515625" style="19" customWidth="1"/>
    <col min="5" max="5" width="11.42578125" style="19" customWidth="1"/>
    <col min="6" max="6" width="12" style="19" customWidth="1"/>
    <col min="7" max="7" width="11.42578125" style="19" customWidth="1"/>
    <col min="8" max="8" width="12.28515625" style="19" customWidth="1"/>
    <col min="9" max="9" width="10" style="19" customWidth="1"/>
    <col min="10" max="10" width="11" style="19" customWidth="1"/>
    <col min="11" max="11" width="12.5703125" style="19" customWidth="1"/>
    <col min="12" max="12" width="11.5703125" style="19" customWidth="1"/>
    <col min="13" max="13" width="12.140625" style="19" customWidth="1"/>
    <col min="14" max="16384" width="9.28515625" style="19"/>
  </cols>
  <sheetData>
    <row r="2" spans="2:13" ht="15.75">
      <c r="B2" s="353" t="s">
        <v>510</v>
      </c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</row>
    <row r="3" spans="2:13" ht="15.75">
      <c r="B3" s="353" t="s">
        <v>497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</row>
    <row r="4" spans="2:13" ht="15.75">
      <c r="B4" s="353" t="s">
        <v>516</v>
      </c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</row>
    <row r="6" spans="2:13" ht="12.75" customHeight="1">
      <c r="B6" s="365" t="s">
        <v>209</v>
      </c>
      <c r="C6" s="363" t="s">
        <v>18</v>
      </c>
      <c r="D6" s="21" t="s">
        <v>486</v>
      </c>
      <c r="E6" s="21" t="s">
        <v>487</v>
      </c>
      <c r="F6" s="21" t="s">
        <v>488</v>
      </c>
      <c r="G6" s="21" t="s">
        <v>473</v>
      </c>
      <c r="H6" s="21" t="s">
        <v>483</v>
      </c>
      <c r="I6" s="373" t="s">
        <v>251</v>
      </c>
      <c r="J6" s="374"/>
      <c r="K6" s="374"/>
      <c r="L6" s="374"/>
      <c r="M6" s="375"/>
    </row>
    <row r="7" spans="2:13" ht="30">
      <c r="B7" s="365"/>
      <c r="C7" s="363"/>
      <c r="D7" s="21" t="s">
        <v>269</v>
      </c>
      <c r="E7" s="21" t="s">
        <v>269</v>
      </c>
      <c r="F7" s="21" t="s">
        <v>269</v>
      </c>
      <c r="G7" s="21" t="s">
        <v>269</v>
      </c>
      <c r="H7" s="21" t="s">
        <v>268</v>
      </c>
      <c r="I7" s="21" t="s">
        <v>475</v>
      </c>
      <c r="J7" s="21" t="s">
        <v>476</v>
      </c>
      <c r="K7" s="21" t="s">
        <v>477</v>
      </c>
      <c r="L7" s="21" t="s">
        <v>478</v>
      </c>
      <c r="M7" s="21" t="s">
        <v>479</v>
      </c>
    </row>
    <row r="8" spans="2:13" ht="30">
      <c r="B8" s="365"/>
      <c r="C8" s="363"/>
      <c r="D8" s="21" t="s">
        <v>12</v>
      </c>
      <c r="E8" s="21" t="s">
        <v>12</v>
      </c>
      <c r="F8" s="21" t="s">
        <v>12</v>
      </c>
      <c r="G8" s="21" t="s">
        <v>12</v>
      </c>
      <c r="H8" s="21" t="s">
        <v>513</v>
      </c>
      <c r="I8" s="21" t="s">
        <v>8</v>
      </c>
      <c r="J8" s="21" t="s">
        <v>8</v>
      </c>
      <c r="K8" s="21" t="s">
        <v>8</v>
      </c>
      <c r="L8" s="21" t="s">
        <v>8</v>
      </c>
      <c r="M8" s="21" t="s">
        <v>8</v>
      </c>
    </row>
    <row r="9" spans="2:13">
      <c r="B9" s="3">
        <v>1</v>
      </c>
      <c r="C9" s="58" t="s">
        <v>98</v>
      </c>
      <c r="D9" s="111">
        <v>0.79040612285001766</v>
      </c>
      <c r="E9" s="111">
        <v>2.3179669220385239</v>
      </c>
      <c r="F9" s="111">
        <v>1.8803515057002604</v>
      </c>
      <c r="G9" s="111">
        <v>1.0598648895441913</v>
      </c>
      <c r="H9" s="191">
        <v>2.0765693106718341</v>
      </c>
      <c r="I9" s="3"/>
      <c r="J9" s="3"/>
      <c r="K9" s="3"/>
      <c r="L9" s="3"/>
      <c r="M9" s="3"/>
    </row>
    <row r="10" spans="2:13">
      <c r="B10" s="3">
        <v>2</v>
      </c>
      <c r="C10" s="59" t="s">
        <v>99</v>
      </c>
      <c r="D10" s="111">
        <v>2.5979816208668716</v>
      </c>
      <c r="E10" s="111">
        <v>2.7813196348086295</v>
      </c>
      <c r="F10" s="111">
        <v>2.8435601803084216</v>
      </c>
      <c r="G10" s="111">
        <v>2.6561029016537634</v>
      </c>
      <c r="H10" s="191">
        <v>2.6478724990662426</v>
      </c>
      <c r="I10" s="3"/>
      <c r="J10" s="3"/>
      <c r="K10" s="3"/>
      <c r="L10" s="3"/>
      <c r="M10" s="3"/>
    </row>
    <row r="11" spans="2:13">
      <c r="B11" s="3">
        <v>3</v>
      </c>
      <c r="C11" s="59" t="s">
        <v>100</v>
      </c>
      <c r="D11" s="111">
        <v>9.7889173913991823E-2</v>
      </c>
      <c r="E11" s="111">
        <v>7.2943424410499197E-2</v>
      </c>
      <c r="F11" s="111">
        <v>7.0298771404854798E-2</v>
      </c>
      <c r="G11" s="111">
        <v>0.13849784620159461</v>
      </c>
      <c r="H11" s="191">
        <v>0.13879866864520468</v>
      </c>
      <c r="I11" s="3"/>
      <c r="J11" s="3"/>
      <c r="K11" s="3"/>
      <c r="L11" s="3"/>
      <c r="M11" s="3"/>
    </row>
    <row r="12" spans="2:13">
      <c r="B12" s="3">
        <v>4</v>
      </c>
      <c r="C12" s="59" t="s">
        <v>101</v>
      </c>
      <c r="D12" s="111">
        <v>0.13856650298503326</v>
      </c>
      <c r="E12" s="111">
        <v>0.1403898686394445</v>
      </c>
      <c r="F12" s="111">
        <v>8.2438307912958975E-2</v>
      </c>
      <c r="G12" s="111">
        <v>0.13063258177443982</v>
      </c>
      <c r="H12" s="191">
        <v>8.8456600043791606E-2</v>
      </c>
      <c r="I12" s="3"/>
      <c r="J12" s="3"/>
      <c r="K12" s="3"/>
      <c r="L12" s="3"/>
      <c r="M12" s="3"/>
    </row>
    <row r="13" spans="2:13">
      <c r="B13" s="3">
        <v>5</v>
      </c>
      <c r="C13" s="59" t="s">
        <v>102</v>
      </c>
      <c r="D13" s="111">
        <v>7.0538996158363079E-2</v>
      </c>
      <c r="E13" s="111">
        <v>4.9574696616627847E-2</v>
      </c>
      <c r="F13" s="111">
        <v>0.14183565851903829</v>
      </c>
      <c r="G13" s="111">
        <v>0.11675236587347901</v>
      </c>
      <c r="H13" s="191">
        <v>4.2651298096298376E-2</v>
      </c>
      <c r="I13" s="3"/>
      <c r="J13" s="3"/>
      <c r="K13" s="3"/>
      <c r="L13" s="3"/>
      <c r="M13" s="3"/>
    </row>
    <row r="14" spans="2:13">
      <c r="B14" s="3">
        <v>6</v>
      </c>
      <c r="C14" s="59" t="s">
        <v>103</v>
      </c>
      <c r="D14" s="111">
        <v>0.12193245780483969</v>
      </c>
      <c r="E14" s="111">
        <v>2.9091115604999766E-2</v>
      </c>
      <c r="F14" s="111">
        <v>3.4533022084110854E-2</v>
      </c>
      <c r="G14" s="111">
        <v>8.1035758399218102E-2</v>
      </c>
      <c r="H14" s="191">
        <v>6.6430954764495176E-2</v>
      </c>
      <c r="I14" s="3"/>
      <c r="J14" s="3"/>
      <c r="K14" s="3"/>
      <c r="L14" s="3"/>
      <c r="M14" s="3"/>
    </row>
    <row r="15" spans="2:13">
      <c r="B15" s="3">
        <v>7</v>
      </c>
      <c r="C15" s="59" t="s">
        <v>104</v>
      </c>
      <c r="D15" s="111">
        <v>0.23649719918774165</v>
      </c>
      <c r="E15" s="111">
        <v>0.72972847815492803</v>
      </c>
      <c r="F15" s="111">
        <v>1.4941035657727124</v>
      </c>
      <c r="G15" s="111">
        <v>0.82754928984701492</v>
      </c>
      <c r="H15" s="191">
        <v>0.79181015099918894</v>
      </c>
      <c r="I15" s="3"/>
      <c r="J15" s="3"/>
      <c r="K15" s="3"/>
      <c r="L15" s="3"/>
      <c r="M15" s="3"/>
    </row>
    <row r="16" spans="2:13">
      <c r="B16" s="3">
        <v>8</v>
      </c>
      <c r="C16" s="59" t="s">
        <v>105</v>
      </c>
      <c r="D16" s="111">
        <v>7.3600665087969214E-3</v>
      </c>
      <c r="E16" s="111">
        <v>9.6907133383711437E-3</v>
      </c>
      <c r="F16" s="111">
        <v>3.7259997224064279E-3</v>
      </c>
      <c r="G16" s="111">
        <v>1.9438478324568572E-3</v>
      </c>
      <c r="H16" s="191">
        <v>1.6927220342746474E-3</v>
      </c>
      <c r="I16" s="3"/>
      <c r="J16" s="3"/>
      <c r="K16" s="3"/>
      <c r="L16" s="3"/>
      <c r="M16" s="3"/>
    </row>
    <row r="17" spans="2:13">
      <c r="B17" s="3">
        <v>9</v>
      </c>
      <c r="C17" s="59" t="s">
        <v>106</v>
      </c>
      <c r="D17" s="111">
        <v>4.6100508027834906</v>
      </c>
      <c r="E17" s="111">
        <v>4.8690656208593222</v>
      </c>
      <c r="F17" s="111">
        <v>6.8889015118304986</v>
      </c>
      <c r="G17" s="111">
        <v>5.7692571512288611</v>
      </c>
      <c r="H17" s="191">
        <v>6.3946341657378891</v>
      </c>
      <c r="I17" s="3"/>
      <c r="J17" s="3"/>
      <c r="K17" s="3"/>
      <c r="L17" s="3"/>
      <c r="M17" s="3"/>
    </row>
    <row r="18" spans="2:13">
      <c r="B18" s="3">
        <v>10</v>
      </c>
      <c r="C18" s="59" t="s">
        <v>107</v>
      </c>
      <c r="D18" s="111">
        <v>2.6065899950049026E-2</v>
      </c>
      <c r="E18" s="111">
        <v>0.12971882855512545</v>
      </c>
      <c r="F18" s="111">
        <v>2.3457119504032814E-2</v>
      </c>
      <c r="G18" s="111">
        <v>3.7619586141912E-2</v>
      </c>
      <c r="H18" s="191">
        <v>1.9575020577432517E-2</v>
      </c>
      <c r="I18" s="3"/>
      <c r="J18" s="3"/>
      <c r="K18" s="3"/>
      <c r="L18" s="3"/>
      <c r="M18" s="3"/>
    </row>
    <row r="19" spans="2:13">
      <c r="B19" s="3">
        <v>11</v>
      </c>
      <c r="C19" s="59" t="s">
        <v>108</v>
      </c>
      <c r="D19" s="111">
        <v>6.4939999999999996E-4</v>
      </c>
      <c r="E19" s="111">
        <v>1.13385E-3</v>
      </c>
      <c r="F19" s="111">
        <v>1.6171E-3</v>
      </c>
      <c r="G19" s="111">
        <v>2.1836687768918774E-3</v>
      </c>
      <c r="H19" s="191">
        <v>1.3012340137480995E-3</v>
      </c>
      <c r="I19" s="3"/>
      <c r="J19" s="3"/>
      <c r="K19" s="3"/>
      <c r="L19" s="3"/>
      <c r="M19" s="3"/>
    </row>
    <row r="20" spans="2:13">
      <c r="B20" s="3">
        <v>12</v>
      </c>
      <c r="C20" s="59" t="s">
        <v>109</v>
      </c>
      <c r="D20" s="111">
        <v>0</v>
      </c>
      <c r="E20" s="111">
        <v>0</v>
      </c>
      <c r="F20" s="111">
        <v>0</v>
      </c>
      <c r="G20" s="111">
        <v>0</v>
      </c>
      <c r="H20" s="191">
        <v>0</v>
      </c>
      <c r="I20" s="3"/>
      <c r="J20" s="3"/>
      <c r="K20" s="3"/>
      <c r="L20" s="3"/>
      <c r="M20" s="3"/>
    </row>
    <row r="21" spans="2:13">
      <c r="B21" s="3">
        <v>13</v>
      </c>
      <c r="C21" s="59" t="s">
        <v>110</v>
      </c>
      <c r="D21" s="111">
        <v>0.10731870959215956</v>
      </c>
      <c r="E21" s="111">
        <v>9.4658924119334409E-2</v>
      </c>
      <c r="F21" s="111">
        <v>0.13361822709883872</v>
      </c>
      <c r="G21" s="111">
        <v>0.10845044838810666</v>
      </c>
      <c r="H21" s="191">
        <v>5.501038942185818E-2</v>
      </c>
      <c r="I21" s="3"/>
      <c r="J21" s="3"/>
      <c r="K21" s="3"/>
      <c r="L21" s="3"/>
      <c r="M21" s="3"/>
    </row>
    <row r="22" spans="2:13">
      <c r="B22" s="3">
        <v>14</v>
      </c>
      <c r="C22" s="59" t="s">
        <v>111</v>
      </c>
      <c r="D22" s="111">
        <v>0.6944546283277524</v>
      </c>
      <c r="E22" s="111">
        <v>7.137865778659222E-2</v>
      </c>
      <c r="F22" s="111">
        <v>0.10373185044644756</v>
      </c>
      <c r="G22" s="111">
        <v>6.2130102233764625E-2</v>
      </c>
      <c r="H22" s="191">
        <v>8.2203982398215331E-2</v>
      </c>
      <c r="I22" s="3"/>
      <c r="J22" s="3"/>
      <c r="K22" s="3"/>
      <c r="L22" s="3"/>
      <c r="M22" s="3"/>
    </row>
    <row r="23" spans="2:13">
      <c r="B23" s="3">
        <v>15</v>
      </c>
      <c r="C23" s="59" t="s">
        <v>112</v>
      </c>
      <c r="D23" s="111">
        <v>0</v>
      </c>
      <c r="E23" s="111">
        <v>0</v>
      </c>
      <c r="F23" s="111">
        <v>0</v>
      </c>
      <c r="G23" s="111">
        <v>0</v>
      </c>
      <c r="H23" s="191">
        <v>0</v>
      </c>
      <c r="I23" s="3"/>
      <c r="J23" s="3"/>
      <c r="K23" s="3"/>
      <c r="L23" s="3"/>
      <c r="M23" s="3"/>
    </row>
    <row r="24" spans="2:13">
      <c r="B24" s="3">
        <v>16</v>
      </c>
      <c r="C24" s="58" t="s">
        <v>113</v>
      </c>
      <c r="D24" s="111">
        <v>0</v>
      </c>
      <c r="E24" s="111">
        <v>0</v>
      </c>
      <c r="F24" s="111">
        <v>0</v>
      </c>
      <c r="G24" s="111">
        <v>0</v>
      </c>
      <c r="H24" s="191">
        <v>0</v>
      </c>
      <c r="I24" s="3"/>
      <c r="J24" s="3"/>
      <c r="K24" s="3"/>
      <c r="L24" s="3"/>
      <c r="M24" s="3"/>
    </row>
    <row r="25" spans="2:13">
      <c r="B25" s="3">
        <v>17</v>
      </c>
      <c r="C25" s="58" t="s">
        <v>114</v>
      </c>
      <c r="D25" s="111">
        <v>0</v>
      </c>
      <c r="E25" s="111">
        <v>0</v>
      </c>
      <c r="F25" s="111">
        <v>0</v>
      </c>
      <c r="G25" s="111">
        <v>0</v>
      </c>
      <c r="H25" s="191">
        <v>0</v>
      </c>
      <c r="I25" s="3"/>
      <c r="J25" s="3"/>
      <c r="K25" s="3"/>
      <c r="L25" s="3"/>
      <c r="M25" s="3"/>
    </row>
    <row r="26" spans="2:13">
      <c r="B26" s="3">
        <v>18</v>
      </c>
      <c r="C26" s="59" t="s">
        <v>115</v>
      </c>
      <c r="D26" s="111">
        <v>2.863881745694041E-2</v>
      </c>
      <c r="E26" s="111">
        <v>1.5106566321730948E-2</v>
      </c>
      <c r="F26" s="111">
        <v>1.9924157966164428E-2</v>
      </c>
      <c r="G26" s="111">
        <v>2.6630248214919112E-2</v>
      </c>
      <c r="H26" s="191">
        <v>0.10576607466063659</v>
      </c>
      <c r="I26" s="3"/>
      <c r="J26" s="3"/>
      <c r="K26" s="3"/>
      <c r="L26" s="3"/>
      <c r="M26" s="3"/>
    </row>
    <row r="27" spans="2:13">
      <c r="B27" s="3">
        <v>19</v>
      </c>
      <c r="C27" s="59" t="s">
        <v>116</v>
      </c>
      <c r="D27" s="111">
        <v>1.5349446928257731</v>
      </c>
      <c r="E27" s="111">
        <v>1.3848070444977176</v>
      </c>
      <c r="F27" s="111">
        <v>1.3746563126865272</v>
      </c>
      <c r="G27" s="111">
        <v>1.3303510783777817</v>
      </c>
      <c r="H27" s="191">
        <v>1.3922674480395063</v>
      </c>
      <c r="I27" s="3"/>
      <c r="J27" s="3"/>
      <c r="K27" s="3"/>
      <c r="L27" s="3"/>
      <c r="M27" s="3"/>
    </row>
    <row r="28" spans="2:13">
      <c r="B28" s="3">
        <v>20</v>
      </c>
      <c r="C28" s="59" t="s">
        <v>117</v>
      </c>
      <c r="D28" s="111">
        <v>0</v>
      </c>
      <c r="E28" s="111">
        <v>0</v>
      </c>
      <c r="F28" s="111">
        <v>0</v>
      </c>
      <c r="G28" s="111">
        <v>0</v>
      </c>
      <c r="H28" s="191">
        <v>0</v>
      </c>
      <c r="I28" s="3"/>
      <c r="J28" s="3"/>
      <c r="K28" s="3"/>
      <c r="L28" s="3"/>
      <c r="M28" s="3"/>
    </row>
    <row r="29" spans="2:13">
      <c r="B29" s="3">
        <v>21</v>
      </c>
      <c r="C29" s="59" t="s">
        <v>118</v>
      </c>
      <c r="D29" s="111">
        <v>0</v>
      </c>
      <c r="E29" s="111">
        <v>0</v>
      </c>
      <c r="F29" s="111">
        <v>0</v>
      </c>
      <c r="G29" s="111">
        <v>0</v>
      </c>
      <c r="H29" s="191">
        <v>0</v>
      </c>
      <c r="I29" s="3"/>
      <c r="J29" s="3"/>
      <c r="K29" s="3"/>
      <c r="L29" s="3"/>
      <c r="M29" s="3"/>
    </row>
    <row r="30" spans="2:13">
      <c r="B30" s="3">
        <v>22</v>
      </c>
      <c r="C30" s="59" t="s">
        <v>119</v>
      </c>
      <c r="D30" s="111">
        <v>0</v>
      </c>
      <c r="E30" s="111">
        <v>0</v>
      </c>
      <c r="F30" s="111">
        <v>3.083965E-2</v>
      </c>
      <c r="G30" s="111">
        <v>4.0349099999999999E-2</v>
      </c>
      <c r="H30" s="191">
        <v>3.5342955000000002E-2</v>
      </c>
      <c r="I30" s="3"/>
      <c r="J30" s="3"/>
      <c r="K30" s="3"/>
      <c r="L30" s="3"/>
      <c r="M30" s="3"/>
    </row>
    <row r="31" spans="2:13">
      <c r="B31" s="3">
        <v>23</v>
      </c>
      <c r="C31" s="59" t="s">
        <v>120</v>
      </c>
      <c r="D31" s="111">
        <v>0</v>
      </c>
      <c r="E31" s="111">
        <v>0</v>
      </c>
      <c r="F31" s="111">
        <v>0</v>
      </c>
      <c r="G31" s="111">
        <v>0</v>
      </c>
      <c r="H31" s="191">
        <v>0</v>
      </c>
      <c r="I31" s="3"/>
      <c r="J31" s="3"/>
      <c r="K31" s="3"/>
      <c r="L31" s="3"/>
      <c r="M31" s="3"/>
    </row>
    <row r="32" spans="2:13">
      <c r="B32" s="3">
        <v>24</v>
      </c>
      <c r="C32" s="59" t="s">
        <v>121</v>
      </c>
      <c r="D32" s="111">
        <v>4.8121332878841142E-2</v>
      </c>
      <c r="E32" s="111">
        <v>8.5517925496969606E-3</v>
      </c>
      <c r="F32" s="111">
        <v>4.6935502768224793E-2</v>
      </c>
      <c r="G32" s="111">
        <v>3.7730683859475964E-2</v>
      </c>
      <c r="H32" s="191">
        <v>5.2208955778180056E-2</v>
      </c>
      <c r="I32" s="3"/>
      <c r="J32" s="3"/>
      <c r="K32" s="3"/>
      <c r="L32" s="3"/>
      <c r="M32" s="3"/>
    </row>
    <row r="33" spans="2:13">
      <c r="B33" s="3">
        <v>25</v>
      </c>
      <c r="C33" s="59" t="s">
        <v>122</v>
      </c>
      <c r="D33" s="111">
        <v>0</v>
      </c>
      <c r="E33" s="111">
        <v>0</v>
      </c>
      <c r="F33" s="111">
        <v>0</v>
      </c>
      <c r="G33" s="111">
        <v>0</v>
      </c>
      <c r="H33" s="191">
        <v>0</v>
      </c>
      <c r="I33" s="3"/>
      <c r="J33" s="3"/>
      <c r="K33" s="3"/>
      <c r="L33" s="3"/>
      <c r="M33" s="3"/>
    </row>
    <row r="34" spans="2:13">
      <c r="B34" s="3">
        <v>26</v>
      </c>
      <c r="C34" s="59" t="s">
        <v>123</v>
      </c>
      <c r="D34" s="111">
        <v>0</v>
      </c>
      <c r="E34" s="111">
        <v>0</v>
      </c>
      <c r="F34" s="111">
        <v>0</v>
      </c>
      <c r="G34" s="111">
        <v>0</v>
      </c>
      <c r="H34" s="191">
        <v>0</v>
      </c>
      <c r="I34" s="3"/>
      <c r="J34" s="3"/>
      <c r="K34" s="3"/>
      <c r="L34" s="3"/>
      <c r="M34" s="3"/>
    </row>
    <row r="35" spans="2:13">
      <c r="B35" s="3">
        <v>27</v>
      </c>
      <c r="C35" s="59" t="s">
        <v>124</v>
      </c>
      <c r="D35" s="111">
        <v>2.1482528011396222E-2</v>
      </c>
      <c r="E35" s="111">
        <v>2.4221805650571381E-2</v>
      </c>
      <c r="F35" s="111">
        <v>2.2947928136421818E-2</v>
      </c>
      <c r="G35" s="111">
        <v>2.5044285720694601E-2</v>
      </c>
      <c r="H35" s="191">
        <v>0</v>
      </c>
    </row>
    <row r="36" spans="2:13">
      <c r="B36" s="3">
        <v>28</v>
      </c>
      <c r="C36" s="59" t="s">
        <v>95</v>
      </c>
      <c r="D36" s="111">
        <v>0.16436765348863153</v>
      </c>
      <c r="E36" s="111">
        <v>0.39225458295522264</v>
      </c>
      <c r="F36" s="111">
        <v>3.5810197663970129</v>
      </c>
      <c r="G36" s="111">
        <v>4.1550835396573088E-3</v>
      </c>
      <c r="H36" s="191">
        <v>0.82845072168147449</v>
      </c>
      <c r="I36" s="111">
        <v>16.27007782740338</v>
      </c>
      <c r="J36" s="111">
        <v>17.067311640946144</v>
      </c>
      <c r="K36" s="111">
        <v>17.903609911352504</v>
      </c>
      <c r="L36" s="111">
        <v>18.780886797008776</v>
      </c>
      <c r="M36" s="111">
        <v>19.701150250062206</v>
      </c>
    </row>
    <row r="37" spans="2:13" ht="15">
      <c r="B37" s="3">
        <v>29</v>
      </c>
      <c r="C37" s="60" t="s">
        <v>125</v>
      </c>
      <c r="D37" s="99">
        <f>SUM(D9:D36)</f>
        <v>11.297266605590691</v>
      </c>
      <c r="E37" s="99">
        <f t="shared" ref="E37:G37" si="0">SUM(E9:E36)</f>
        <v>13.12160252690734</v>
      </c>
      <c r="F37" s="99">
        <f t="shared" si="0"/>
        <v>18.77849613825893</v>
      </c>
      <c r="G37" s="99">
        <f t="shared" si="0"/>
        <v>12.456280917608222</v>
      </c>
      <c r="H37" s="192">
        <f t="shared" ref="H37" si="1">SUM(H9:H36)</f>
        <v>14.821043151630271</v>
      </c>
      <c r="I37" s="99">
        <f>SUM(I9:I36)</f>
        <v>16.27007782740338</v>
      </c>
      <c r="J37" s="99">
        <f>SUM(J9:J36)</f>
        <v>17.067311640946144</v>
      </c>
      <c r="K37" s="99">
        <f>SUM(K9:K36)</f>
        <v>17.903609911352504</v>
      </c>
      <c r="L37" s="99">
        <f>SUM(L9:L36)</f>
        <v>18.780886797008776</v>
      </c>
      <c r="M37" s="99">
        <f>SUM(M9:M36)</f>
        <v>19.701150250062206</v>
      </c>
    </row>
    <row r="38" spans="2:13">
      <c r="B38" s="3">
        <v>30</v>
      </c>
      <c r="C38" s="48" t="s">
        <v>17</v>
      </c>
      <c r="D38" s="111">
        <v>0</v>
      </c>
      <c r="E38" s="111">
        <v>0</v>
      </c>
      <c r="F38" s="111">
        <v>0</v>
      </c>
      <c r="G38" s="111">
        <v>0</v>
      </c>
      <c r="H38" s="191">
        <v>0</v>
      </c>
      <c r="I38" s="111"/>
      <c r="J38" s="111"/>
      <c r="K38" s="111"/>
      <c r="L38" s="111"/>
      <c r="M38" s="111"/>
    </row>
    <row r="39" spans="2:13" ht="15">
      <c r="B39" s="3">
        <v>31</v>
      </c>
      <c r="C39" s="25" t="s">
        <v>126</v>
      </c>
      <c r="D39" s="99">
        <f>D37-D38</f>
        <v>11.297266605590691</v>
      </c>
      <c r="E39" s="99">
        <f t="shared" ref="E39:M39" si="2">E37-E38</f>
        <v>13.12160252690734</v>
      </c>
      <c r="F39" s="99">
        <f t="shared" si="2"/>
        <v>18.77849613825893</v>
      </c>
      <c r="G39" s="126">
        <f t="shared" si="2"/>
        <v>12.456280917608222</v>
      </c>
      <c r="H39" s="192">
        <f t="shared" si="2"/>
        <v>14.821043151630271</v>
      </c>
      <c r="I39" s="99">
        <f t="shared" si="2"/>
        <v>16.27007782740338</v>
      </c>
      <c r="J39" s="99">
        <f t="shared" si="2"/>
        <v>17.067311640946144</v>
      </c>
      <c r="K39" s="99">
        <f t="shared" si="2"/>
        <v>17.903609911352504</v>
      </c>
      <c r="L39" s="99">
        <f t="shared" si="2"/>
        <v>18.780886797008776</v>
      </c>
      <c r="M39" s="99">
        <f t="shared" si="2"/>
        <v>19.701150250062206</v>
      </c>
    </row>
    <row r="40" spans="2:13">
      <c r="D40" s="128"/>
      <c r="E40" s="128"/>
      <c r="F40" s="128"/>
      <c r="G40" s="128"/>
      <c r="H40" s="128"/>
    </row>
  </sheetData>
  <mergeCells count="6">
    <mergeCell ref="I6:M6"/>
    <mergeCell ref="B2:M2"/>
    <mergeCell ref="B3:M3"/>
    <mergeCell ref="B4:M4"/>
    <mergeCell ref="B6:B8"/>
    <mergeCell ref="C6:C8"/>
  </mergeCells>
  <pageMargins left="0.75" right="0.75" top="1" bottom="1" header="0.5" footer="0.5"/>
  <pageSetup paperSize="9" scale="7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M20"/>
  <sheetViews>
    <sheetView showGridLines="0" zoomScale="80" zoomScaleNormal="80" zoomScaleSheetLayoutView="90" workbookViewId="0">
      <selection activeCell="E24" sqref="E24"/>
    </sheetView>
  </sheetViews>
  <sheetFormatPr defaultColWidth="9.28515625" defaultRowHeight="14.25"/>
  <cols>
    <col min="1" max="1" width="4.5703125" style="19" customWidth="1"/>
    <col min="2" max="2" width="8.7109375" style="61" customWidth="1"/>
    <col min="3" max="3" width="34.42578125" style="19" customWidth="1"/>
    <col min="4" max="13" width="12.140625" style="19" customWidth="1"/>
    <col min="14" max="16384" width="9.28515625" style="19"/>
  </cols>
  <sheetData>
    <row r="2" spans="1:13" s="4" customFormat="1" ht="14.25" customHeight="1">
      <c r="A2" s="41"/>
      <c r="B2" s="372" t="s">
        <v>511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</row>
    <row r="3" spans="1:13" s="4" customFormat="1" ht="14.25" customHeight="1">
      <c r="A3" s="41"/>
      <c r="B3" s="372" t="s">
        <v>423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</row>
    <row r="4" spans="1:13" s="4" customFormat="1" ht="14.25" customHeight="1">
      <c r="A4" s="41"/>
      <c r="B4" s="376" t="s">
        <v>289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</row>
    <row r="5" spans="1:13" ht="15">
      <c r="M5" s="32" t="s">
        <v>4</v>
      </c>
    </row>
    <row r="6" spans="1:13" ht="12.75" customHeight="1">
      <c r="B6" s="365" t="s">
        <v>209</v>
      </c>
      <c r="C6" s="363" t="s">
        <v>18</v>
      </c>
      <c r="D6" s="21" t="s">
        <v>486</v>
      </c>
      <c r="E6" s="21" t="s">
        <v>487</v>
      </c>
      <c r="F6" s="21" t="s">
        <v>488</v>
      </c>
      <c r="G6" s="21" t="s">
        <v>473</v>
      </c>
      <c r="H6" s="21" t="s">
        <v>474</v>
      </c>
      <c r="I6" s="373" t="s">
        <v>251</v>
      </c>
      <c r="J6" s="374"/>
      <c r="K6" s="374"/>
      <c r="L6" s="374"/>
      <c r="M6" s="375"/>
    </row>
    <row r="7" spans="1:13" ht="15">
      <c r="B7" s="365"/>
      <c r="C7" s="363"/>
      <c r="D7" s="21" t="s">
        <v>269</v>
      </c>
      <c r="E7" s="21" t="s">
        <v>269</v>
      </c>
      <c r="F7" s="21" t="s">
        <v>269</v>
      </c>
      <c r="G7" s="21" t="s">
        <v>269</v>
      </c>
      <c r="H7" s="21" t="s">
        <v>268</v>
      </c>
      <c r="I7" s="21" t="s">
        <v>475</v>
      </c>
      <c r="J7" s="21" t="s">
        <v>476</v>
      </c>
      <c r="K7" s="21" t="s">
        <v>477</v>
      </c>
      <c r="L7" s="21" t="s">
        <v>478</v>
      </c>
      <c r="M7" s="21" t="s">
        <v>479</v>
      </c>
    </row>
    <row r="8" spans="1:13" ht="30">
      <c r="B8" s="365"/>
      <c r="C8" s="363"/>
      <c r="D8" s="21" t="s">
        <v>12</v>
      </c>
      <c r="E8" s="21" t="s">
        <v>12</v>
      </c>
      <c r="F8" s="21" t="s">
        <v>12</v>
      </c>
      <c r="G8" s="21" t="s">
        <v>12</v>
      </c>
      <c r="H8" s="21" t="s">
        <v>513</v>
      </c>
      <c r="I8" s="21" t="s">
        <v>8</v>
      </c>
      <c r="J8" s="21" t="s">
        <v>8</v>
      </c>
      <c r="K8" s="21" t="s">
        <v>8</v>
      </c>
      <c r="L8" s="21" t="s">
        <v>8</v>
      </c>
      <c r="M8" s="21" t="s">
        <v>8</v>
      </c>
    </row>
    <row r="9" spans="1:13">
      <c r="B9" s="2">
        <v>1</v>
      </c>
      <c r="C9" s="59" t="s">
        <v>127</v>
      </c>
      <c r="D9" s="111">
        <v>20.862982305677811</v>
      </c>
      <c r="E9" s="111">
        <v>17.21419405352249</v>
      </c>
      <c r="F9" s="111">
        <v>34.371236337213759</v>
      </c>
      <c r="G9" s="193">
        <v>20.392596087006428</v>
      </c>
      <c r="H9" s="111">
        <v>23.909043994171562</v>
      </c>
      <c r="I9" s="3"/>
      <c r="J9" s="3"/>
      <c r="K9" s="3"/>
      <c r="L9" s="3"/>
      <c r="M9" s="3"/>
    </row>
    <row r="10" spans="1:13">
      <c r="B10" s="2">
        <v>2</v>
      </c>
      <c r="C10" s="59" t="s">
        <v>128</v>
      </c>
      <c r="D10" s="111">
        <v>0</v>
      </c>
      <c r="E10" s="111">
        <v>2.6908147371343086E-3</v>
      </c>
      <c r="F10" s="111">
        <v>0</v>
      </c>
      <c r="G10" s="191">
        <v>0</v>
      </c>
      <c r="H10" s="111">
        <v>0</v>
      </c>
      <c r="I10" s="3"/>
      <c r="J10" s="3"/>
      <c r="K10" s="3"/>
      <c r="L10" s="3"/>
      <c r="M10" s="3"/>
    </row>
    <row r="11" spans="1:13">
      <c r="B11" s="2">
        <v>3</v>
      </c>
      <c r="C11" s="59" t="s">
        <v>129</v>
      </c>
      <c r="D11" s="111">
        <v>3.9996419884326921</v>
      </c>
      <c r="E11" s="111">
        <v>1.9473424207017795</v>
      </c>
      <c r="F11" s="111">
        <v>3.5783650994962755</v>
      </c>
      <c r="G11" s="191">
        <v>3.18</v>
      </c>
      <c r="H11" s="111">
        <v>3.2336190425048477</v>
      </c>
      <c r="I11" s="3"/>
      <c r="J11" s="3"/>
      <c r="K11" s="3"/>
      <c r="L11" s="3"/>
      <c r="M11" s="3"/>
    </row>
    <row r="12" spans="1:13">
      <c r="B12" s="2">
        <v>4</v>
      </c>
      <c r="C12" s="59" t="s">
        <v>130</v>
      </c>
      <c r="D12" s="111">
        <v>0</v>
      </c>
      <c r="E12" s="111">
        <v>0</v>
      </c>
      <c r="F12" s="111">
        <v>0</v>
      </c>
      <c r="G12" s="191" t="s">
        <v>512</v>
      </c>
      <c r="H12" s="111">
        <v>0</v>
      </c>
      <c r="I12" s="3"/>
      <c r="J12" s="3"/>
      <c r="K12" s="3"/>
      <c r="L12" s="3"/>
      <c r="M12" s="3"/>
    </row>
    <row r="13" spans="1:13">
      <c r="B13" s="2">
        <v>5</v>
      </c>
      <c r="C13" s="59" t="s">
        <v>131</v>
      </c>
      <c r="D13" s="111">
        <v>0.84611336668068016</v>
      </c>
      <c r="E13" s="111">
        <v>0.89761637650646176</v>
      </c>
      <c r="F13" s="111">
        <v>1.2349992961443179</v>
      </c>
      <c r="G13" s="191">
        <v>0.94</v>
      </c>
      <c r="H13" s="111">
        <v>0.83092809942162693</v>
      </c>
      <c r="I13" s="3"/>
      <c r="J13" s="3"/>
      <c r="K13" s="3"/>
      <c r="L13" s="3"/>
      <c r="M13" s="3"/>
    </row>
    <row r="14" spans="1:13">
      <c r="B14" s="2">
        <v>6</v>
      </c>
      <c r="C14" s="59" t="s">
        <v>132</v>
      </c>
      <c r="D14" s="111">
        <v>2.6609278E-2</v>
      </c>
      <c r="E14" s="111">
        <v>1.1199502E-2</v>
      </c>
      <c r="F14" s="111">
        <v>2.3042693E-2</v>
      </c>
      <c r="G14" s="191">
        <v>0.02</v>
      </c>
      <c r="H14" s="111">
        <v>1.7776719783823624E-2</v>
      </c>
      <c r="I14" s="3"/>
      <c r="J14" s="3"/>
      <c r="K14" s="3"/>
      <c r="L14" s="3"/>
      <c r="M14" s="3"/>
    </row>
    <row r="15" spans="1:13">
      <c r="B15" s="2">
        <v>7</v>
      </c>
      <c r="C15" s="59" t="s">
        <v>133</v>
      </c>
      <c r="D15" s="111">
        <v>1.0721092463408766E-4</v>
      </c>
      <c r="E15" s="111">
        <v>5.014419443887543E-4</v>
      </c>
      <c r="F15" s="111">
        <v>0</v>
      </c>
      <c r="G15" s="191" t="s">
        <v>512</v>
      </c>
      <c r="H15" s="111">
        <v>0</v>
      </c>
      <c r="I15" s="3"/>
      <c r="J15" s="3"/>
      <c r="K15" s="3"/>
      <c r="L15" s="3"/>
      <c r="M15" s="3"/>
    </row>
    <row r="16" spans="1:13">
      <c r="B16" s="2">
        <v>8</v>
      </c>
      <c r="C16" s="59" t="s">
        <v>134</v>
      </c>
      <c r="D16" s="111">
        <v>0.11993393886707804</v>
      </c>
      <c r="E16" s="111">
        <v>0.31907833109781314</v>
      </c>
      <c r="F16" s="111">
        <v>0.38394269014978488</v>
      </c>
      <c r="G16" s="191">
        <v>0.22</v>
      </c>
      <c r="H16" s="111">
        <v>0.24683756636855575</v>
      </c>
      <c r="I16" s="111">
        <v>33.048156205305141</v>
      </c>
      <c r="J16" s="111">
        <v>33.603385659032945</v>
      </c>
      <c r="K16" s="111">
        <v>34.162390208418941</v>
      </c>
      <c r="L16" s="111">
        <v>34.597978168979466</v>
      </c>
      <c r="M16" s="111">
        <v>34.597978168979466</v>
      </c>
    </row>
    <row r="17" spans="2:13" ht="15">
      <c r="B17" s="2">
        <v>9</v>
      </c>
      <c r="C17" s="60" t="s">
        <v>135</v>
      </c>
      <c r="D17" s="99">
        <f>SUM(D9:D16)</f>
        <v>25.855388088582895</v>
      </c>
      <c r="E17" s="99">
        <f t="shared" ref="E17:M17" si="0">SUM(E9:E16)</f>
        <v>20.392622940510073</v>
      </c>
      <c r="F17" s="99">
        <f t="shared" si="0"/>
        <v>39.591586116004137</v>
      </c>
      <c r="G17" s="99">
        <f t="shared" si="0"/>
        <v>24.752596087006427</v>
      </c>
      <c r="H17" s="99">
        <f t="shared" si="0"/>
        <v>28.238205422250417</v>
      </c>
      <c r="I17" s="99">
        <f t="shared" si="0"/>
        <v>33.048156205305141</v>
      </c>
      <c r="J17" s="99">
        <f t="shared" si="0"/>
        <v>33.603385659032945</v>
      </c>
      <c r="K17" s="99">
        <f t="shared" si="0"/>
        <v>34.162390208418941</v>
      </c>
      <c r="L17" s="99">
        <f t="shared" si="0"/>
        <v>34.597978168979466</v>
      </c>
      <c r="M17" s="99">
        <f t="shared" si="0"/>
        <v>34.597978168979466</v>
      </c>
    </row>
    <row r="18" spans="2:13">
      <c r="B18" s="2"/>
      <c r="C18" s="58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2:13" ht="28.5">
      <c r="B19" s="2">
        <v>10</v>
      </c>
      <c r="C19" s="62" t="s">
        <v>136</v>
      </c>
      <c r="D19" s="111">
        <v>2149.48</v>
      </c>
      <c r="E19" s="3">
        <v>2152.84</v>
      </c>
      <c r="F19" s="3">
        <v>2188.98</v>
      </c>
      <c r="G19" s="99">
        <f>'F4'!F22</f>
        <v>2269.88</v>
      </c>
      <c r="H19" s="99">
        <f>'F4'!F40</f>
        <v>2275.94</v>
      </c>
      <c r="I19" s="99">
        <f>'F4'!F49</f>
        <v>2276.11</v>
      </c>
      <c r="J19" s="99">
        <f>'F4'!F57</f>
        <v>2314.35</v>
      </c>
      <c r="K19" s="99">
        <f>'F4'!F66</f>
        <v>2352.85</v>
      </c>
      <c r="L19" s="99">
        <f>'F4'!F75</f>
        <v>2382.85</v>
      </c>
      <c r="M19" s="99">
        <f>'F4'!F84</f>
        <v>2382.85</v>
      </c>
    </row>
    <row r="20" spans="2:13" ht="28.5">
      <c r="B20" s="2">
        <v>11</v>
      </c>
      <c r="C20" s="62" t="s">
        <v>137</v>
      </c>
      <c r="D20" s="112">
        <f>IFERROR(D17/D19,0)</f>
        <v>1.2028671161668355E-2</v>
      </c>
      <c r="E20" s="112">
        <f t="shared" ref="E20:M20" si="1">IFERROR(E17/E19,0)</f>
        <v>9.4724284854007124E-3</v>
      </c>
      <c r="F20" s="112">
        <f t="shared" si="1"/>
        <v>1.8086773801498476E-2</v>
      </c>
      <c r="G20" s="112">
        <f t="shared" si="1"/>
        <v>1.0904803816504143E-2</v>
      </c>
      <c r="H20" s="112">
        <f t="shared" si="1"/>
        <v>1.2407271466844651E-2</v>
      </c>
      <c r="I20" s="112">
        <f t="shared" si="1"/>
        <v>1.4519577790750507E-2</v>
      </c>
      <c r="J20" s="112">
        <f t="shared" si="1"/>
        <v>1.451957813599194E-2</v>
      </c>
      <c r="K20" s="112">
        <f t="shared" si="1"/>
        <v>1.451957847224385E-2</v>
      </c>
      <c r="L20" s="112">
        <f t="shared" si="1"/>
        <v>1.4519578726726176E-2</v>
      </c>
      <c r="M20" s="112">
        <f t="shared" si="1"/>
        <v>1.4519578726726176E-2</v>
      </c>
    </row>
  </sheetData>
  <mergeCells count="6">
    <mergeCell ref="B6:B8"/>
    <mergeCell ref="C6:C8"/>
    <mergeCell ref="I6:M6"/>
    <mergeCell ref="B2:M2"/>
    <mergeCell ref="B3:M3"/>
    <mergeCell ref="B4:M4"/>
  </mergeCells>
  <pageMargins left="0" right="0" top="1" bottom="1" header="0.5" footer="0.5"/>
  <pageSetup paperSize="9" scale="8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5"/>
  <sheetViews>
    <sheetView showGridLines="0" zoomScale="90" zoomScaleNormal="90" zoomScaleSheetLayoutView="90" workbookViewId="0">
      <selection activeCell="M12" sqref="M12"/>
    </sheetView>
  </sheetViews>
  <sheetFormatPr defaultColWidth="9.28515625" defaultRowHeight="14.25"/>
  <cols>
    <col min="1" max="1" width="4.28515625" style="4" customWidth="1"/>
    <col min="2" max="2" width="6.28515625" style="4" customWidth="1"/>
    <col min="3" max="3" width="34.5703125" style="4" customWidth="1"/>
    <col min="4" max="13" width="12.140625" style="4" customWidth="1"/>
    <col min="14" max="16" width="11.7109375" style="4" bestFit="1" customWidth="1"/>
    <col min="17" max="16384" width="9.28515625" style="4"/>
  </cols>
  <sheetData>
    <row r="2" spans="2:13" ht="15">
      <c r="B2" s="377" t="s">
        <v>511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</row>
    <row r="3" spans="2:13" ht="15">
      <c r="B3" s="377" t="s">
        <v>423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</row>
    <row r="4" spans="2:13" ht="15">
      <c r="B4" s="376" t="s">
        <v>290</v>
      </c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</row>
    <row r="5" spans="2:13" ht="15">
      <c r="M5" s="32" t="s">
        <v>4</v>
      </c>
    </row>
    <row r="6" spans="2:13" s="19" customFormat="1" ht="15" customHeight="1">
      <c r="B6" s="360" t="s">
        <v>209</v>
      </c>
      <c r="C6" s="363" t="s">
        <v>18</v>
      </c>
      <c r="D6" s="367" t="s">
        <v>473</v>
      </c>
      <c r="E6" s="368"/>
      <c r="F6" s="369"/>
      <c r="G6" s="367" t="s">
        <v>474</v>
      </c>
      <c r="H6" s="369"/>
      <c r="I6" s="370" t="s">
        <v>251</v>
      </c>
      <c r="J6" s="370"/>
      <c r="K6" s="370"/>
      <c r="L6" s="370"/>
      <c r="M6" s="370"/>
    </row>
    <row r="7" spans="2:13" s="19" customFormat="1" ht="45">
      <c r="B7" s="361"/>
      <c r="C7" s="363"/>
      <c r="D7" s="21" t="s">
        <v>381</v>
      </c>
      <c r="E7" s="21" t="s">
        <v>269</v>
      </c>
      <c r="F7" s="21" t="s">
        <v>225</v>
      </c>
      <c r="G7" s="21" t="s">
        <v>381</v>
      </c>
      <c r="H7" s="21" t="s">
        <v>268</v>
      </c>
      <c r="I7" s="21" t="s">
        <v>475</v>
      </c>
      <c r="J7" s="21" t="s">
        <v>476</v>
      </c>
      <c r="K7" s="21" t="s">
        <v>477</v>
      </c>
      <c r="L7" s="21" t="s">
        <v>478</v>
      </c>
      <c r="M7" s="21" t="s">
        <v>479</v>
      </c>
    </row>
    <row r="8" spans="2:13" s="19" customFormat="1" ht="30">
      <c r="B8" s="362"/>
      <c r="C8" s="364"/>
      <c r="D8" s="21" t="s">
        <v>10</v>
      </c>
      <c r="E8" s="21" t="s">
        <v>12</v>
      </c>
      <c r="F8" s="21" t="s">
        <v>258</v>
      </c>
      <c r="G8" s="21" t="s">
        <v>10</v>
      </c>
      <c r="H8" s="21" t="s">
        <v>513</v>
      </c>
      <c r="I8" s="21" t="s">
        <v>8</v>
      </c>
      <c r="J8" s="21" t="s">
        <v>8</v>
      </c>
      <c r="K8" s="21" t="s">
        <v>8</v>
      </c>
      <c r="L8" s="21" t="s">
        <v>8</v>
      </c>
      <c r="M8" s="21" t="s">
        <v>8</v>
      </c>
    </row>
    <row r="9" spans="2:13" s="5" customFormat="1">
      <c r="B9" s="65">
        <v>1</v>
      </c>
      <c r="C9" s="33" t="s">
        <v>273</v>
      </c>
      <c r="D9" s="108"/>
      <c r="E9" s="115">
        <v>1.85</v>
      </c>
      <c r="F9" s="115">
        <f>E9</f>
        <v>1.85</v>
      </c>
      <c r="G9" s="98"/>
      <c r="H9" s="98">
        <f>0</f>
        <v>0</v>
      </c>
      <c r="I9" s="98">
        <f>H12</f>
        <v>0</v>
      </c>
      <c r="J9" s="98">
        <f>I12</f>
        <v>0</v>
      </c>
      <c r="K9" s="98">
        <f>J12</f>
        <v>0</v>
      </c>
      <c r="L9" s="98">
        <f>K12</f>
        <v>0</v>
      </c>
      <c r="M9" s="98">
        <f>L12</f>
        <v>0</v>
      </c>
    </row>
    <row r="10" spans="2:13" s="5" customFormat="1">
      <c r="B10" s="26">
        <v>2</v>
      </c>
      <c r="C10" s="33" t="s">
        <v>292</v>
      </c>
      <c r="D10" s="2"/>
      <c r="E10" s="115">
        <f>F3.1!G18</f>
        <v>4.21</v>
      </c>
      <c r="F10" s="115">
        <f>E10</f>
        <v>4.21</v>
      </c>
      <c r="G10" s="27"/>
      <c r="H10" s="98">
        <f>F3.1!G24</f>
        <v>0.17267858799999999</v>
      </c>
      <c r="I10" s="98">
        <f>F3.1!G32</f>
        <v>38.239999999999995</v>
      </c>
      <c r="J10" s="98">
        <f>F3.1!G38</f>
        <v>38.5</v>
      </c>
      <c r="K10" s="98">
        <f>F3.1!G44</f>
        <v>30</v>
      </c>
      <c r="L10" s="98">
        <f>F3.1!G50</f>
        <v>0</v>
      </c>
      <c r="M10" s="98">
        <f>F3.1!G56</f>
        <v>0.5</v>
      </c>
    </row>
    <row r="11" spans="2:13" s="5" customFormat="1" ht="15">
      <c r="B11" s="26">
        <v>3</v>
      </c>
      <c r="C11" s="35" t="s">
        <v>242</v>
      </c>
      <c r="D11" s="108"/>
      <c r="E11" s="212">
        <f>F3.1!H18</f>
        <v>6.06</v>
      </c>
      <c r="F11" s="212">
        <f>E11</f>
        <v>6.06</v>
      </c>
      <c r="G11" s="108"/>
      <c r="H11" s="97">
        <f>F3.1!H24</f>
        <v>0.17267858799999999</v>
      </c>
      <c r="I11" s="97">
        <f>F3.1!H32</f>
        <v>38.239999999999995</v>
      </c>
      <c r="J11" s="97">
        <f>F3.1!H38</f>
        <v>38.5</v>
      </c>
      <c r="K11" s="97">
        <f>F3.1!H44</f>
        <v>30</v>
      </c>
      <c r="L11" s="97">
        <f>F3.1!H50</f>
        <v>0</v>
      </c>
      <c r="M11" s="97">
        <f>F3.1!H56</f>
        <v>0.5</v>
      </c>
    </row>
    <row r="12" spans="2:13" s="5" customFormat="1" ht="15">
      <c r="B12" s="26">
        <v>4</v>
      </c>
      <c r="C12" s="33" t="s">
        <v>274</v>
      </c>
      <c r="D12" s="110">
        <f>D9+D10-D11</f>
        <v>0</v>
      </c>
      <c r="E12" s="213">
        <f>E9+E10-E11</f>
        <v>0</v>
      </c>
      <c r="F12" s="213">
        <f t="shared" ref="F12:M12" si="0">F9+F10-F11</f>
        <v>0</v>
      </c>
      <c r="G12" s="110">
        <f t="shared" si="0"/>
        <v>0</v>
      </c>
      <c r="H12" s="109">
        <v>0</v>
      </c>
      <c r="I12" s="110">
        <f t="shared" si="0"/>
        <v>0</v>
      </c>
      <c r="J12" s="110">
        <f t="shared" si="0"/>
        <v>0</v>
      </c>
      <c r="K12" s="110">
        <f t="shared" si="0"/>
        <v>0</v>
      </c>
      <c r="L12" s="110">
        <f t="shared" si="0"/>
        <v>0</v>
      </c>
      <c r="M12" s="110">
        <f t="shared" si="0"/>
        <v>0</v>
      </c>
    </row>
    <row r="13" spans="2:13" s="38" customFormat="1" ht="15">
      <c r="B13" s="66"/>
      <c r="C13" s="55"/>
      <c r="D13" s="63"/>
      <c r="E13" s="63"/>
      <c r="F13" s="63"/>
      <c r="G13" s="64"/>
      <c r="H13" s="30"/>
      <c r="I13" s="30"/>
      <c r="J13" s="30"/>
      <c r="K13" s="30"/>
    </row>
    <row r="15" spans="2:13">
      <c r="B15" s="67"/>
    </row>
  </sheetData>
  <mergeCells count="8">
    <mergeCell ref="B2:M2"/>
    <mergeCell ref="B3:M3"/>
    <mergeCell ref="B4:M4"/>
    <mergeCell ref="B6:B8"/>
    <mergeCell ref="C6:C8"/>
    <mergeCell ref="D6:F6"/>
    <mergeCell ref="I6:M6"/>
    <mergeCell ref="G6:H6"/>
  </mergeCells>
  <pageMargins left="0" right="0" top="1" bottom="1" header="0.25" footer="0.25"/>
  <pageSetup paperSize="9" scale="88" orientation="landscape" r:id="rId1"/>
  <headerFooter alignWithMargins="0">
    <oddHeader>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57"/>
  <sheetViews>
    <sheetView showGridLines="0" topLeftCell="A8" zoomScale="80" zoomScaleNormal="80" workbookViewId="0">
      <selection activeCell="N15" sqref="N15"/>
    </sheetView>
  </sheetViews>
  <sheetFormatPr defaultRowHeight="14.25"/>
  <cols>
    <col min="1" max="1" width="5.28515625" style="88" customWidth="1"/>
    <col min="2" max="2" width="7.140625" style="88" customWidth="1"/>
    <col min="3" max="3" width="25.28515625" style="88" customWidth="1"/>
    <col min="4" max="4" width="13.42578125" style="88" customWidth="1"/>
    <col min="5" max="5" width="23.28515625" style="88" customWidth="1"/>
    <col min="6" max="6" width="16.140625" style="88" customWidth="1"/>
    <col min="7" max="7" width="15.85546875" style="88" customWidth="1"/>
    <col min="8" max="8" width="16.28515625" style="88" customWidth="1"/>
    <col min="9" max="9" width="20.5703125" style="88" customWidth="1"/>
    <col min="10" max="10" width="18.140625" style="88" customWidth="1"/>
    <col min="11" max="11" width="26.85546875" style="88" customWidth="1"/>
    <col min="12" max="12" width="18" style="88" customWidth="1"/>
    <col min="13" max="16384" width="9.140625" style="88"/>
  </cols>
  <sheetData>
    <row r="1" spans="2:17" ht="15">
      <c r="B1" s="30"/>
      <c r="C1"/>
      <c r="D1"/>
      <c r="E1"/>
      <c r="F1"/>
      <c r="G1"/>
      <c r="H1"/>
      <c r="I1"/>
      <c r="J1"/>
      <c r="K1"/>
      <c r="L1"/>
      <c r="M1"/>
      <c r="N1"/>
      <c r="O1"/>
      <c r="P1"/>
      <c r="Q1"/>
    </row>
    <row r="2" spans="2:17" ht="15">
      <c r="B2"/>
      <c r="C2"/>
      <c r="D2"/>
      <c r="E2"/>
      <c r="F2"/>
      <c r="G2"/>
      <c r="H2" s="39" t="s">
        <v>511</v>
      </c>
      <c r="I2" s="39"/>
      <c r="J2"/>
      <c r="K2"/>
      <c r="L2"/>
      <c r="M2"/>
      <c r="N2"/>
      <c r="O2"/>
      <c r="P2"/>
      <c r="Q2"/>
    </row>
    <row r="3" spans="2:17" ht="15">
      <c r="B3"/>
      <c r="C3"/>
      <c r="D3"/>
      <c r="E3"/>
      <c r="F3"/>
      <c r="G3"/>
      <c r="H3" s="39" t="s">
        <v>467</v>
      </c>
      <c r="I3" s="39"/>
      <c r="J3"/>
      <c r="K3"/>
      <c r="L3"/>
      <c r="M3"/>
      <c r="N3"/>
      <c r="O3"/>
      <c r="P3"/>
      <c r="Q3"/>
    </row>
    <row r="4" spans="2:17" ht="15">
      <c r="B4"/>
      <c r="C4"/>
      <c r="D4"/>
      <c r="E4"/>
      <c r="F4"/>
      <c r="G4"/>
      <c r="H4" s="41" t="s">
        <v>518</v>
      </c>
      <c r="I4" s="41"/>
      <c r="J4"/>
      <c r="K4"/>
      <c r="L4"/>
      <c r="M4"/>
      <c r="N4"/>
      <c r="O4"/>
      <c r="P4"/>
      <c r="Q4"/>
    </row>
    <row r="5" spans="2:17" ht="8.25" customHeight="1">
      <c r="B5"/>
      <c r="C5"/>
      <c r="D5"/>
      <c r="E5"/>
      <c r="F5"/>
      <c r="G5"/>
      <c r="H5"/>
      <c r="I5"/>
      <c r="J5"/>
      <c r="K5" s="41"/>
      <c r="L5"/>
      <c r="M5"/>
      <c r="N5"/>
      <c r="O5"/>
      <c r="P5"/>
      <c r="Q5"/>
    </row>
    <row r="6" spans="2:17" ht="86.25" customHeight="1">
      <c r="B6" s="21" t="s">
        <v>209</v>
      </c>
      <c r="C6" s="29" t="s">
        <v>519</v>
      </c>
      <c r="D6" s="37" t="s">
        <v>520</v>
      </c>
      <c r="E6" s="29" t="s">
        <v>521</v>
      </c>
      <c r="F6" s="37" t="s">
        <v>522</v>
      </c>
      <c r="G6" s="37" t="s">
        <v>523</v>
      </c>
      <c r="H6" s="37" t="s">
        <v>524</v>
      </c>
      <c r="I6" s="37" t="s">
        <v>525</v>
      </c>
      <c r="J6" s="29" t="s">
        <v>526</v>
      </c>
      <c r="K6" s="37" t="s">
        <v>527</v>
      </c>
      <c r="L6" s="37" t="s">
        <v>528</v>
      </c>
      <c r="M6" s="31"/>
      <c r="N6" s="31"/>
      <c r="O6" s="31"/>
      <c r="P6" s="31"/>
      <c r="Q6"/>
    </row>
    <row r="7" spans="2:17" ht="15">
      <c r="B7" s="26"/>
      <c r="C7" s="37" t="s">
        <v>256</v>
      </c>
      <c r="D7" s="44" t="s">
        <v>529</v>
      </c>
      <c r="E7" s="36"/>
      <c r="F7" s="36"/>
      <c r="G7" s="36"/>
      <c r="H7" s="36"/>
      <c r="I7" s="36"/>
      <c r="J7" s="36"/>
      <c r="K7" s="37"/>
      <c r="L7" s="287"/>
      <c r="M7" s="30"/>
      <c r="N7" s="30"/>
      <c r="O7" s="30"/>
      <c r="P7" s="30"/>
      <c r="Q7" s="30"/>
    </row>
    <row r="8" spans="2:17" ht="15">
      <c r="B8" s="26">
        <v>1</v>
      </c>
      <c r="C8" s="26"/>
      <c r="D8" s="44" t="s">
        <v>530</v>
      </c>
      <c r="E8" s="33"/>
      <c r="F8" s="33"/>
      <c r="G8" s="119">
        <v>1.4292060310000001</v>
      </c>
      <c r="H8" s="119">
        <v>1.4292060310000001</v>
      </c>
      <c r="I8" s="33" t="s">
        <v>530</v>
      </c>
      <c r="J8" s="33"/>
      <c r="K8" s="33"/>
      <c r="L8" s="33"/>
      <c r="M8"/>
      <c r="N8"/>
      <c r="O8"/>
      <c r="P8"/>
      <c r="Q8"/>
    </row>
    <row r="9" spans="2:17" ht="15">
      <c r="B9" s="26">
        <v>2</v>
      </c>
      <c r="C9" s="26"/>
      <c r="D9" s="44" t="s">
        <v>531</v>
      </c>
      <c r="E9" s="33"/>
      <c r="F9" s="33"/>
      <c r="G9" s="119">
        <v>0.24672152799999997</v>
      </c>
      <c r="H9" s="119">
        <v>0.24672152799999997</v>
      </c>
      <c r="I9" s="33" t="s">
        <v>531</v>
      </c>
      <c r="J9" s="33"/>
      <c r="K9" s="33"/>
      <c r="L9" s="33"/>
      <c r="M9"/>
      <c r="N9"/>
      <c r="O9"/>
      <c r="P9"/>
      <c r="Q9"/>
    </row>
    <row r="10" spans="2:17" ht="15">
      <c r="B10" s="26">
        <v>3</v>
      </c>
      <c r="C10" s="26"/>
      <c r="D10" s="44" t="s">
        <v>532</v>
      </c>
      <c r="E10" s="33"/>
      <c r="F10" s="33"/>
      <c r="G10" s="119">
        <v>7.3940060000000002E-2</v>
      </c>
      <c r="H10" s="119">
        <v>7.3940060000000002E-2</v>
      </c>
      <c r="I10" s="33" t="s">
        <v>532</v>
      </c>
      <c r="J10" s="33"/>
      <c r="K10" s="33"/>
      <c r="L10" s="33"/>
      <c r="M10"/>
      <c r="N10"/>
      <c r="O10"/>
      <c r="P10"/>
      <c r="Q10"/>
    </row>
    <row r="11" spans="2:17" ht="15">
      <c r="B11" s="26">
        <v>4</v>
      </c>
      <c r="C11" s="26"/>
      <c r="D11" s="44" t="s">
        <v>533</v>
      </c>
      <c r="E11" s="33"/>
      <c r="F11" s="33"/>
      <c r="G11" s="119">
        <v>1.2739997999999999E-2</v>
      </c>
      <c r="H11" s="119">
        <v>1.2739997999999999E-2</v>
      </c>
      <c r="I11" s="33" t="s">
        <v>533</v>
      </c>
      <c r="J11" s="33"/>
      <c r="K11" s="33"/>
      <c r="L11" s="33"/>
      <c r="M11"/>
      <c r="N11"/>
      <c r="O11"/>
      <c r="P11"/>
      <c r="Q11"/>
    </row>
    <row r="12" spans="2:17" ht="15">
      <c r="B12" s="26">
        <v>5</v>
      </c>
      <c r="C12" s="26"/>
      <c r="D12" s="44" t="s">
        <v>534</v>
      </c>
      <c r="E12" s="33"/>
      <c r="F12" s="33"/>
      <c r="G12" s="119">
        <v>0.43</v>
      </c>
      <c r="H12" s="119">
        <v>0.43</v>
      </c>
      <c r="I12" s="33" t="s">
        <v>534</v>
      </c>
      <c r="J12" s="33"/>
      <c r="K12" s="33"/>
      <c r="L12" s="33"/>
      <c r="M12"/>
      <c r="N12"/>
      <c r="O12"/>
      <c r="P12"/>
      <c r="Q12"/>
    </row>
    <row r="13" spans="2:17" ht="15">
      <c r="B13" s="26">
        <v>6</v>
      </c>
      <c r="C13" s="26"/>
      <c r="D13" s="44" t="s">
        <v>535</v>
      </c>
      <c r="E13" s="33"/>
      <c r="F13" s="33"/>
      <c r="G13" s="119">
        <v>2.6545812209999999</v>
      </c>
      <c r="H13" s="119">
        <v>2.58</v>
      </c>
      <c r="I13" s="33" t="s">
        <v>536</v>
      </c>
      <c r="J13" s="33"/>
      <c r="K13" s="33"/>
      <c r="L13" s="33"/>
      <c r="M13"/>
      <c r="N13"/>
      <c r="O13"/>
      <c r="P13"/>
      <c r="Q13"/>
    </row>
    <row r="14" spans="2:17" ht="15">
      <c r="B14" s="26">
        <v>7</v>
      </c>
      <c r="C14" s="26"/>
      <c r="D14" s="44" t="s">
        <v>537</v>
      </c>
      <c r="E14" s="33"/>
      <c r="F14" s="33"/>
      <c r="G14" s="119">
        <v>1.2934574210000001</v>
      </c>
      <c r="H14" s="119">
        <v>1.29</v>
      </c>
      <c r="I14" s="33" t="s">
        <v>536</v>
      </c>
      <c r="J14" s="33"/>
      <c r="K14" s="33"/>
      <c r="L14" s="33"/>
      <c r="M14"/>
      <c r="N14"/>
      <c r="O14"/>
      <c r="P14"/>
      <c r="Q14"/>
    </row>
    <row r="15" spans="2:17" ht="15">
      <c r="B15" s="26">
        <v>8</v>
      </c>
      <c r="C15" s="26"/>
      <c r="D15" s="44" t="s">
        <v>538</v>
      </c>
      <c r="E15" s="33"/>
      <c r="F15" s="33"/>
      <c r="G15" s="119">
        <v>-1.93</v>
      </c>
      <c r="H15" s="119">
        <v>0</v>
      </c>
      <c r="I15" s="33"/>
      <c r="J15" s="33"/>
      <c r="K15" s="33"/>
      <c r="L15" s="33"/>
      <c r="M15"/>
      <c r="N15"/>
      <c r="O15"/>
      <c r="P15"/>
      <c r="Q15"/>
    </row>
    <row r="16" spans="2:17" ht="15">
      <c r="B16" s="26"/>
      <c r="C16" s="26"/>
      <c r="D16"/>
      <c r="E16" s="33"/>
      <c r="F16" s="33"/>
      <c r="G16" s="119"/>
      <c r="H16" s="119"/>
      <c r="I16" s="33"/>
      <c r="J16" s="33"/>
      <c r="K16" s="33"/>
      <c r="L16" s="33"/>
      <c r="M16"/>
      <c r="N16"/>
      <c r="O16"/>
      <c r="P16"/>
      <c r="Q16"/>
    </row>
    <row r="17" spans="2:12" ht="15">
      <c r="B17" s="33"/>
      <c r="C17" s="33" t="s">
        <v>9</v>
      </c>
      <c r="D17" s="44"/>
      <c r="E17" s="33"/>
      <c r="F17" s="107"/>
      <c r="G17" s="119"/>
      <c r="H17" s="119"/>
      <c r="I17" s="288"/>
      <c r="J17" s="288"/>
      <c r="K17" s="33"/>
      <c r="L17" s="33"/>
    </row>
    <row r="18" spans="2:12" ht="15">
      <c r="B18" s="33"/>
      <c r="C18" s="29" t="s">
        <v>139</v>
      </c>
      <c r="D18" s="119"/>
      <c r="E18" s="107"/>
      <c r="F18" s="100">
        <v>0</v>
      </c>
      <c r="G18" s="100">
        <f>ROUND(SUM(G8:G15),2)</f>
        <v>4.21</v>
      </c>
      <c r="H18" s="100">
        <f>ROUND(SUM(H8:H15),2)</f>
        <v>6.06</v>
      </c>
      <c r="I18" s="33"/>
      <c r="J18" s="33"/>
      <c r="K18" s="33"/>
      <c r="L18" s="33"/>
    </row>
    <row r="19" spans="2:12" ht="15">
      <c r="B19" s="26"/>
      <c r="C19" s="37" t="s">
        <v>255</v>
      </c>
      <c r="D19" s="119" t="s">
        <v>483</v>
      </c>
      <c r="E19" s="107"/>
      <c r="F19" s="107"/>
      <c r="G19"/>
      <c r="H19"/>
      <c r="I19"/>
      <c r="J19" s="33"/>
      <c r="K19" s="33"/>
      <c r="L19" s="33"/>
    </row>
    <row r="20" spans="2:12" ht="15">
      <c r="B20" s="26">
        <v>1</v>
      </c>
      <c r="C20" s="26"/>
      <c r="D20" s="119"/>
      <c r="E20" s="33" t="s">
        <v>539</v>
      </c>
      <c r="F20" s="107"/>
      <c r="G20" s="107">
        <v>7.1980000000000002E-2</v>
      </c>
      <c r="H20" s="107">
        <v>7.1980000000000002E-2</v>
      </c>
      <c r="I20" s="33" t="s">
        <v>539</v>
      </c>
      <c r="J20" s="33"/>
      <c r="K20" s="33"/>
      <c r="L20" s="33"/>
    </row>
    <row r="21" spans="2:12" ht="15">
      <c r="B21" s="26">
        <v>2</v>
      </c>
      <c r="C21" s="26"/>
      <c r="D21" s="119"/>
      <c r="E21" s="33" t="s">
        <v>533</v>
      </c>
      <c r="F21" s="107"/>
      <c r="G21" s="107">
        <v>1.0698588E-2</v>
      </c>
      <c r="H21" s="107">
        <v>1.0698588E-2</v>
      </c>
      <c r="I21" s="33" t="s">
        <v>533</v>
      </c>
      <c r="J21" s="33"/>
      <c r="K21" s="33"/>
      <c r="L21" s="33"/>
    </row>
    <row r="22" spans="2:12" ht="15">
      <c r="B22" s="26">
        <v>3</v>
      </c>
      <c r="C22" s="26"/>
      <c r="D22" s="119"/>
      <c r="E22" s="107"/>
      <c r="F22" s="107"/>
      <c r="G22" s="107">
        <v>0.09</v>
      </c>
      <c r="H22" s="107">
        <v>0.09</v>
      </c>
      <c r="I22" s="33"/>
      <c r="J22" s="33"/>
      <c r="K22" s="33"/>
      <c r="L22" s="33"/>
    </row>
    <row r="23" spans="2:12" ht="15">
      <c r="B23" s="33"/>
      <c r="C23" s="33" t="s">
        <v>9</v>
      </c>
      <c r="D23" s="119"/>
      <c r="E23" s="107"/>
      <c r="F23" s="107">
        <v>0</v>
      </c>
      <c r="G23" s="107">
        <v>0.17267858799999999</v>
      </c>
      <c r="H23" s="107">
        <v>0.17267858799999999</v>
      </c>
      <c r="I23" s="33"/>
      <c r="J23" s="33"/>
      <c r="K23" s="33"/>
      <c r="L23" s="33"/>
    </row>
    <row r="24" spans="2:12" ht="15">
      <c r="B24" s="33"/>
      <c r="C24" s="29" t="s">
        <v>139</v>
      </c>
      <c r="D24" s="119"/>
      <c r="E24" s="107"/>
      <c r="F24" s="100">
        <v>0</v>
      </c>
      <c r="G24" s="100">
        <v>0.17267858799999999</v>
      </c>
      <c r="H24" s="100">
        <v>0.17267858799999999</v>
      </c>
      <c r="I24" s="33"/>
      <c r="J24" s="33"/>
      <c r="K24" s="33"/>
      <c r="L24" s="33"/>
    </row>
    <row r="25" spans="2:12" ht="15">
      <c r="B25" s="26"/>
      <c r="C25" s="37" t="s">
        <v>540</v>
      </c>
      <c r="D25" s="119" t="s">
        <v>541</v>
      </c>
      <c r="E25" s="107"/>
      <c r="F25" s="107"/>
      <c r="G25" s="107"/>
      <c r="H25" s="107"/>
      <c r="I25" s="33"/>
      <c r="J25" s="33"/>
      <c r="K25" s="33"/>
      <c r="L25" s="33"/>
    </row>
    <row r="26" spans="2:12" ht="15">
      <c r="B26" s="26">
        <v>1</v>
      </c>
      <c r="C26" s="26"/>
      <c r="D26" s="119"/>
      <c r="E26" s="107"/>
      <c r="F26" s="107"/>
      <c r="G26" s="107"/>
      <c r="H26" s="107"/>
      <c r="I26" s="33"/>
      <c r="J26" s="33"/>
      <c r="K26" s="33"/>
      <c r="L26" s="33"/>
    </row>
    <row r="27" spans="2:12" ht="15">
      <c r="B27" s="26">
        <v>2</v>
      </c>
      <c r="C27" s="26"/>
      <c r="D27" s="119"/>
      <c r="E27" s="107"/>
      <c r="F27" s="107"/>
      <c r="G27" s="107"/>
      <c r="H27" s="107"/>
      <c r="I27" s="33"/>
      <c r="J27" s="33"/>
      <c r="K27" s="33"/>
      <c r="L27" s="33"/>
    </row>
    <row r="28" spans="2:12" ht="15">
      <c r="B28" s="26">
        <v>3</v>
      </c>
      <c r="C28" s="26"/>
      <c r="D28" s="119"/>
      <c r="E28" s="119" t="s">
        <v>542</v>
      </c>
      <c r="F28" s="107"/>
      <c r="G28" s="107">
        <v>2.34</v>
      </c>
      <c r="H28" s="107">
        <v>2.34</v>
      </c>
      <c r="I28" s="33" t="s">
        <v>543</v>
      </c>
      <c r="J28" s="33"/>
      <c r="K28" s="33"/>
      <c r="L28" s="33"/>
    </row>
    <row r="29" spans="2:12" ht="89.25" customHeight="1">
      <c r="B29" s="33"/>
      <c r="C29" s="33" t="s">
        <v>9</v>
      </c>
      <c r="D29" s="119"/>
      <c r="E29" s="289" t="s">
        <v>544</v>
      </c>
      <c r="F29" s="107"/>
      <c r="G29" s="107">
        <v>35.9</v>
      </c>
      <c r="H29" s="107">
        <v>35.9</v>
      </c>
      <c r="I29" s="33"/>
      <c r="J29" s="33"/>
      <c r="K29" s="352" t="s">
        <v>566</v>
      </c>
      <c r="L29" s="33"/>
    </row>
    <row r="30" spans="2:12" ht="15">
      <c r="B30" s="33"/>
      <c r="C30" s="33"/>
      <c r="D30" s="119"/>
      <c r="E30" s="107"/>
      <c r="F30" s="107"/>
      <c r="G30" s="107"/>
      <c r="H30" s="107"/>
      <c r="I30" s="33"/>
      <c r="J30" s="33"/>
      <c r="K30" s="33"/>
      <c r="L30" s="33"/>
    </row>
    <row r="31" spans="2:12" ht="15">
      <c r="B31" s="33"/>
      <c r="C31" s="33"/>
      <c r="D31" s="119"/>
      <c r="E31" s="107"/>
      <c r="F31" s="107">
        <v>0</v>
      </c>
      <c r="G31" s="107">
        <v>38.239999999999995</v>
      </c>
      <c r="H31" s="107">
        <v>38.239999999999995</v>
      </c>
      <c r="I31" s="33"/>
      <c r="J31" s="33"/>
      <c r="K31" s="33"/>
      <c r="L31" s="33"/>
    </row>
    <row r="32" spans="2:12" ht="15">
      <c r="B32" s="33"/>
      <c r="C32" s="29" t="s">
        <v>139</v>
      </c>
      <c r="D32" s="119"/>
      <c r="E32" s="107"/>
      <c r="F32" s="100">
        <v>0</v>
      </c>
      <c r="G32" s="100">
        <v>38.239999999999995</v>
      </c>
      <c r="H32" s="100">
        <v>38.239999999999995</v>
      </c>
      <c r="I32" s="33"/>
      <c r="J32" s="33"/>
      <c r="K32" s="33"/>
      <c r="L32" s="33"/>
    </row>
    <row r="33" spans="2:12" ht="15">
      <c r="B33" s="26"/>
      <c r="C33" s="37" t="s">
        <v>545</v>
      </c>
      <c r="D33" s="119" t="s">
        <v>546</v>
      </c>
      <c r="E33" s="107"/>
      <c r="F33" s="107"/>
      <c r="G33" s="107"/>
      <c r="H33" s="107"/>
      <c r="I33" s="33"/>
      <c r="J33" s="33"/>
      <c r="K33" s="33"/>
      <c r="L33" s="33"/>
    </row>
    <row r="34" spans="2:12" ht="15">
      <c r="B34" s="26">
        <v>1</v>
      </c>
      <c r="C34" s="26"/>
      <c r="D34" s="119"/>
      <c r="E34" s="107"/>
      <c r="F34" s="107"/>
      <c r="G34" s="107"/>
      <c r="H34" s="107"/>
      <c r="I34" s="33"/>
      <c r="J34" s="33"/>
      <c r="K34" s="33"/>
      <c r="L34" s="33"/>
    </row>
    <row r="35" spans="2:12" ht="15">
      <c r="B35" s="26">
        <v>2</v>
      </c>
      <c r="C35" s="26"/>
      <c r="D35" s="119"/>
      <c r="E35" s="107"/>
      <c r="F35" s="107"/>
      <c r="G35" s="107"/>
      <c r="H35" s="107"/>
      <c r="I35" s="33"/>
      <c r="J35" s="33"/>
      <c r="K35" s="33"/>
      <c r="L35" s="33"/>
    </row>
    <row r="36" spans="2:12" ht="15">
      <c r="B36" s="26">
        <v>3</v>
      </c>
      <c r="C36" s="26"/>
      <c r="D36" s="119"/>
      <c r="E36" s="107"/>
      <c r="F36" s="107"/>
      <c r="G36" s="107"/>
      <c r="H36" s="107"/>
      <c r="I36" s="33"/>
      <c r="J36" s="33"/>
      <c r="K36" s="33"/>
      <c r="L36" s="33"/>
    </row>
    <row r="37" spans="2:12" ht="44.25" customHeight="1">
      <c r="B37" s="33"/>
      <c r="C37" s="33" t="s">
        <v>9</v>
      </c>
      <c r="D37" s="119" t="s">
        <v>547</v>
      </c>
      <c r="E37" s="289" t="s">
        <v>544</v>
      </c>
      <c r="F37" s="107">
        <v>38.5</v>
      </c>
      <c r="G37" s="107">
        <v>38.5</v>
      </c>
      <c r="H37" s="107">
        <v>38.5</v>
      </c>
      <c r="I37" s="33"/>
      <c r="J37" s="33"/>
      <c r="K37" s="33"/>
      <c r="L37" s="33"/>
    </row>
    <row r="38" spans="2:12" ht="15">
      <c r="B38" s="33"/>
      <c r="C38" s="29" t="s">
        <v>139</v>
      </c>
      <c r="D38" s="119"/>
      <c r="E38" s="107"/>
      <c r="F38" s="100">
        <v>38.5</v>
      </c>
      <c r="G38" s="100">
        <v>38.5</v>
      </c>
      <c r="H38" s="100">
        <v>38.5</v>
      </c>
      <c r="I38" s="33"/>
      <c r="J38" s="33"/>
      <c r="K38" s="33"/>
      <c r="L38" s="33"/>
    </row>
    <row r="39" spans="2:12" ht="15">
      <c r="B39" s="26"/>
      <c r="C39" s="37" t="s">
        <v>548</v>
      </c>
      <c r="D39" s="119" t="s">
        <v>549</v>
      </c>
      <c r="E39" s="107"/>
      <c r="F39" s="107"/>
      <c r="G39" s="107"/>
      <c r="H39" s="107"/>
      <c r="I39" s="33"/>
      <c r="J39" s="33"/>
      <c r="K39" s="33"/>
      <c r="L39" s="33"/>
    </row>
    <row r="40" spans="2:12" ht="15">
      <c r="B40" s="26">
        <v>1</v>
      </c>
      <c r="C40" s="26"/>
      <c r="D40" s="119"/>
      <c r="E40" s="107"/>
      <c r="F40" s="107"/>
      <c r="G40" s="107"/>
      <c r="H40" s="107"/>
      <c r="I40" s="33"/>
      <c r="J40" s="33"/>
      <c r="K40" s="33"/>
      <c r="L40" s="33"/>
    </row>
    <row r="41" spans="2:12" ht="15">
      <c r="B41" s="26">
        <v>2</v>
      </c>
      <c r="C41" s="26"/>
      <c r="D41" s="119"/>
      <c r="E41" s="107"/>
      <c r="F41" s="107"/>
      <c r="G41" s="107"/>
      <c r="H41" s="107"/>
      <c r="I41" s="33"/>
      <c r="J41" s="33"/>
      <c r="K41" s="33"/>
      <c r="L41" s="33"/>
    </row>
    <row r="42" spans="2:12" ht="15">
      <c r="B42" s="26">
        <v>3</v>
      </c>
      <c r="C42" s="26"/>
      <c r="D42" s="119"/>
      <c r="E42" s="107"/>
      <c r="F42" s="107"/>
      <c r="G42" s="107"/>
      <c r="H42" s="107"/>
      <c r="I42" s="33"/>
      <c r="J42" s="33"/>
      <c r="K42" s="33"/>
      <c r="L42" s="33"/>
    </row>
    <row r="43" spans="2:12" ht="49.5" customHeight="1">
      <c r="B43" s="33"/>
      <c r="C43" s="33" t="s">
        <v>9</v>
      </c>
      <c r="D43" s="119"/>
      <c r="E43" s="289" t="s">
        <v>544</v>
      </c>
      <c r="F43" s="107">
        <v>30</v>
      </c>
      <c r="G43" s="107">
        <v>30</v>
      </c>
      <c r="H43" s="107">
        <v>30</v>
      </c>
      <c r="I43" s="33"/>
      <c r="J43" s="33"/>
      <c r="K43" s="33"/>
      <c r="L43" s="33"/>
    </row>
    <row r="44" spans="2:12" ht="15">
      <c r="B44" s="33"/>
      <c r="C44" s="29" t="s">
        <v>139</v>
      </c>
      <c r="D44" s="119"/>
      <c r="E44" s="107"/>
      <c r="F44" s="100">
        <v>30</v>
      </c>
      <c r="G44" s="100">
        <v>30</v>
      </c>
      <c r="H44" s="100">
        <v>30</v>
      </c>
      <c r="I44" s="33"/>
      <c r="J44" s="33"/>
      <c r="K44" s="33"/>
      <c r="L44" s="33"/>
    </row>
    <row r="45" spans="2:12" ht="15">
      <c r="B45" s="26"/>
      <c r="C45" s="37" t="s">
        <v>550</v>
      </c>
      <c r="D45" s="119" t="s">
        <v>551</v>
      </c>
      <c r="E45" s="107"/>
      <c r="F45" s="107"/>
      <c r="G45" s="107"/>
      <c r="H45" s="107"/>
      <c r="I45" s="33"/>
      <c r="J45" s="33"/>
      <c r="K45" s="33"/>
      <c r="L45" s="33"/>
    </row>
    <row r="46" spans="2:12" ht="15">
      <c r="B46" s="26">
        <v>1</v>
      </c>
      <c r="C46" s="26"/>
      <c r="D46" s="119"/>
      <c r="E46" s="107"/>
      <c r="F46" s="107"/>
      <c r="G46" s="107"/>
      <c r="H46" s="107"/>
      <c r="I46" s="33"/>
      <c r="J46" s="33"/>
      <c r="K46" s="33"/>
      <c r="L46" s="33"/>
    </row>
    <row r="47" spans="2:12" ht="15">
      <c r="B47" s="26">
        <v>2</v>
      </c>
      <c r="C47" s="26"/>
      <c r="D47" s="119"/>
      <c r="E47" s="107"/>
      <c r="F47" s="107"/>
      <c r="G47" s="107"/>
      <c r="H47" s="107"/>
      <c r="I47" s="33"/>
      <c r="J47" s="33"/>
      <c r="K47" s="33"/>
      <c r="L47" s="33"/>
    </row>
    <row r="48" spans="2:12" ht="15">
      <c r="B48" s="26">
        <v>3</v>
      </c>
      <c r="C48" s="26"/>
      <c r="D48" s="119"/>
      <c r="E48" s="107"/>
      <c r="F48" s="107"/>
      <c r="G48" s="107"/>
      <c r="H48" s="107"/>
      <c r="I48" s="33"/>
      <c r="J48" s="33"/>
      <c r="K48" s="33"/>
      <c r="L48" s="33"/>
    </row>
    <row r="49" spans="2:12" ht="15">
      <c r="B49" s="33"/>
      <c r="C49" s="33" t="s">
        <v>9</v>
      </c>
      <c r="D49" s="119"/>
      <c r="E49" s="107"/>
      <c r="F49" s="107"/>
      <c r="G49" s="107"/>
      <c r="H49" s="107"/>
      <c r="I49" s="33"/>
      <c r="J49" s="33"/>
      <c r="K49" s="33"/>
      <c r="L49" s="33"/>
    </row>
    <row r="50" spans="2:12" ht="15">
      <c r="B50" s="33"/>
      <c r="C50" s="29" t="s">
        <v>139</v>
      </c>
      <c r="D50" s="119"/>
      <c r="E50" s="107"/>
      <c r="F50" s="100">
        <v>0</v>
      </c>
      <c r="G50" s="100">
        <v>0</v>
      </c>
      <c r="H50" s="100">
        <v>0</v>
      </c>
      <c r="I50" s="33"/>
      <c r="J50" s="33"/>
      <c r="K50" s="33"/>
      <c r="L50" s="33"/>
    </row>
    <row r="51" spans="2:12" ht="15">
      <c r="B51" s="26"/>
      <c r="C51" s="37" t="s">
        <v>552</v>
      </c>
      <c r="D51" s="119" t="s">
        <v>553</v>
      </c>
      <c r="E51" s="107"/>
      <c r="F51" s="107"/>
      <c r="G51" s="107"/>
      <c r="H51" s="107"/>
      <c r="I51" s="33"/>
      <c r="J51" s="33"/>
      <c r="K51" s="33"/>
      <c r="L51" s="33"/>
    </row>
    <row r="52" spans="2:12" ht="15">
      <c r="B52" s="26">
        <v>1</v>
      </c>
      <c r="C52" s="26"/>
      <c r="D52" s="119"/>
      <c r="E52" s="107"/>
      <c r="F52" s="107"/>
      <c r="G52" s="107"/>
      <c r="H52" s="107"/>
      <c r="I52" s="33"/>
      <c r="J52" s="33"/>
      <c r="K52" s="33"/>
      <c r="L52" s="33"/>
    </row>
    <row r="53" spans="2:12" ht="15">
      <c r="B53" s="26">
        <v>2</v>
      </c>
      <c r="C53" s="26"/>
      <c r="D53" s="119"/>
      <c r="E53" s="107"/>
      <c r="F53" s="107"/>
      <c r="G53" s="107"/>
      <c r="H53" s="107"/>
      <c r="I53" s="33"/>
      <c r="J53" s="33"/>
      <c r="K53" s="33"/>
      <c r="L53" s="33"/>
    </row>
    <row r="54" spans="2:12" ht="15">
      <c r="B54" s="26">
        <v>3</v>
      </c>
      <c r="C54" s="26"/>
      <c r="D54" s="119"/>
      <c r="E54" s="107"/>
      <c r="F54" s="107"/>
      <c r="G54" s="107"/>
      <c r="H54" s="107"/>
      <c r="I54" s="33"/>
      <c r="J54" s="33"/>
      <c r="K54" s="33"/>
      <c r="L54" s="33"/>
    </row>
    <row r="55" spans="2:12" ht="46.5" customHeight="1">
      <c r="B55" s="33"/>
      <c r="C55" s="33" t="s">
        <v>9</v>
      </c>
      <c r="D55" s="119"/>
      <c r="E55" s="289" t="s">
        <v>544</v>
      </c>
      <c r="F55" s="107">
        <v>0.5</v>
      </c>
      <c r="G55" s="107">
        <v>0.5</v>
      </c>
      <c r="H55" s="107">
        <v>0.5</v>
      </c>
      <c r="I55" s="33"/>
      <c r="J55" s="33"/>
      <c r="K55" s="33"/>
      <c r="L55" s="33"/>
    </row>
    <row r="56" spans="2:12" ht="15">
      <c r="B56" s="33"/>
      <c r="C56" s="29" t="s">
        <v>139</v>
      </c>
      <c r="D56" s="100">
        <v>0</v>
      </c>
      <c r="E56" s="107"/>
      <c r="F56" s="100">
        <v>0.5</v>
      </c>
      <c r="G56" s="100">
        <v>0.5</v>
      </c>
      <c r="H56" s="100">
        <v>0.5</v>
      </c>
      <c r="I56" s="33"/>
      <c r="J56" s="33"/>
      <c r="K56" s="33"/>
      <c r="L56" s="33"/>
    </row>
    <row r="57" spans="2:12">
      <c r="B57" s="66" t="s">
        <v>554</v>
      </c>
      <c r="C57" s="56" t="s">
        <v>555</v>
      </c>
      <c r="D57"/>
      <c r="E57"/>
      <c r="F57"/>
      <c r="G57"/>
      <c r="H57"/>
      <c r="I57"/>
      <c r="J57"/>
      <c r="K57"/>
      <c r="L57"/>
    </row>
  </sheetData>
  <pageMargins left="0" right="0" top="0" bottom="0" header="0.3" footer="0.3"/>
  <pageSetup paperSize="9" scale="7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1"/>
  <sheetViews>
    <sheetView showGridLines="0" zoomScale="80" zoomScaleNormal="80" workbookViewId="0">
      <selection activeCell="B4" sqref="B4:J4"/>
    </sheetView>
  </sheetViews>
  <sheetFormatPr defaultColWidth="9.28515625" defaultRowHeight="14.25"/>
  <cols>
    <col min="1" max="1" width="5.28515625" style="88" customWidth="1"/>
    <col min="2" max="2" width="7.140625" style="88" customWidth="1"/>
    <col min="3" max="3" width="25.28515625" style="88" customWidth="1"/>
    <col min="4" max="4" width="13.42578125" style="88" customWidth="1"/>
    <col min="5" max="5" width="12.5703125" style="88" customWidth="1"/>
    <col min="6" max="6" width="13.42578125" style="88" customWidth="1"/>
    <col min="7" max="7" width="13.5703125" style="88" customWidth="1"/>
    <col min="8" max="8" width="12.7109375" style="88" customWidth="1"/>
    <col min="9" max="9" width="13.5703125" style="88" customWidth="1"/>
    <col min="10" max="10" width="13.42578125" style="88" customWidth="1"/>
    <col min="11" max="16384" width="9.28515625" style="88"/>
  </cols>
  <sheetData>
    <row r="1" spans="1:10">
      <c r="A1" s="246"/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4.25" customHeight="1">
      <c r="A2" s="246"/>
      <c r="B2" s="372" t="s">
        <v>511</v>
      </c>
      <c r="C2" s="372"/>
      <c r="D2" s="372"/>
      <c r="E2" s="372"/>
      <c r="F2" s="372"/>
      <c r="G2" s="372"/>
      <c r="H2" s="372"/>
      <c r="I2" s="372"/>
      <c r="J2" s="372"/>
    </row>
    <row r="3" spans="1:10" ht="14.25" customHeight="1">
      <c r="A3" s="246"/>
      <c r="B3" s="372" t="s">
        <v>467</v>
      </c>
      <c r="C3" s="372"/>
      <c r="D3" s="372"/>
      <c r="E3" s="372"/>
      <c r="F3" s="372"/>
      <c r="G3" s="372"/>
      <c r="H3" s="372"/>
      <c r="I3" s="372"/>
      <c r="J3" s="372"/>
    </row>
    <row r="4" spans="1:10" ht="14.25" customHeight="1">
      <c r="A4" s="246"/>
      <c r="B4" s="376" t="s">
        <v>321</v>
      </c>
      <c r="C4" s="376"/>
      <c r="D4" s="376"/>
      <c r="E4" s="376"/>
      <c r="F4" s="376"/>
      <c r="G4" s="376"/>
      <c r="H4" s="376"/>
      <c r="I4" s="376"/>
      <c r="J4" s="376"/>
    </row>
    <row r="6" spans="1:10" ht="15" customHeight="1">
      <c r="B6" s="365" t="s">
        <v>209</v>
      </c>
      <c r="C6" s="370" t="s">
        <v>18</v>
      </c>
      <c r="D6" s="365" t="s">
        <v>473</v>
      </c>
      <c r="E6" s="365" t="s">
        <v>474</v>
      </c>
      <c r="F6" s="365" t="s">
        <v>251</v>
      </c>
      <c r="G6" s="365"/>
      <c r="H6" s="365"/>
      <c r="I6" s="365"/>
      <c r="J6" s="365"/>
    </row>
    <row r="7" spans="1:10" ht="15">
      <c r="B7" s="365"/>
      <c r="C7" s="370"/>
      <c r="D7" s="365"/>
      <c r="E7" s="365"/>
      <c r="F7" s="21" t="s">
        <v>475</v>
      </c>
      <c r="G7" s="21" t="s">
        <v>476</v>
      </c>
      <c r="H7" s="21" t="s">
        <v>477</v>
      </c>
      <c r="I7" s="21" t="s">
        <v>478</v>
      </c>
      <c r="J7" s="21" t="s">
        <v>479</v>
      </c>
    </row>
    <row r="8" spans="1:10" ht="15">
      <c r="B8" s="365"/>
      <c r="C8" s="370"/>
      <c r="D8" s="89" t="s">
        <v>3</v>
      </c>
      <c r="E8" s="21" t="s">
        <v>513</v>
      </c>
      <c r="F8" s="21" t="s">
        <v>8</v>
      </c>
      <c r="G8" s="21" t="s">
        <v>8</v>
      </c>
      <c r="H8" s="21" t="s">
        <v>8</v>
      </c>
      <c r="I8" s="21" t="s">
        <v>8</v>
      </c>
      <c r="J8" s="21" t="s">
        <v>8</v>
      </c>
    </row>
    <row r="9" spans="1:10" ht="15">
      <c r="B9" s="90">
        <v>1</v>
      </c>
      <c r="C9" s="34" t="s">
        <v>322</v>
      </c>
      <c r="D9" s="96">
        <f>[4]F3.1!H18</f>
        <v>6.0626076170000003</v>
      </c>
      <c r="E9" s="96">
        <f>[4]F3.1!H24</f>
        <v>0.17267858799999999</v>
      </c>
      <c r="F9" s="96">
        <f>[4]F3.1!H30</f>
        <v>38.239999999999995</v>
      </c>
      <c r="G9" s="96">
        <f>[4]F3.1!H36</f>
        <v>38.5</v>
      </c>
      <c r="H9" s="96">
        <f>[4]F3.1!H42</f>
        <v>30</v>
      </c>
      <c r="I9" s="96">
        <f>[4]F3.1!H48</f>
        <v>0</v>
      </c>
      <c r="J9" s="96">
        <f>[4]F3.1!H54</f>
        <v>0.5</v>
      </c>
    </row>
    <row r="10" spans="1:10">
      <c r="B10" s="34"/>
      <c r="C10" s="34"/>
      <c r="D10" s="94"/>
      <c r="E10" s="94"/>
      <c r="F10" s="94"/>
      <c r="G10" s="94"/>
      <c r="H10" s="94"/>
      <c r="I10" s="94"/>
      <c r="J10" s="94"/>
    </row>
    <row r="11" spans="1:10" ht="15">
      <c r="B11" s="90">
        <v>2</v>
      </c>
      <c r="C11" s="91" t="s">
        <v>198</v>
      </c>
      <c r="D11" s="94"/>
      <c r="E11" s="94"/>
      <c r="F11" s="94"/>
      <c r="G11" s="94"/>
      <c r="H11" s="94"/>
      <c r="I11" s="94"/>
      <c r="J11" s="94"/>
    </row>
    <row r="12" spans="1:10">
      <c r="B12" s="34"/>
      <c r="C12" s="34" t="s">
        <v>208</v>
      </c>
      <c r="D12" s="94">
        <f>D9*0.7</f>
        <v>4.2438253319000001</v>
      </c>
      <c r="E12" s="94">
        <f t="shared" ref="E12:H12" si="0">E9*0.7</f>
        <v>0.12087501159999998</v>
      </c>
      <c r="F12" s="94">
        <f>F9*0.7</f>
        <v>26.767999999999994</v>
      </c>
      <c r="G12" s="94">
        <f t="shared" si="0"/>
        <v>26.95</v>
      </c>
      <c r="H12" s="94">
        <f t="shared" si="0"/>
        <v>21</v>
      </c>
      <c r="I12" s="94">
        <f>I9*0.7</f>
        <v>0</v>
      </c>
      <c r="J12" s="94">
        <f>J9*0.7</f>
        <v>0.35</v>
      </c>
    </row>
    <row r="13" spans="1:10">
      <c r="B13" s="34"/>
      <c r="C13" s="34" t="s">
        <v>207</v>
      </c>
      <c r="D13" s="94"/>
      <c r="E13" s="94"/>
      <c r="F13" s="94"/>
      <c r="G13" s="94"/>
      <c r="H13" s="94"/>
      <c r="I13" s="94"/>
      <c r="J13" s="94"/>
    </row>
    <row r="14" spans="1:10">
      <c r="B14" s="34"/>
      <c r="C14" s="34" t="s">
        <v>9</v>
      </c>
      <c r="D14" s="94"/>
      <c r="E14" s="94"/>
      <c r="F14" s="94"/>
      <c r="G14" s="94"/>
      <c r="H14" s="94"/>
      <c r="I14" s="94"/>
      <c r="J14" s="94"/>
    </row>
    <row r="15" spans="1:10" ht="15">
      <c r="B15" s="34"/>
      <c r="C15" s="91" t="s">
        <v>197</v>
      </c>
      <c r="D15" s="96">
        <f>SUM(D12:D14)</f>
        <v>4.2438253319000001</v>
      </c>
      <c r="E15" s="96">
        <f t="shared" ref="E15:J15" si="1">SUM(E12:E14)</f>
        <v>0.12087501159999998</v>
      </c>
      <c r="F15" s="96">
        <f t="shared" si="1"/>
        <v>26.767999999999994</v>
      </c>
      <c r="G15" s="96">
        <f t="shared" si="1"/>
        <v>26.95</v>
      </c>
      <c r="H15" s="96">
        <f t="shared" si="1"/>
        <v>21</v>
      </c>
      <c r="I15" s="96">
        <f t="shared" si="1"/>
        <v>0</v>
      </c>
      <c r="J15" s="96">
        <f t="shared" si="1"/>
        <v>0.35</v>
      </c>
    </row>
    <row r="16" spans="1:10">
      <c r="B16" s="34"/>
      <c r="C16" s="34"/>
      <c r="D16" s="94"/>
      <c r="E16" s="94"/>
      <c r="F16" s="94"/>
      <c r="G16" s="94"/>
      <c r="H16" s="94"/>
      <c r="I16" s="94"/>
      <c r="J16" s="94"/>
    </row>
    <row r="17" spans="2:10">
      <c r="B17" s="90">
        <v>3</v>
      </c>
      <c r="C17" s="34" t="s">
        <v>0</v>
      </c>
      <c r="D17" s="94">
        <f>D9*0.3</f>
        <v>1.8187822851</v>
      </c>
      <c r="E17" s="94">
        <f t="shared" ref="E17:J17" si="2">E9*0.3</f>
        <v>5.1803576399999995E-2</v>
      </c>
      <c r="F17" s="94">
        <f t="shared" si="2"/>
        <v>11.471999999999998</v>
      </c>
      <c r="G17" s="94">
        <f t="shared" si="2"/>
        <v>11.549999999999999</v>
      </c>
      <c r="H17" s="94">
        <f t="shared" si="2"/>
        <v>9</v>
      </c>
      <c r="I17" s="94">
        <f t="shared" si="2"/>
        <v>0</v>
      </c>
      <c r="J17" s="94">
        <f t="shared" si="2"/>
        <v>0.15</v>
      </c>
    </row>
    <row r="18" spans="2:10">
      <c r="B18" s="90">
        <v>4</v>
      </c>
      <c r="C18" s="34" t="s">
        <v>199</v>
      </c>
      <c r="D18" s="94"/>
      <c r="E18" s="94"/>
      <c r="F18" s="94"/>
      <c r="G18" s="94"/>
      <c r="H18" s="94"/>
      <c r="I18" s="94"/>
      <c r="J18" s="94"/>
    </row>
    <row r="19" spans="2:10">
      <c r="B19" s="90">
        <v>5</v>
      </c>
      <c r="C19" s="34" t="s">
        <v>323</v>
      </c>
      <c r="D19" s="94"/>
      <c r="E19" s="94"/>
      <c r="F19" s="94"/>
      <c r="G19" s="94"/>
      <c r="H19" s="94"/>
      <c r="I19" s="94"/>
      <c r="J19" s="94"/>
    </row>
    <row r="20" spans="2:10" ht="15">
      <c r="B20" s="34"/>
      <c r="C20" s="34"/>
      <c r="D20" s="95"/>
      <c r="E20" s="95"/>
      <c r="F20" s="95"/>
      <c r="G20" s="95"/>
      <c r="H20" s="95"/>
      <c r="I20" s="95"/>
      <c r="J20" s="95"/>
    </row>
    <row r="21" spans="2:10" ht="15">
      <c r="B21" s="90">
        <v>6</v>
      </c>
      <c r="C21" s="91" t="s">
        <v>324</v>
      </c>
      <c r="D21" s="96">
        <f>D15+D17+D18+D19</f>
        <v>6.0626076170000003</v>
      </c>
      <c r="E21" s="96">
        <f t="shared" ref="E21:J21" si="3">E15+E17+E18+E19</f>
        <v>0.17267858799999997</v>
      </c>
      <c r="F21" s="96">
        <f t="shared" si="3"/>
        <v>38.239999999999995</v>
      </c>
      <c r="G21" s="96">
        <f t="shared" si="3"/>
        <v>38.5</v>
      </c>
      <c r="H21" s="96">
        <f t="shared" si="3"/>
        <v>30</v>
      </c>
      <c r="I21" s="96">
        <f t="shared" si="3"/>
        <v>0</v>
      </c>
      <c r="J21" s="96">
        <f t="shared" si="3"/>
        <v>0.5</v>
      </c>
    </row>
  </sheetData>
  <mergeCells count="8">
    <mergeCell ref="B2:J2"/>
    <mergeCell ref="B3:J3"/>
    <mergeCell ref="B4:J4"/>
    <mergeCell ref="F6:J6"/>
    <mergeCell ref="D6:D7"/>
    <mergeCell ref="B6:B8"/>
    <mergeCell ref="C6:C8"/>
    <mergeCell ref="E6:E7"/>
  </mergeCells>
  <pageMargins left="0" right="0" top="0.75" bottom="0.75" header="0.3" footer="0.3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8</vt:i4>
      </vt:variant>
    </vt:vector>
  </HeadingPairs>
  <TitlesOfParts>
    <vt:vector size="31" baseType="lpstr">
      <vt:lpstr>Checklist</vt:lpstr>
      <vt:lpstr>F1</vt:lpstr>
      <vt:lpstr>F2</vt:lpstr>
      <vt:lpstr>F2.1</vt:lpstr>
      <vt:lpstr>F2.2</vt:lpstr>
      <vt:lpstr>F2.3</vt:lpstr>
      <vt:lpstr>F3</vt:lpstr>
      <vt:lpstr>F3.1</vt:lpstr>
      <vt:lpstr>F3.2</vt:lpstr>
      <vt:lpstr>F4</vt:lpstr>
      <vt:lpstr>F5</vt:lpstr>
      <vt:lpstr>F6</vt:lpstr>
      <vt:lpstr>F7</vt:lpstr>
      <vt:lpstr>F8</vt:lpstr>
      <vt:lpstr>F9</vt:lpstr>
      <vt:lpstr>F10</vt:lpstr>
      <vt:lpstr>F11</vt:lpstr>
      <vt:lpstr>F11.1</vt:lpstr>
      <vt:lpstr>F12</vt:lpstr>
      <vt:lpstr>F13</vt:lpstr>
      <vt:lpstr>F14</vt:lpstr>
      <vt:lpstr>F15</vt:lpstr>
      <vt:lpstr>Sheet1</vt:lpstr>
      <vt:lpstr>Checklist!Print_Area</vt:lpstr>
      <vt:lpstr>'F14'!Print_Area</vt:lpstr>
      <vt:lpstr>F3.1!Print_Area</vt:lpstr>
      <vt:lpstr>'F4'!Print_Area</vt:lpstr>
      <vt:lpstr>'F6'!Print_Area</vt:lpstr>
      <vt:lpstr>'F7'!Print_Area</vt:lpstr>
      <vt:lpstr>'F8'!Print_Area</vt:lpstr>
      <vt:lpstr>'F9'!Print_Area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Palaniappan M</dc:creator>
  <cp:lastModifiedBy>acer</cp:lastModifiedBy>
  <cp:lastPrinted>2024-09-22T11:20:06Z</cp:lastPrinted>
  <dcterms:created xsi:type="dcterms:W3CDTF">2004-07-28T05:30:50Z</dcterms:created>
  <dcterms:modified xsi:type="dcterms:W3CDTF">2024-09-22T11:20:09Z</dcterms:modified>
</cp:coreProperties>
</file>