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10140" yWindow="0" windowWidth="10455" windowHeight="10905" tabRatio="926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4" sheetId="72" r:id="rId21"/>
    <sheet name="F15" sheetId="91" r:id="rId22"/>
  </sheets>
  <externalReferences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Checklist!$A$1:$E$41</definedName>
    <definedName name="_xlnm.Print_Area" localSheetId="9">'F4'!$A$1:$O$56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01"/>
  <c r="G47"/>
  <c r="F47"/>
  <c r="D47"/>
  <c r="H41"/>
  <c r="G41"/>
  <c r="F41"/>
  <c r="H35"/>
  <c r="G35"/>
  <c r="F35"/>
  <c r="H29"/>
  <c r="G29"/>
  <c r="F29"/>
  <c r="H23"/>
  <c r="I14" i="103" s="1"/>
  <c r="G23" i="101"/>
  <c r="F23"/>
  <c r="H17"/>
  <c r="H14" i="103" s="1"/>
  <c r="G17" i="101"/>
  <c r="F17"/>
  <c r="H11"/>
  <c r="G11"/>
  <c r="F11"/>
  <c r="H19" i="103" l="1"/>
  <c r="I19" s="1"/>
  <c r="I16" i="110" l="1"/>
  <c r="H16"/>
  <c r="F16"/>
  <c r="E16"/>
  <c r="G10"/>
  <c r="G11"/>
  <c r="G12"/>
  <c r="G13"/>
  <c r="G14"/>
  <c r="G15"/>
  <c r="G9"/>
  <c r="G16" l="1"/>
  <c r="D32" i="71"/>
  <c r="E32"/>
  <c r="F32"/>
  <c r="G32"/>
  <c r="H32"/>
  <c r="I32"/>
  <c r="J32"/>
  <c r="K32"/>
  <c r="L32"/>
  <c r="M32"/>
  <c r="N32"/>
  <c r="C32"/>
  <c r="D22"/>
  <c r="E22"/>
  <c r="F22"/>
  <c r="G22"/>
  <c r="H22"/>
  <c r="I22"/>
  <c r="J22"/>
  <c r="K22"/>
  <c r="C22"/>
  <c r="D12"/>
  <c r="E12"/>
  <c r="F12"/>
  <c r="G12"/>
  <c r="H12"/>
  <c r="I12"/>
  <c r="J12"/>
  <c r="K12"/>
  <c r="L12"/>
  <c r="M12"/>
  <c r="N12"/>
  <c r="C12"/>
  <c r="J16" i="110" l="1"/>
  <c r="I15" l="1"/>
  <c r="I13"/>
  <c r="I38" i="81"/>
  <c r="N20" i="71"/>
  <c r="N18"/>
  <c r="M20"/>
  <c r="M18"/>
  <c r="L20"/>
  <c r="L18"/>
  <c r="K30" i="102"/>
  <c r="M22" i="71" l="1"/>
  <c r="L22"/>
  <c r="N22"/>
  <c r="H18" i="110"/>
  <c r="G18"/>
  <c r="F18"/>
  <c r="E12" i="104" s="1"/>
  <c r="H17" i="110"/>
  <c r="G17"/>
  <c r="F17"/>
  <c r="E11" i="104" s="1"/>
  <c r="I17" i="110"/>
  <c r="F19" i="104"/>
  <c r="O30" i="71"/>
  <c r="O28"/>
  <c r="O20"/>
  <c r="O18"/>
  <c r="O10"/>
  <c r="O8"/>
  <c r="B41" i="81"/>
  <c r="B42" s="1"/>
  <c r="G38"/>
  <c r="B37"/>
  <c r="B38" s="1"/>
  <c r="B33"/>
  <c r="B34" s="1"/>
  <c r="B27"/>
  <c r="B28" s="1"/>
  <c r="B29" s="1"/>
  <c r="B30" s="1"/>
  <c r="G24"/>
  <c r="F24"/>
  <c r="J23"/>
  <c r="G23"/>
  <c r="E23"/>
  <c r="B23"/>
  <c r="B24" s="1"/>
  <c r="B19"/>
  <c r="B20" s="1"/>
  <c r="B15"/>
  <c r="B16" s="1"/>
  <c r="O32" i="71" l="1"/>
  <c r="O22"/>
  <c r="O12"/>
  <c r="F12" i="104"/>
  <c r="F11"/>
  <c r="F10"/>
  <c r="E10"/>
  <c r="J18" i="110"/>
  <c r="I12" i="104" s="1"/>
  <c r="I18" i="110"/>
  <c r="J17"/>
  <c r="I10" i="104" l="1"/>
  <c r="I11"/>
  <c r="H12"/>
  <c r="H10"/>
  <c r="H11" s="1"/>
  <c r="E18" i="110"/>
  <c r="D12" i="104" s="1"/>
  <c r="K12" i="102"/>
  <c r="G12" i="104" l="1"/>
  <c r="G10"/>
  <c r="G11" s="1"/>
  <c r="E17" i="110"/>
  <c r="D11" i="104" s="1"/>
  <c r="D10" l="1"/>
  <c r="F20" i="58"/>
  <c r="J12" i="102"/>
  <c r="F12"/>
  <c r="H14" i="66" l="1"/>
  <c r="E14"/>
  <c r="J38" i="102"/>
  <c r="M38" s="1"/>
  <c r="L39"/>
  <c r="G39"/>
  <c r="H39"/>
  <c r="I38" i="68"/>
  <c r="I40" s="1"/>
  <c r="E38"/>
  <c r="E40" s="1"/>
  <c r="F38"/>
  <c r="F40" s="1"/>
  <c r="G38"/>
  <c r="G40" s="1"/>
  <c r="D38"/>
  <c r="D40" s="1"/>
  <c r="H38" l="1"/>
  <c r="H40" s="1"/>
  <c r="J19" i="110" l="1"/>
  <c r="I17" i="104" s="1"/>
  <c r="I19" i="110"/>
  <c r="H17" i="104" s="1"/>
  <c r="H19" i="110"/>
  <c r="G17" i="104" s="1"/>
  <c r="G19" i="110" l="1"/>
  <c r="F17" i="104" l="1"/>
  <c r="L21" i="102"/>
  <c r="J21"/>
  <c r="G21"/>
  <c r="H21"/>
  <c r="F21"/>
  <c r="N12"/>
  <c r="I12"/>
  <c r="N11"/>
  <c r="I11"/>
  <c r="N10"/>
  <c r="I10"/>
  <c r="N9"/>
  <c r="I9"/>
  <c r="N16"/>
  <c r="I16"/>
  <c r="F34" s="1"/>
  <c r="N15"/>
  <c r="I15"/>
  <c r="F33" s="1"/>
  <c r="N14"/>
  <c r="I14"/>
  <c r="F32" s="1"/>
  <c r="N13"/>
  <c r="I13"/>
  <c r="F31" s="1"/>
  <c r="H11" i="105"/>
  <c r="D10" l="1"/>
  <c r="E10" s="1"/>
  <c r="F10" s="1"/>
  <c r="D10" i="103"/>
  <c r="E10" s="1"/>
  <c r="F10" s="1"/>
  <c r="D11"/>
  <c r="E11" s="1"/>
  <c r="F11" s="1"/>
  <c r="M9" i="102"/>
  <c r="J27" s="1"/>
  <c r="F27"/>
  <c r="M11"/>
  <c r="F29"/>
  <c r="M13"/>
  <c r="J31" s="1"/>
  <c r="M10"/>
  <c r="J28" s="1"/>
  <c r="F28"/>
  <c r="M12"/>
  <c r="J30" s="1"/>
  <c r="M30" s="1"/>
  <c r="F30"/>
  <c r="M14"/>
  <c r="J32" s="1"/>
  <c r="M16"/>
  <c r="M15"/>
  <c r="O9"/>
  <c r="O14" l="1"/>
  <c r="O13"/>
  <c r="O12"/>
  <c r="O16"/>
  <c r="J34"/>
  <c r="N34" s="1"/>
  <c r="O15"/>
  <c r="J33"/>
  <c r="N33" s="1"/>
  <c r="O11"/>
  <c r="J29"/>
  <c r="N29" s="1"/>
  <c r="O10"/>
  <c r="N31"/>
  <c r="I31"/>
  <c r="F48" s="1"/>
  <c r="I28"/>
  <c r="F45" s="1"/>
  <c r="N28"/>
  <c r="I33"/>
  <c r="F50" s="1"/>
  <c r="N27"/>
  <c r="I27"/>
  <c r="I29"/>
  <c r="I34"/>
  <c r="N30"/>
  <c r="I30"/>
  <c r="I32"/>
  <c r="M32" s="1"/>
  <c r="N32"/>
  <c r="E19" i="110"/>
  <c r="D17" i="104" s="1"/>
  <c r="F19" i="110"/>
  <c r="E17" i="104" s="1"/>
  <c r="Q19" i="91"/>
  <c r="Q15"/>
  <c r="Q14"/>
  <c r="M29" i="102" l="1"/>
  <c r="O29" s="1"/>
  <c r="M34"/>
  <c r="O34" s="1"/>
  <c r="M27"/>
  <c r="O27" s="1"/>
  <c r="M33"/>
  <c r="O33" s="1"/>
  <c r="M28"/>
  <c r="O28" s="1"/>
  <c r="O30"/>
  <c r="F47"/>
  <c r="F51"/>
  <c r="N48"/>
  <c r="I48"/>
  <c r="M31"/>
  <c r="O31" s="1"/>
  <c r="F49"/>
  <c r="O32"/>
  <c r="F46"/>
  <c r="F44"/>
  <c r="N50"/>
  <c r="I50"/>
  <c r="N45"/>
  <c r="I45"/>
  <c r="H34" i="67"/>
  <c r="E34"/>
  <c r="F34"/>
  <c r="G34"/>
  <c r="D34"/>
  <c r="K45" i="102" l="1"/>
  <c r="M45" s="1"/>
  <c r="O45" s="1"/>
  <c r="I44"/>
  <c r="N44"/>
  <c r="I49"/>
  <c r="K49" s="1"/>
  <c r="M49" s="1"/>
  <c r="N49"/>
  <c r="N47"/>
  <c r="I47"/>
  <c r="I46"/>
  <c r="N46"/>
  <c r="I51"/>
  <c r="K51" s="1"/>
  <c r="M51" s="1"/>
  <c r="N51"/>
  <c r="K50"/>
  <c r="M50" s="1"/>
  <c r="O50" s="1"/>
  <c r="K48"/>
  <c r="M48" s="1"/>
  <c r="O48" s="1"/>
  <c r="G20" i="58"/>
  <c r="H20"/>
  <c r="J20"/>
  <c r="I20" s="1"/>
  <c r="K20"/>
  <c r="K44" i="102" l="1"/>
  <c r="M44" s="1"/>
  <c r="O44" s="1"/>
  <c r="O51"/>
  <c r="O49"/>
  <c r="K47"/>
  <c r="M47" s="1"/>
  <c r="O47" s="1"/>
  <c r="K46"/>
  <c r="M46" s="1"/>
  <c r="O46" s="1"/>
  <c r="Q22" i="91" l="1"/>
  <c r="Q23"/>
  <c r="Q24"/>
  <c r="Q21"/>
  <c r="F25"/>
  <c r="G25"/>
  <c r="H25"/>
  <c r="I25"/>
  <c r="J25"/>
  <c r="K25"/>
  <c r="L25"/>
  <c r="M25"/>
  <c r="N25"/>
  <c r="O25"/>
  <c r="P25"/>
  <c r="E25"/>
  <c r="Q25" l="1"/>
  <c r="Q30" s="1"/>
  <c r="B51" i="115"/>
  <c r="B52" s="1"/>
  <c r="B53" s="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V21"/>
  <c r="U21"/>
  <c r="U32" s="1"/>
  <c r="T21"/>
  <c r="S21"/>
  <c r="R21"/>
  <c r="Q21"/>
  <c r="Q32" s="1"/>
  <c r="P21"/>
  <c r="O21"/>
  <c r="N21"/>
  <c r="M21"/>
  <c r="M32" s="1"/>
  <c r="L21"/>
  <c r="K21"/>
  <c r="J21"/>
  <c r="I21"/>
  <c r="H21"/>
  <c r="G21"/>
  <c r="F21"/>
  <c r="E21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I32" l="1"/>
  <c r="I34" s="1"/>
  <c r="M34"/>
  <c r="Q34"/>
  <c r="U34"/>
  <c r="O32"/>
  <c r="O34" s="1"/>
  <c r="S32"/>
  <c r="S34" s="1"/>
  <c r="E32"/>
  <c r="E34" s="1"/>
  <c r="G32"/>
  <c r="G34" s="1"/>
  <c r="K32"/>
  <c r="K34" s="1"/>
  <c r="H32"/>
  <c r="H34" s="1"/>
  <c r="L32"/>
  <c r="L34" s="1"/>
  <c r="P32"/>
  <c r="P34" s="1"/>
  <c r="T32"/>
  <c r="T34" s="1"/>
  <c r="F32"/>
  <c r="F34" s="1"/>
  <c r="J32"/>
  <c r="J34" s="1"/>
  <c r="N32"/>
  <c r="N34" s="1"/>
  <c r="R32"/>
  <c r="R34" s="1"/>
  <c r="V32"/>
  <c r="V34" s="1"/>
  <c r="G12" i="105" l="1"/>
  <c r="D12"/>
  <c r="D18" i="69" l="1"/>
  <c r="D21" s="1"/>
  <c r="D54" i="103"/>
  <c r="G15"/>
  <c r="D15"/>
  <c r="D17" s="1"/>
  <c r="D14" i="105"/>
  <c r="I12" i="103"/>
  <c r="G12"/>
  <c r="D12"/>
  <c r="N17" i="102"/>
  <c r="I17"/>
  <c r="F35" s="1"/>
  <c r="E31" i="107"/>
  <c r="E21"/>
  <c r="E14"/>
  <c r="E16" s="1"/>
  <c r="N18" i="72"/>
  <c r="J18"/>
  <c r="G18"/>
  <c r="C18"/>
  <c r="E30" i="91"/>
  <c r="E16"/>
  <c r="E17" s="1"/>
  <c r="E32" i="107" l="1"/>
  <c r="E34" s="1"/>
  <c r="D18" i="103"/>
  <c r="D20" s="1"/>
  <c r="D22" s="1"/>
  <c r="M17" i="102" l="1"/>
  <c r="J35" s="1"/>
  <c r="I34" i="67"/>
  <c r="I36" s="1"/>
  <c r="J11" i="66" s="1"/>
  <c r="H36" i="67"/>
  <c r="I11" i="66" s="1"/>
  <c r="G36" i="67"/>
  <c r="F11" i="66" s="1"/>
  <c r="G11" s="1"/>
  <c r="J12"/>
  <c r="I12"/>
  <c r="F12"/>
  <c r="G12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I11"/>
  <c r="H11"/>
  <c r="F61" i="103"/>
  <c r="E61"/>
  <c r="D61"/>
  <c r="F56"/>
  <c r="E56"/>
  <c r="D56"/>
  <c r="F55"/>
  <c r="E55"/>
  <c r="D55"/>
  <c r="F54"/>
  <c r="E54"/>
  <c r="F46"/>
  <c r="F47" s="1"/>
  <c r="F49" s="1"/>
  <c r="F51" s="1"/>
  <c r="E46"/>
  <c r="E47" s="1"/>
  <c r="E49" s="1"/>
  <c r="E51" s="1"/>
  <c r="D46"/>
  <c r="F36"/>
  <c r="F37" s="1"/>
  <c r="F39" s="1"/>
  <c r="E36"/>
  <c r="E37" s="1"/>
  <c r="E39" s="1"/>
  <c r="D36"/>
  <c r="D37" s="1"/>
  <c r="D39" s="1"/>
  <c r="D41" s="1"/>
  <c r="G17"/>
  <c r="F12"/>
  <c r="E12"/>
  <c r="D18" i="105"/>
  <c r="I18"/>
  <c r="H18"/>
  <c r="G18"/>
  <c r="F18"/>
  <c r="E18"/>
  <c r="H56" i="102"/>
  <c r="G56"/>
  <c r="I20"/>
  <c r="N19"/>
  <c r="I19"/>
  <c r="F37" s="1"/>
  <c r="N18"/>
  <c r="I18"/>
  <c r="F36" s="1"/>
  <c r="N21" l="1"/>
  <c r="F38"/>
  <c r="O17"/>
  <c r="I21"/>
  <c r="I14" i="66"/>
  <c r="D47" i="103"/>
  <c r="D49" s="1"/>
  <c r="E14"/>
  <c r="D9" i="109"/>
  <c r="E12" i="93"/>
  <c r="F12" s="1"/>
  <c r="E11" i="105"/>
  <c r="E12" s="1"/>
  <c r="F14" i="66"/>
  <c r="F9" i="109"/>
  <c r="I11" i="105"/>
  <c r="I12" s="1"/>
  <c r="I12" i="93"/>
  <c r="D20" i="105"/>
  <c r="D21" s="1"/>
  <c r="E9" i="109"/>
  <c r="H12" i="93"/>
  <c r="H13" s="1"/>
  <c r="H12" i="105"/>
  <c r="G14" i="66"/>
  <c r="F11" i="93"/>
  <c r="J14" i="66"/>
  <c r="I36" i="102"/>
  <c r="I11" i="58"/>
  <c r="I37" i="102"/>
  <c r="F54" s="1"/>
  <c r="I54" s="1"/>
  <c r="M19"/>
  <c r="E57" i="103"/>
  <c r="E58" s="1"/>
  <c r="G20" i="69"/>
  <c r="F11" i="58"/>
  <c r="E41" i="103"/>
  <c r="E60"/>
  <c r="F60"/>
  <c r="F41"/>
  <c r="D57"/>
  <c r="D58" s="1"/>
  <c r="F57"/>
  <c r="F58" s="1"/>
  <c r="F13" i="58"/>
  <c r="G16" i="103"/>
  <c r="G18" s="1"/>
  <c r="E20" i="105"/>
  <c r="F20"/>
  <c r="N35" i="102"/>
  <c r="I35"/>
  <c r="O20"/>
  <c r="D13" i="104" l="1"/>
  <c r="D14"/>
  <c r="G13"/>
  <c r="G14"/>
  <c r="F39" i="102"/>
  <c r="H10" i="103" s="1"/>
  <c r="I38" i="102"/>
  <c r="O38" s="1"/>
  <c r="G10" i="105"/>
  <c r="I39" i="102"/>
  <c r="F56" s="1"/>
  <c r="O19"/>
  <c r="J37"/>
  <c r="M37" s="1"/>
  <c r="O37" s="1"/>
  <c r="M18"/>
  <c r="J36" s="1"/>
  <c r="M36" s="1"/>
  <c r="O36" s="1"/>
  <c r="F13" i="93"/>
  <c r="I13"/>
  <c r="E17" i="109"/>
  <c r="E12"/>
  <c r="E15" s="1"/>
  <c r="F12"/>
  <c r="F15" s="1"/>
  <c r="F17"/>
  <c r="D12"/>
  <c r="D15" s="1"/>
  <c r="D17"/>
  <c r="J11" i="58"/>
  <c r="H11"/>
  <c r="D51" i="103"/>
  <c r="D60"/>
  <c r="D59" s="1"/>
  <c r="F19" s="1"/>
  <c r="F14"/>
  <c r="F59"/>
  <c r="E59"/>
  <c r="G11" i="58"/>
  <c r="E13" i="93"/>
  <c r="E14" i="105"/>
  <c r="E21" s="1"/>
  <c r="E22" s="1"/>
  <c r="G15" i="58" s="1"/>
  <c r="F11" i="105"/>
  <c r="K54" i="102"/>
  <c r="M54" s="1"/>
  <c r="O54" s="1"/>
  <c r="G21" i="69"/>
  <c r="N54" i="102"/>
  <c r="K11" i="58"/>
  <c r="F52" i="102"/>
  <c r="F53"/>
  <c r="F62" i="103"/>
  <c r="E62"/>
  <c r="F15" i="58"/>
  <c r="N37" i="102" l="1"/>
  <c r="H10" i="105"/>
  <c r="H20" s="1"/>
  <c r="E21" i="109"/>
  <c r="I56" i="102"/>
  <c r="I14" i="104"/>
  <c r="I13"/>
  <c r="E13"/>
  <c r="E14"/>
  <c r="F13"/>
  <c r="F14"/>
  <c r="H13"/>
  <c r="H14"/>
  <c r="Q21" i="102"/>
  <c r="M21"/>
  <c r="G14" i="105"/>
  <c r="G20"/>
  <c r="M35" i="102"/>
  <c r="N36"/>
  <c r="O18"/>
  <c r="O21" s="1"/>
  <c r="N39" s="1"/>
  <c r="O39" s="1"/>
  <c r="N56" s="1"/>
  <c r="F12" i="105"/>
  <c r="F14" s="1"/>
  <c r="F21" s="1"/>
  <c r="F22" s="1"/>
  <c r="H15" i="58" s="1"/>
  <c r="F21" i="109"/>
  <c r="D21"/>
  <c r="H20" i="69"/>
  <c r="H21" s="1"/>
  <c r="D62" i="103"/>
  <c r="E21" i="102"/>
  <c r="H12" i="58"/>
  <c r="I53" i="102"/>
  <c r="N53"/>
  <c r="I52"/>
  <c r="N52"/>
  <c r="F55"/>
  <c r="H14" i="105" l="1"/>
  <c r="H21" s="1"/>
  <c r="H22" s="1"/>
  <c r="J15" i="58" s="1"/>
  <c r="O56" i="102"/>
  <c r="I10" i="105"/>
  <c r="I20" s="1"/>
  <c r="J39" i="102"/>
  <c r="G21" i="105"/>
  <c r="I15" i="58" s="1"/>
  <c r="F15" i="103"/>
  <c r="F18" s="1"/>
  <c r="F20" s="1"/>
  <c r="G12" i="58"/>
  <c r="E15" i="103" s="1"/>
  <c r="O35" i="102"/>
  <c r="E39"/>
  <c r="J12" i="58"/>
  <c r="H15" i="103" s="1"/>
  <c r="K53" i="102"/>
  <c r="M53" s="1"/>
  <c r="O53" s="1"/>
  <c r="K52"/>
  <c r="N55"/>
  <c r="I55"/>
  <c r="F22" i="103" l="1"/>
  <c r="H13" i="58" s="1"/>
  <c r="G20" i="103"/>
  <c r="G22" s="1"/>
  <c r="M39" i="102"/>
  <c r="H11" i="103"/>
  <c r="H12" s="1"/>
  <c r="H16" s="1"/>
  <c r="H18" s="1"/>
  <c r="F17"/>
  <c r="E18"/>
  <c r="E20" s="1"/>
  <c r="E22" s="1"/>
  <c r="G13" i="58" s="1"/>
  <c r="E17" i="103"/>
  <c r="I20" i="69"/>
  <c r="I21" s="1"/>
  <c r="H17" i="103"/>
  <c r="M52" i="102"/>
  <c r="K55"/>
  <c r="M55" s="1"/>
  <c r="O55" s="1"/>
  <c r="I22" i="106"/>
  <c r="K16" i="58" s="1"/>
  <c r="H22" i="106"/>
  <c r="J16" i="58" s="1"/>
  <c r="F22" i="106"/>
  <c r="H16" i="58" s="1"/>
  <c r="E22" i="106"/>
  <c r="G16" i="58" s="1"/>
  <c r="V31" i="107"/>
  <c r="U31"/>
  <c r="T31"/>
  <c r="S31"/>
  <c r="R31"/>
  <c r="Q31"/>
  <c r="P31"/>
  <c r="O31"/>
  <c r="N31"/>
  <c r="M31"/>
  <c r="L31"/>
  <c r="K31"/>
  <c r="J31"/>
  <c r="I31"/>
  <c r="H31"/>
  <c r="G31"/>
  <c r="F31"/>
  <c r="V21"/>
  <c r="U21"/>
  <c r="T21"/>
  <c r="S21"/>
  <c r="R21"/>
  <c r="Q21"/>
  <c r="P21"/>
  <c r="O21"/>
  <c r="N21"/>
  <c r="M21"/>
  <c r="L21"/>
  <c r="K21"/>
  <c r="J21"/>
  <c r="I21"/>
  <c r="H21"/>
  <c r="G2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K19" i="58"/>
  <c r="K21" s="1"/>
  <c r="J19"/>
  <c r="J21" s="1"/>
  <c r="I19"/>
  <c r="I21" s="1"/>
  <c r="H19"/>
  <c r="H21" s="1"/>
  <c r="G19"/>
  <c r="G21" s="1"/>
  <c r="F19"/>
  <c r="M18" i="72"/>
  <c r="L18"/>
  <c r="K18"/>
  <c r="F18"/>
  <c r="E18"/>
  <c r="D18"/>
  <c r="Q16" i="91"/>
  <c r="P16"/>
  <c r="P17" s="1"/>
  <c r="O16"/>
  <c r="O17" s="1"/>
  <c r="N16"/>
  <c r="N17" s="1"/>
  <c r="M16"/>
  <c r="M17" s="1"/>
  <c r="L16"/>
  <c r="L17" s="1"/>
  <c r="K16"/>
  <c r="K17" s="1"/>
  <c r="J16"/>
  <c r="J17" s="1"/>
  <c r="I16"/>
  <c r="I17" s="1"/>
  <c r="H16"/>
  <c r="H17" s="1"/>
  <c r="G16"/>
  <c r="G17" s="1"/>
  <c r="F16"/>
  <c r="F17" s="1"/>
  <c r="P30"/>
  <c r="O30"/>
  <c r="N30"/>
  <c r="M30"/>
  <c r="L30"/>
  <c r="K30"/>
  <c r="J30"/>
  <c r="I30"/>
  <c r="H30"/>
  <c r="G30"/>
  <c r="F30"/>
  <c r="G32" i="107" l="1"/>
  <c r="G34" s="1"/>
  <c r="K32"/>
  <c r="K34" s="1"/>
  <c r="O32"/>
  <c r="O34" s="1"/>
  <c r="S32"/>
  <c r="J13" i="58"/>
  <c r="J56" i="102"/>
  <c r="Q17" i="91"/>
  <c r="S34" i="107"/>
  <c r="T32"/>
  <c r="T34" s="1"/>
  <c r="F21" i="58"/>
  <c r="H32" i="107"/>
  <c r="H34" s="1"/>
  <c r="L32"/>
  <c r="L34" s="1"/>
  <c r="P32"/>
  <c r="P34" s="1"/>
  <c r="O52" i="102"/>
  <c r="F32" i="107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M56" i="102" l="1"/>
  <c r="I14" i="105"/>
  <c r="I21" s="1"/>
  <c r="I22" s="1"/>
  <c r="K15" i="58" s="1"/>
  <c r="E56" i="102"/>
  <c r="K12" i="58"/>
  <c r="I15" i="103" s="1"/>
  <c r="I16" l="1"/>
  <c r="I18" s="1"/>
  <c r="K13" i="58" s="1"/>
  <c r="I17" i="103"/>
  <c r="B20" i="58"/>
  <c r="B21" s="1"/>
  <c r="B51" i="107" l="1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B11" i="106" l="1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B21" i="105" l="1"/>
  <c r="B22" s="1"/>
  <c r="B12" i="58"/>
  <c r="B13" s="1"/>
  <c r="B14" s="1"/>
  <c r="B15" s="1"/>
  <c r="B16" s="1"/>
  <c r="B17" s="1"/>
  <c r="B9" i="91" l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B9" i="57" l="1"/>
  <c r="B10" s="1"/>
  <c r="B11" s="1"/>
  <c r="B12" s="1"/>
  <c r="B13" l="1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4" i="58"/>
  <c r="I17" l="1"/>
  <c r="I22" l="1"/>
  <c r="G15" i="104" s="1"/>
  <c r="G18" s="1"/>
  <c r="I23" i="58"/>
  <c r="F14"/>
  <c r="F17" l="1"/>
  <c r="F22" l="1"/>
  <c r="D15" i="104" s="1"/>
  <c r="D18" s="1"/>
  <c r="F23" i="58"/>
  <c r="G14"/>
  <c r="H14"/>
  <c r="J14"/>
  <c r="K14"/>
  <c r="G17"/>
  <c r="H17"/>
  <c r="J17"/>
  <c r="K17"/>
  <c r="G22"/>
  <c r="H22"/>
  <c r="J22"/>
  <c r="K22"/>
  <c r="G23"/>
  <c r="H23"/>
  <c r="J23"/>
  <c r="K23"/>
  <c r="E15" i="104"/>
  <c r="F15"/>
  <c r="H15"/>
  <c r="I15"/>
  <c r="E18"/>
  <c r="F18"/>
  <c r="H18"/>
  <c r="I18"/>
  <c r="E20"/>
  <c r="F20"/>
  <c r="H20"/>
  <c r="I20"/>
</calcChain>
</file>

<file path=xl/sharedStrings.xml><?xml version="1.0" encoding="utf-8"?>
<sst xmlns="http://schemas.openxmlformats.org/spreadsheetml/2006/main" count="1251" uniqueCount="548">
  <si>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</si>
  <si>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</si>
  <si>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</si>
  <si>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</si>
  <si>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</si>
  <si>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</si>
  <si>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</si>
  <si>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</si>
  <si>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</si>
  <si>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</si>
  <si>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</si>
  <si>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</si>
  <si>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</si>
  <si>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</si>
  <si>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</si>
  <si>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</si>
  <si>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</si>
  <si>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</si>
  <si>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</si>
  <si>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</si>
  <si>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</si>
  <si>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</si>
  <si>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</si>
  <si>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</si>
  <si>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</si>
  <si>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</si>
  <si>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</si>
  <si>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</si>
  <si>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</si>
  <si>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</si>
  <si>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</si>
  <si>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</si>
  <si>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</si>
  <si>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</si>
  <si>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</si>
  <si>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</si>
  <si>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</si>
  <si>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</si>
  <si>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</si>
  <si>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</si>
  <si>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</si>
  <si>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</si>
  <si>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</si>
  <si>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</si>
  <si>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</si>
  <si>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</si>
  <si>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</si>
  <si>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</si>
  <si>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</si>
  <si>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</si>
  <si>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</si>
  <si>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</si>
  <si>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</si>
  <si>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</si>
  <si>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</si>
  <si>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</si>
  <si>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</si>
  <si>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</si>
  <si>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</si>
  <si>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</si>
  <si>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</si>
  <si>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</si>
  <si>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</si>
  <si>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</si>
  <si>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</si>
  <si>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</si>
  <si>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</si>
  <si>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</si>
  <si>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</si>
  <si>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</si>
  <si>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</si>
  <si>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</si>
  <si>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</si>
  <si>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</si>
  <si>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</si>
  <si>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</si>
  <si>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</si>
  <si>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</si>
  <si>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</si>
  <si>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</si>
  <si>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</si>
  <si>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</si>
  <si>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</si>
  <si>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</si>
  <si>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</si>
  <si>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</si>
  <si>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</si>
  <si>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</si>
  <si>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</si>
  <si>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</si>
  <si>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</si>
  <si>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</si>
  <si>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</si>
  <si>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</si>
  <si>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</si>
  <si>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</si>
  <si>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</si>
  <si>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</si>
  <si>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</si>
  <si>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</si>
  <si>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</si>
  <si>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</si>
  <si>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</si>
  <si>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</si>
  <si>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</si>
  <si>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</si>
  <si>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</si>
  <si>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</si>
  <si>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</si>
  <si>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</si>
  <si>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</si>
  <si>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</si>
  <si>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</si>
  <si>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</si>
  <si>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</si>
  <si>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</si>
  <si>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</si>
  <si>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</si>
  <si>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</si>
  <si>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</si>
  <si>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</si>
  <si>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</si>
  <si>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</si>
  <si>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</si>
  <si>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</si>
  <si>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</si>
  <si>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</si>
  <si>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</si>
  <si>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</si>
  <si>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</si>
  <si>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</si>
  <si>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</si>
  <si>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</si>
  <si>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</si>
  <si>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</si>
  <si>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</si>
  <si>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</si>
  <si>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</si>
  <si>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</si>
  <si>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</si>
  <si>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</si>
  <si>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</si>
  <si>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</si>
  <si>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</si>
  <si>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</si>
  <si>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</si>
  <si>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</si>
  <si>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</si>
  <si>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</si>
  <si>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</si>
  <si>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</si>
  <si>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</si>
  <si>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</si>
  <si>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</si>
  <si>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</si>
  <si>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</si>
  <si>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</si>
  <si>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</si>
  <si>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</si>
  <si>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</si>
  <si>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</si>
  <si>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</si>
  <si>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</si>
  <si>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</si>
  <si>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</si>
  <si>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</si>
  <si>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</si>
  <si>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</si>
  <si>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</si>
  <si>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</si>
  <si>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</si>
  <si>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</si>
  <si>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</si>
  <si>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</si>
  <si>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</si>
  <si>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</si>
  <si>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</si>
  <si>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</si>
  <si>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</si>
  <si>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</si>
  <si>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</si>
  <si>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</si>
  <si>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</si>
  <si>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</si>
  <si>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</si>
  <si>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</si>
  <si>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</si>
  <si>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</si>
  <si>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</si>
  <si>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</si>
  <si>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</si>
  <si>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</si>
  <si>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</si>
  <si>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</si>
  <si>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</si>
  <si>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</si>
  <si>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</si>
  <si>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</si>
  <si>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</si>
  <si>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</si>
  <si>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</si>
  <si>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</si>
  <si>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</si>
  <si>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</si>
  <si>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</si>
  <si>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</si>
  <si>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</si>
  <si>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</si>
  <si>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</si>
  <si>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</si>
  <si>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</si>
  <si>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</si>
  <si>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</si>
  <si>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</si>
  <si>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</si>
  <si>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</si>
  <si>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</si>
  <si>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</si>
  <si>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</si>
  <si>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</si>
  <si>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</si>
  <si>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</si>
  <si>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</si>
  <si>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</si>
  <si>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</si>
  <si>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</si>
  <si>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</si>
  <si>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</si>
  <si>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</si>
  <si>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</si>
  <si>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</si>
  <si>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</si>
  <si>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</si>
  <si>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</si>
  <si>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</si>
  <si>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</si>
  <si>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</si>
  <si>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</si>
  <si>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</si>
  <si>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</si>
  <si>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</si>
  <si>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</si>
  <si>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</si>
  <si>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</si>
  <si>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</si>
  <si>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</si>
  <si>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</si>
  <si>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</si>
  <si>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</si>
  <si>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</si>
  <si>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</si>
  <si>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</si>
  <si>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</si>
  <si>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</si>
  <si>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</si>
  <si>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</si>
  <si>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</si>
  <si>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</si>
  <si>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</si>
  <si>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</si>
  <si>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</si>
  <si>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</si>
  <si>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</si>
  <si>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</si>
  <si>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</si>
  <si>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</si>
  <si>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</si>
  <si>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</si>
  <si>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</si>
  <si>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</si>
  <si>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</si>
  <si>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</si>
  <si>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</si>
  <si>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</si>
  <si>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</si>
  <si>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</si>
  <si>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</si>
  <si>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</si>
  <si>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Year (n+1)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</si>
  <si>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</si>
  <si>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</si>
  <si>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</si>
  <si>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</si>
  <si>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</si>
  <si>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</si>
  <si>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</si>
  <si>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</si>
  <si>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</si>
  <si>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</si>
  <si>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</si>
  <si>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</si>
  <si>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</si>
  <si>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</si>
  <si>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</si>
  <si>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</si>
  <si>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</si>
  <si>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</si>
  <si>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</si>
  <si>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</si>
  <si>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</si>
  <si>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</si>
  <si>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</si>
  <si>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</si>
  <si>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</si>
  <si>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</si>
  <si>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</si>
  <si>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</si>
  <si>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</si>
  <si>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</si>
  <si>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</si>
  <si>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</si>
  <si>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</si>
  <si>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</si>
  <si>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</si>
  <si>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</si>
  <si>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</si>
  <si>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</si>
  <si>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</si>
  <si>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</si>
  <si>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</si>
  <si>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</si>
  <si>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</si>
  <si>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</si>
  <si>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</si>
  <si>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</si>
  <si>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</si>
  <si>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</si>
  <si>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</si>
  <si>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</si>
  <si>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</si>
  <si>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</si>
  <si>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</si>
  <si>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</si>
  <si>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</si>
  <si>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</si>
  <si>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</si>
  <si>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</si>
  <si>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</si>
  <si>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</si>
  <si>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</si>
  <si>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</si>
  <si>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</si>
  <si>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</si>
  <si>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</si>
  <si>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</si>
  <si>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</si>
  <si>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</si>
  <si>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</si>
  <si>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</si>
  <si>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</si>
  <si>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</si>
  <si>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</si>
  <si>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</si>
  <si>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</si>
  <si>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</si>
  <si>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</si>
  <si>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</si>
  <si>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</si>
  <si>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</si>
  <si>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</si>
  <si>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</si>
  <si>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</si>
  <si>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</si>
  <si>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</si>
  <si>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</si>
  <si>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</si>
  <si>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</si>
  <si>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</si>
  <si>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</si>
  <si>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</si>
  <si>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</si>
  <si>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</si>
  <si>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</si>
  <si>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</si>
  <si>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</si>
  <si>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</si>
  <si>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</si>
  <si>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</si>
  <si>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</si>
  <si>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</si>
  <si>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</si>
  <si>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</si>
  <si>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</si>
  <si>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</si>
  <si>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</si>
  <si>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</si>
  <si>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</si>
  <si>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</si>
  <si>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</si>
  <si>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</si>
  <si>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</si>
  <si>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</si>
  <si>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</si>
  <si>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</si>
  <si>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</si>
  <si>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</si>
  <si>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</si>
  <si>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</si>
  <si>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</si>
  <si>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</si>
  <si>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</si>
  <si>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</si>
  <si>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</si>
  <si>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</si>
  <si>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</si>
  <si>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</si>
  <si>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</si>
  <si>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</si>
  <si>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</si>
  <si>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</si>
  <si>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</si>
  <si>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</si>
  <si>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</si>
  <si>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</si>
  <si>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</si>
  <si>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</si>
  <si>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</si>
  <si>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</si>
  <si>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</si>
  <si>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</si>
  <si>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</si>
  <si>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</si>
  <si>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</si>
  <si>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</si>
  <si>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</si>
  <si>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</si>
  <si>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</si>
  <si>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</si>
  <si>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</si>
  <si>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</si>
  <si>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</si>
  <si>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</si>
  <si>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</si>
  <si>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</si>
  <si>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</si>
  <si>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</si>
  <si>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</si>
  <si>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</si>
  <si>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</si>
  <si>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</si>
  <si>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</si>
  <si>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</si>
  <si>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of the opening oil stock as per bill
of oil Company</t>
  </si>
  <si>
    <t>GCV of Domestic oil supplied as per bill of oil Company</t>
  </si>
  <si>
    <t>GCV of Imported oil of the opening stock as per bill oil
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</si>
  <si>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</si>
  <si>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</si>
  <si>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</si>
  <si>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</si>
  <si>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
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</si>
  <si>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</si>
  <si>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</si>
  <si>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</si>
  <si>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</si>
  <si>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</si>
  <si>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</si>
  <si>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</si>
  <si>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</si>
  <si>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</si>
  <si>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</si>
  <si>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</si>
  <si>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</si>
  <si>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</si>
  <si>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</si>
  <si>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</si>
  <si>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</si>
  <si>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</si>
  <si>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</si>
  <si>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</si>
  <si>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</si>
  <si>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</si>
  <si>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</si>
  <si>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</si>
  <si>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</si>
  <si>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</si>
  <si>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</si>
  <si>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</si>
  <si>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</si>
  <si>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</si>
  <si>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</si>
  <si>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</si>
  <si>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</si>
  <si>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</si>
  <si>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</si>
  <si>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</si>
  <si>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Rs.in Crs</t>
  </si>
  <si>
    <t>Year (2022-23)</t>
  </si>
  <si>
    <t>2023-24</t>
  </si>
  <si>
    <t>2024-25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</si>
  <si>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</si>
  <si>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</si>
  <si>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</si>
  <si>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</si>
  <si>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</si>
  <si>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</si>
  <si>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</si>
  <si>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</si>
  <si>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Non-Pit Head</t>
  </si>
  <si>
    <t>FY 2019-20</t>
  </si>
  <si>
    <t>FY 2020-21</t>
  </si>
  <si>
    <t>FY 2021-22</t>
  </si>
  <si>
    <t>&lt;RTS-B&gt;</t>
  </si>
  <si>
    <t>17.10.1971</t>
  </si>
  <si>
    <t>KL</t>
  </si>
  <si>
    <t>Rs./KL</t>
  </si>
  <si>
    <t>RTS-B</t>
  </si>
  <si>
    <t>Year (n-1) (FY 2022-23)</t>
  </si>
  <si>
    <t>Current Year 'n' (FY 2023-24)</t>
  </si>
  <si>
    <t xml:space="preserve"> (FY 2022-23)</t>
  </si>
  <si>
    <t>Previous Year (n-1)  FY 2022-23</t>
  </si>
  <si>
    <t>Lines &amp; Cable Network</t>
  </si>
  <si>
    <t>Cosl Cost/kwh</t>
  </si>
  <si>
    <t>Rs/kwh</t>
  </si>
  <si>
    <t>Oil Cost/kwh</t>
  </si>
  <si>
    <t>Receivables1</t>
  </si>
  <si>
    <t>Payables for Fuels2</t>
  </si>
  <si>
    <t>&lt;TGGENCO&gt;</t>
  </si>
  <si>
    <t>&lt;&lt;TGGENCO&gt;&gt;</t>
  </si>
  <si>
    <t>Current Year 'n'                               (FY 2023-24)</t>
  </si>
  <si>
    <t>Current Year 'n'                      ( FY 2023-24)</t>
  </si>
  <si>
    <t xml:space="preserve"> (FY 2023-24)</t>
  </si>
  <si>
    <t>(FY 2023-24)</t>
  </si>
  <si>
    <t>TGGENCO</t>
  </si>
  <si>
    <t>Form 2.3: Repair &amp; Maintenance Expenses</t>
  </si>
  <si>
    <t>Form 3:  Summary of Capital Expenditure and Capitalisation</t>
  </si>
  <si>
    <t>FURNITURE AND FIXTURES</t>
  </si>
  <si>
    <t>OFFICE EQUIPMENT</t>
  </si>
  <si>
    <t xml:space="preserve"> </t>
  </si>
  <si>
    <t>Year (n+2)</t>
  </si>
  <si>
    <t>2025-26</t>
  </si>
  <si>
    <t>Year (n+3)</t>
  </si>
  <si>
    <t>2026-27</t>
  </si>
  <si>
    <t>Year (n+4)</t>
  </si>
  <si>
    <t>2027-28</t>
  </si>
  <si>
    <t>Year (n+5)</t>
  </si>
  <si>
    <t>2028-29</t>
  </si>
  <si>
    <t>* Energy Charges provisionally computed for  FY 2024-25  based on actual weighted average cost of primary fuel and secondary fuel during January-24, February-24 and March-24. However, actual energy charges shall be claimed as per TGERC regulation 2 of 2023.</t>
  </si>
  <si>
    <t>Form 1: Summary Sheet</t>
  </si>
  <si>
    <t>Form 2.1 Employee Expenses</t>
  </si>
  <si>
    <t>Form 2.2:   Administration &amp; General Expenses</t>
  </si>
  <si>
    <t>Form 5: Interest and finance charges on loan</t>
  </si>
  <si>
    <t>Form 6: Interest on working capital</t>
  </si>
  <si>
    <t>Form 7 : Return on Equity</t>
  </si>
  <si>
    <t>Form 8: Non-Tariff Income</t>
  </si>
  <si>
    <t>Form 10 : Operational parameters</t>
  </si>
  <si>
    <t>Form 11.1 : Fuel Details for computation of Energy Charge Rate</t>
  </si>
  <si>
    <t>Form 12 :Energy Charge Rate</t>
  </si>
  <si>
    <t>Cost of diesel in transporting oil through MGR system, if appicable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</si>
</sst>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%"/>
    <numFmt numFmtId="170" formatCode="0.00000"/>
    <numFmt numFmtId="171" formatCode="0.000000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sz val="12"/>
      <color rgb="FF000000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vertAlign val="superscript"/>
      <sz val="12"/>
      <name val="Arial"/>
      <family val="2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8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1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6" borderId="4" xfId="14" applyFont="1" applyFill="1" applyBorder="1" applyAlignment="1">
      <alignment horizontal="center" vertical="center"/>
    </xf>
    <xf numFmtId="0" fontId="13" fillId="6" borderId="4" xfId="14" applyFont="1" applyFill="1" applyBorder="1">
      <alignment vertical="center"/>
    </xf>
    <xf numFmtId="0" fontId="8" fillId="6" borderId="4" xfId="14" applyFont="1" applyFill="1" applyBorder="1" applyAlignment="1">
      <alignment horizontal="left" vertical="center"/>
    </xf>
    <xf numFmtId="0" fontId="8" fillId="0" borderId="0" xfId="10" applyFont="1"/>
    <xf numFmtId="0" fontId="8" fillId="5" borderId="0" xfId="14" applyFont="1" applyFill="1">
      <alignment vertical="center"/>
    </xf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21" fillId="0" borderId="0" xfId="14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left" vertical="center" wrapText="1"/>
    </xf>
    <xf numFmtId="0" fontId="21" fillId="0" borderId="0" xfId="10" applyFont="1" applyAlignment="1">
      <alignment horizontal="center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16" fillId="4" borderId="15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4" xfId="68" applyFont="1" applyFill="1" applyBorder="1" applyAlignment="1">
      <alignment horizontal="center" vertical="center" wrapText="1"/>
    </xf>
    <xf numFmtId="0" fontId="16" fillId="4" borderId="16" xfId="68" applyFont="1" applyFill="1" applyBorder="1" applyAlignment="1">
      <alignment horizontal="left" vertical="center"/>
    </xf>
    <xf numFmtId="0" fontId="21" fillId="4" borderId="16" xfId="68" applyFont="1" applyFill="1" applyBorder="1" applyAlignment="1">
      <alignment horizontal="center" vertical="center"/>
    </xf>
    <xf numFmtId="10" fontId="16" fillId="4" borderId="16" xfId="68" applyNumberFormat="1" applyFont="1" applyFill="1" applyBorder="1" applyAlignment="1">
      <alignment horizontal="center" vertical="center"/>
    </xf>
    <xf numFmtId="2" fontId="16" fillId="4" borderId="16" xfId="68" applyNumberFormat="1" applyFont="1" applyFill="1" applyBorder="1" applyAlignment="1">
      <alignment horizontal="center" vertical="center"/>
    </xf>
    <xf numFmtId="2" fontId="16" fillId="0" borderId="16" xfId="68" applyNumberFormat="1" applyFont="1" applyBorder="1" applyAlignment="1">
      <alignment horizontal="center" vertical="center"/>
    </xf>
    <xf numFmtId="0" fontId="16" fillId="4" borderId="5" xfId="68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left" vertical="center" wrapText="1"/>
    </xf>
    <xf numFmtId="0" fontId="21" fillId="4" borderId="4" xfId="68" applyFont="1" applyFill="1" applyBorder="1" applyAlignment="1">
      <alignment horizontal="center" vertical="center"/>
    </xf>
    <xf numFmtId="10" fontId="16" fillId="4" borderId="4" xfId="39" applyNumberFormat="1" applyFont="1" applyFill="1" applyBorder="1" applyAlignment="1">
      <alignment horizontal="center" vertical="center"/>
    </xf>
    <xf numFmtId="2" fontId="16" fillId="4" borderId="4" xfId="68" applyNumberFormat="1" applyFont="1" applyFill="1" applyBorder="1" applyAlignment="1">
      <alignment horizontal="center" vertical="center"/>
    </xf>
    <xf numFmtId="2" fontId="16" fillId="0" borderId="4" xfId="68" applyNumberFormat="1" applyFont="1" applyBorder="1" applyAlignment="1">
      <alignment horizontal="center" vertical="center"/>
    </xf>
    <xf numFmtId="2" fontId="16" fillId="4" borderId="4" xfId="19" applyNumberFormat="1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left" vertical="center"/>
    </xf>
    <xf numFmtId="10" fontId="23" fillId="0" borderId="4" xfId="39" applyNumberFormat="1" applyFont="1" applyFill="1" applyBorder="1" applyAlignment="1">
      <alignment horizontal="center" vertical="center"/>
    </xf>
    <xf numFmtId="0" fontId="16" fillId="4" borderId="12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5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16" fillId="4" borderId="0" xfId="10" applyFont="1" applyFill="1" applyAlignment="1">
      <alignment vertical="center" wrapText="1"/>
    </xf>
    <xf numFmtId="0" fontId="24" fillId="0" borderId="0" xfId="1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0" fontId="26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center" vertical="center"/>
    </xf>
    <xf numFmtId="0" fontId="21" fillId="6" borderId="4" xfId="0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vertical="center"/>
    </xf>
    <xf numFmtId="2" fontId="21" fillId="0" borderId="4" xfId="10" applyNumberFormat="1" applyFont="1" applyBorder="1" applyAlignment="1">
      <alignment horizontal="center" vertical="center" wrapText="1"/>
    </xf>
    <xf numFmtId="2" fontId="16" fillId="0" borderId="4" xfId="10" applyNumberFormat="1" applyFont="1" applyBorder="1" applyAlignment="1">
      <alignment horizontal="center" vertical="center" wrapText="1"/>
    </xf>
    <xf numFmtId="2" fontId="21" fillId="6" borderId="4" xfId="10" applyNumberFormat="1" applyFont="1" applyFill="1" applyBorder="1" applyAlignment="1">
      <alignment horizontal="center"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2" fontId="21" fillId="6" borderId="16" xfId="68" applyNumberFormat="1" applyFont="1" applyFill="1" applyBorder="1" applyAlignment="1">
      <alignment horizontal="center" vertical="center"/>
    </xf>
    <xf numFmtId="2" fontId="16" fillId="4" borderId="22" xfId="68" applyNumberFormat="1" applyFont="1" applyFill="1" applyBorder="1" applyAlignment="1">
      <alignment horizontal="center" vertical="center"/>
    </xf>
    <xf numFmtId="2" fontId="21" fillId="6" borderId="7" xfId="19" applyNumberFormat="1" applyFont="1" applyFill="1" applyBorder="1" applyAlignment="1">
      <alignment horizontal="center" vertical="center"/>
    </xf>
    <xf numFmtId="2" fontId="16" fillId="4" borderId="18" xfId="68" applyNumberFormat="1" applyFont="1" applyFill="1" applyBorder="1" applyAlignment="1">
      <alignment horizontal="center" vertical="center"/>
    </xf>
    <xf numFmtId="2" fontId="21" fillId="6" borderId="21" xfId="68" applyNumberFormat="1" applyFont="1" applyFill="1" applyBorder="1" applyAlignment="1">
      <alignment horizontal="center" vertical="center"/>
    </xf>
    <xf numFmtId="2" fontId="21" fillId="6" borderId="7" xfId="68" applyNumberFormat="1" applyFont="1" applyFill="1" applyBorder="1" applyAlignment="1">
      <alignment horizontal="center" vertical="center"/>
    </xf>
    <xf numFmtId="2" fontId="21" fillId="6" borderId="4" xfId="68" applyNumberFormat="1" applyFont="1" applyFill="1" applyBorder="1" applyAlignment="1">
      <alignment horizontal="center" vertical="center"/>
    </xf>
    <xf numFmtId="2" fontId="16" fillId="4" borderId="6" xfId="68" applyNumberFormat="1" applyFont="1" applyFill="1" applyBorder="1" applyAlignment="1">
      <alignment horizontal="center" vertical="center"/>
    </xf>
    <xf numFmtId="2" fontId="21" fillId="6" borderId="4" xfId="19" applyNumberFormat="1" applyFont="1" applyFill="1" applyBorder="1" applyAlignment="1">
      <alignment horizontal="center" vertical="center"/>
    </xf>
    <xf numFmtId="2" fontId="16" fillId="4" borderId="3" xfId="68" applyNumberFormat="1" applyFont="1" applyFill="1" applyBorder="1" applyAlignment="1">
      <alignment horizontal="center" vertical="center"/>
    </xf>
    <xf numFmtId="2" fontId="21" fillId="6" borderId="6" xfId="68" applyNumberFormat="1" applyFont="1" applyFill="1" applyBorder="1" applyAlignment="1">
      <alignment horizontal="center" vertical="center"/>
    </xf>
    <xf numFmtId="10" fontId="21" fillId="6" borderId="13" xfId="68" applyNumberFormat="1" applyFont="1" applyFill="1" applyBorder="1" applyAlignment="1">
      <alignment horizontal="center" vertical="center"/>
    </xf>
    <xf numFmtId="2" fontId="21" fillId="6" borderId="13" xfId="19" applyNumberFormat="1" applyFont="1" applyFill="1" applyBorder="1" applyAlignment="1">
      <alignment horizontal="center"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10" fontId="16" fillId="0" borderId="4" xfId="10" applyNumberFormat="1" applyFont="1" applyBorder="1" applyAlignment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0" fontId="16" fillId="0" borderId="4" xfId="10" applyFont="1" applyBorder="1" applyAlignment="1">
      <alignment horizontal="right" vertical="center" wrapText="1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9" xfId="14" applyNumberFormat="1" applyFont="1" applyFill="1" applyBorder="1">
      <alignment vertical="center"/>
    </xf>
    <xf numFmtId="10" fontId="21" fillId="6" borderId="4" xfId="10" applyNumberFormat="1" applyFont="1" applyFill="1" applyBorder="1" applyAlignment="1">
      <alignment vertical="center"/>
    </xf>
    <xf numFmtId="2" fontId="16" fillId="6" borderId="4" xfId="10" applyNumberFormat="1" applyFont="1" applyFill="1" applyBorder="1" applyAlignment="1">
      <alignment horizontal="center" vertical="center"/>
    </xf>
    <xf numFmtId="2" fontId="16" fillId="6" borderId="4" xfId="10" applyNumberFormat="1" applyFont="1" applyFill="1" applyBorder="1" applyAlignment="1">
      <alignment horizontal="center" vertical="center" wrapText="1"/>
    </xf>
    <xf numFmtId="0" fontId="16" fillId="0" borderId="4" xfId="0" applyFont="1" applyBorder="1"/>
    <xf numFmtId="0" fontId="25" fillId="0" borderId="4" xfId="0" applyFont="1" applyBorder="1"/>
    <xf numFmtId="2" fontId="16" fillId="0" borderId="4" xfId="10" applyNumberFormat="1" applyFont="1" applyBorder="1" applyAlignment="1">
      <alignment vertical="top" wrapText="1"/>
    </xf>
    <xf numFmtId="2" fontId="27" fillId="0" borderId="4" xfId="10" applyNumberFormat="1" applyFont="1" applyBorder="1" applyAlignment="1">
      <alignment horizontal="center" vertical="center"/>
    </xf>
    <xf numFmtId="168" fontId="27" fillId="0" borderId="4" xfId="10" applyNumberFormat="1" applyFont="1" applyBorder="1" applyAlignment="1">
      <alignment horizontal="right" vertical="center"/>
    </xf>
    <xf numFmtId="2" fontId="27" fillId="0" borderId="4" xfId="10" applyNumberFormat="1" applyFont="1" applyBorder="1" applyAlignment="1">
      <alignment horizontal="right" vertical="center"/>
    </xf>
    <xf numFmtId="2" fontId="21" fillId="0" borderId="4" xfId="10" applyNumberFormat="1" applyFont="1" applyBorder="1" applyAlignment="1">
      <alignment horizontal="right" vertical="center"/>
    </xf>
    <xf numFmtId="1" fontId="9" fillId="0" borderId="4" xfId="0" applyNumberFormat="1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2" fontId="16" fillId="0" borderId="0" xfId="14" applyNumberFormat="1" applyFont="1">
      <alignment vertical="center"/>
    </xf>
    <xf numFmtId="0" fontId="9" fillId="0" borderId="4" xfId="0" applyFont="1" applyBorder="1" applyAlignment="1">
      <alignment horizontal="center" vertical="center"/>
    </xf>
    <xf numFmtId="168" fontId="16" fillId="0" borderId="4" xfId="0" applyNumberFormat="1" applyFont="1" applyBorder="1" applyAlignment="1">
      <alignment vertical="center"/>
    </xf>
    <xf numFmtId="0" fontId="0" fillId="0" borderId="4" xfId="0" applyBorder="1" applyAlignment="1">
      <alignment wrapText="1"/>
    </xf>
    <xf numFmtId="2" fontId="16" fillId="0" borderId="0" xfId="10" applyNumberFormat="1" applyFont="1" applyAlignment="1">
      <alignment vertical="center"/>
    </xf>
    <xf numFmtId="169" fontId="16" fillId="0" borderId="9" xfId="14" applyNumberFormat="1" applyFont="1" applyBorder="1">
      <alignment vertical="center"/>
    </xf>
    <xf numFmtId="43" fontId="16" fillId="0" borderId="4" xfId="110" applyFont="1" applyBorder="1" applyAlignment="1">
      <alignment vertical="center"/>
    </xf>
    <xf numFmtId="43" fontId="16" fillId="0" borderId="4" xfId="110" applyFont="1" applyBorder="1" applyAlignment="1">
      <alignment horizontal="center" vertical="center" wrapText="1"/>
    </xf>
    <xf numFmtId="43" fontId="16" fillId="0" borderId="4" xfId="110" applyFont="1" applyBorder="1" applyAlignment="1">
      <alignment horizontal="left" vertical="center"/>
    </xf>
    <xf numFmtId="0" fontId="21" fillId="0" borderId="9" xfId="14" applyFont="1" applyBorder="1" applyAlignment="1">
      <alignment horizontal="center" vertical="center" wrapText="1"/>
    </xf>
    <xf numFmtId="2" fontId="25" fillId="0" borderId="4" xfId="0" applyNumberFormat="1" applyFont="1" applyBorder="1"/>
    <xf numFmtId="2" fontId="16" fillId="0" borderId="4" xfId="0" applyNumberFormat="1" applyFont="1" applyBorder="1"/>
    <xf numFmtId="2" fontId="21" fillId="0" borderId="4" xfId="19" applyNumberFormat="1" applyFont="1" applyFill="1" applyBorder="1" applyAlignment="1">
      <alignment horizontal="center" vertical="center"/>
    </xf>
    <xf numFmtId="2" fontId="21" fillId="0" borderId="6" xfId="68" applyNumberFormat="1" applyFont="1" applyBorder="1" applyAlignment="1">
      <alignment horizontal="center" vertical="center"/>
    </xf>
    <xf numFmtId="2" fontId="16" fillId="0" borderId="4" xfId="14" applyNumberFormat="1" applyFont="1" applyBorder="1" applyAlignment="1">
      <alignment horizontal="right" vertical="center"/>
    </xf>
    <xf numFmtId="4" fontId="29" fillId="6" borderId="4" xfId="0" applyNumberFormat="1" applyFont="1" applyFill="1" applyBorder="1" applyAlignment="1">
      <alignment horizontal="center"/>
    </xf>
    <xf numFmtId="0" fontId="8" fillId="0" borderId="0" xfId="0" applyFont="1" applyAlignment="1">
      <alignment vertical="center"/>
    </xf>
    <xf numFmtId="0" fontId="13" fillId="0" borderId="4" xfId="14" applyFont="1" applyBorder="1" applyAlignment="1">
      <alignment horizontal="center" vertical="center" wrapText="1"/>
    </xf>
    <xf numFmtId="0" fontId="30" fillId="0" borderId="4" xfId="0" applyFont="1" applyBorder="1" applyAlignment="1">
      <alignment vertical="center"/>
    </xf>
    <xf numFmtId="0" fontId="30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vertical="center"/>
    </xf>
    <xf numFmtId="2" fontId="8" fillId="0" borderId="4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7" xfId="0" applyFont="1" applyBorder="1" applyAlignment="1">
      <alignment vertical="center"/>
    </xf>
    <xf numFmtId="0" fontId="30" fillId="0" borderId="7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168" fontId="13" fillId="0" borderId="4" xfId="0" applyNumberFormat="1" applyFont="1" applyBorder="1" applyAlignment="1">
      <alignment vertical="center"/>
    </xf>
    <xf numFmtId="0" fontId="25" fillId="0" borderId="4" xfId="0" applyFont="1" applyBorder="1" applyAlignment="1">
      <alignment horizontal="center" vertical="center"/>
    </xf>
    <xf numFmtId="168" fontId="8" fillId="0" borderId="0" xfId="0" applyNumberFormat="1" applyFont="1" applyAlignment="1">
      <alignment vertical="center"/>
    </xf>
    <xf numFmtId="0" fontId="21" fillId="0" borderId="13" xfId="68" applyFont="1" applyBorder="1" applyAlignment="1">
      <alignment horizontal="center" vertical="center" wrapText="1"/>
    </xf>
    <xf numFmtId="0" fontId="21" fillId="0" borderId="14" xfId="68" applyFont="1" applyBorder="1" applyAlignment="1">
      <alignment horizontal="center" vertical="center" wrapText="1"/>
    </xf>
    <xf numFmtId="0" fontId="16" fillId="0" borderId="15" xfId="68" applyFont="1" applyBorder="1" applyAlignment="1">
      <alignment horizontal="center" vertical="center"/>
    </xf>
    <xf numFmtId="0" fontId="16" fillId="0" borderId="4" xfId="68" applyFont="1" applyBorder="1" applyAlignment="1">
      <alignment horizontal="left" vertical="center"/>
    </xf>
    <xf numFmtId="0" fontId="21" fillId="0" borderId="16" xfId="68" applyFont="1" applyBorder="1" applyAlignment="1">
      <alignment horizontal="center" vertical="center"/>
    </xf>
    <xf numFmtId="10" fontId="16" fillId="0" borderId="16" xfId="68" applyNumberFormat="1" applyFont="1" applyBorder="1" applyAlignment="1">
      <alignment horizontal="center" vertical="center"/>
    </xf>
    <xf numFmtId="2" fontId="21" fillId="0" borderId="16" xfId="68" applyNumberFormat="1" applyFont="1" applyBorder="1" applyAlignment="1">
      <alignment horizontal="center" vertical="center"/>
    </xf>
    <xf numFmtId="2" fontId="16" fillId="0" borderId="22" xfId="68" applyNumberFormat="1" applyFont="1" applyBorder="1" applyAlignment="1">
      <alignment horizontal="center" vertical="center"/>
    </xf>
    <xf numFmtId="2" fontId="21" fillId="0" borderId="7" xfId="19" applyNumberFormat="1" applyFont="1" applyFill="1" applyBorder="1" applyAlignment="1">
      <alignment horizontal="center" vertical="center"/>
    </xf>
    <xf numFmtId="2" fontId="16" fillId="0" borderId="18" xfId="68" applyNumberFormat="1" applyFont="1" applyBorder="1" applyAlignment="1">
      <alignment horizontal="center" vertical="center"/>
    </xf>
    <xf numFmtId="2" fontId="21" fillId="0" borderId="21" xfId="68" applyNumberFormat="1" applyFont="1" applyBorder="1" applyAlignment="1">
      <alignment horizontal="center" vertical="center"/>
    </xf>
    <xf numFmtId="2" fontId="21" fillId="0" borderId="7" xfId="68" applyNumberFormat="1" applyFont="1" applyBorder="1" applyAlignment="1">
      <alignment horizontal="center" vertical="center"/>
    </xf>
    <xf numFmtId="0" fontId="16" fillId="0" borderId="5" xfId="68" applyFont="1" applyBorder="1" applyAlignment="1">
      <alignment horizontal="center" vertical="center"/>
    </xf>
    <xf numFmtId="0" fontId="16" fillId="0" borderId="4" xfId="68" applyFont="1" applyBorder="1" applyAlignment="1">
      <alignment horizontal="left" vertical="center" wrapText="1"/>
    </xf>
    <xf numFmtId="0" fontId="21" fillId="0" borderId="4" xfId="68" applyFont="1" applyBorder="1" applyAlignment="1">
      <alignment horizontal="center" vertical="center"/>
    </xf>
    <xf numFmtId="10" fontId="16" fillId="0" borderId="4" xfId="39" applyNumberFormat="1" applyFont="1" applyFill="1" applyBorder="1" applyAlignment="1">
      <alignment horizontal="center" vertical="center"/>
    </xf>
    <xf numFmtId="2" fontId="21" fillId="0" borderId="4" xfId="68" applyNumberFormat="1" applyFont="1" applyBorder="1" applyAlignment="1">
      <alignment horizontal="center" vertical="center"/>
    </xf>
    <xf numFmtId="2" fontId="16" fillId="0" borderId="6" xfId="68" applyNumberFormat="1" applyFont="1" applyBorder="1" applyAlignment="1">
      <alignment horizontal="center" vertical="center"/>
    </xf>
    <xf numFmtId="2" fontId="16" fillId="0" borderId="3" xfId="68" applyNumberFormat="1" applyFont="1" applyBorder="1" applyAlignment="1">
      <alignment horizontal="center" vertical="center"/>
    </xf>
    <xf numFmtId="2" fontId="16" fillId="0" borderId="4" xfId="19" applyNumberFormat="1" applyFont="1" applyFill="1" applyBorder="1" applyAlignment="1">
      <alignment horizontal="center" vertical="center"/>
    </xf>
    <xf numFmtId="0" fontId="16" fillId="0" borderId="12" xfId="68" applyFont="1" applyBorder="1" applyAlignment="1">
      <alignment horizontal="center" vertical="center"/>
    </xf>
    <xf numFmtId="0" fontId="21" fillId="0" borderId="13" xfId="68" applyFont="1" applyBorder="1" applyAlignment="1">
      <alignment horizontal="center" vertical="center"/>
    </xf>
    <xf numFmtId="10" fontId="21" fillId="0" borderId="13" xfId="68" applyNumberFormat="1" applyFont="1" applyBorder="1" applyAlignment="1">
      <alignment horizontal="center" vertical="center"/>
    </xf>
    <xf numFmtId="2" fontId="21" fillId="0" borderId="13" xfId="19" applyNumberFormat="1" applyFont="1" applyFill="1" applyBorder="1" applyAlignment="1">
      <alignment horizontal="center" vertical="center"/>
    </xf>
    <xf numFmtId="2" fontId="21" fillId="0" borderId="23" xfId="19" applyNumberFormat="1" applyFont="1" applyFill="1" applyBorder="1" applyAlignment="1">
      <alignment horizontal="center" vertical="center"/>
    </xf>
    <xf numFmtId="2" fontId="21" fillId="0" borderId="20" xfId="19" applyNumberFormat="1" applyFont="1" applyFill="1" applyBorder="1" applyAlignment="1">
      <alignment horizontal="center" vertical="center"/>
    </xf>
    <xf numFmtId="168" fontId="8" fillId="0" borderId="4" xfId="0" applyNumberFormat="1" applyFont="1" applyBorder="1" applyAlignment="1">
      <alignment vertical="center"/>
    </xf>
    <xf numFmtId="0" fontId="13" fillId="0" borderId="0" xfId="10" applyFont="1" applyAlignment="1">
      <alignment horizontal="left" vertical="center"/>
    </xf>
    <xf numFmtId="0" fontId="8" fillId="0" borderId="0" xfId="10" applyFont="1" applyAlignment="1">
      <alignment vertical="center"/>
    </xf>
    <xf numFmtId="0" fontId="8" fillId="0" borderId="7" xfId="10" applyFont="1" applyBorder="1" applyAlignment="1">
      <alignment horizontal="center" vertical="center"/>
    </xf>
    <xf numFmtId="0" fontId="8" fillId="0" borderId="4" xfId="10" applyFont="1" applyBorder="1" applyAlignment="1">
      <alignment vertical="center"/>
    </xf>
    <xf numFmtId="0" fontId="8" fillId="0" borderId="4" xfId="10" applyFont="1" applyBorder="1" applyAlignment="1">
      <alignment horizontal="center" vertical="center"/>
    </xf>
    <xf numFmtId="0" fontId="8" fillId="0" borderId="4" xfId="10" applyFont="1" applyBorder="1" applyAlignment="1">
      <alignment horizontal="left" vertical="center"/>
    </xf>
    <xf numFmtId="0" fontId="8" fillId="0" borderId="4" xfId="10" applyFont="1" applyBorder="1" applyAlignment="1">
      <alignment vertical="center" wrapText="1"/>
    </xf>
    <xf numFmtId="0" fontId="8" fillId="0" borderId="4" xfId="10" applyFont="1" applyBorder="1" applyAlignment="1">
      <alignment horizontal="left" vertical="center" wrapText="1"/>
    </xf>
    <xf numFmtId="0" fontId="13" fillId="0" borderId="0" xfId="10" applyFont="1" applyAlignment="1">
      <alignment vertical="center"/>
    </xf>
    <xf numFmtId="2" fontId="8" fillId="0" borderId="4" xfId="10" applyNumberFormat="1" applyFont="1" applyBorder="1" applyAlignment="1">
      <alignment vertical="center"/>
    </xf>
    <xf numFmtId="0" fontId="8" fillId="0" borderId="0" xfId="10" applyFont="1" applyAlignment="1">
      <alignment horizontal="center" vertical="center" wrapText="1"/>
    </xf>
    <xf numFmtId="0" fontId="13" fillId="0" borderId="0" xfId="10" applyFont="1" applyAlignment="1">
      <alignment horizontal="centerContinuous" vertical="center"/>
    </xf>
    <xf numFmtId="0" fontId="8" fillId="0" borderId="0" xfId="14" applyFont="1" applyAlignment="1">
      <alignment horizontal="centerContinuous" vertical="center"/>
    </xf>
    <xf numFmtId="0" fontId="13" fillId="0" borderId="4" xfId="14" applyFont="1" applyBorder="1" applyAlignment="1">
      <alignment horizontal="left" vertical="center" wrapText="1"/>
    </xf>
    <xf numFmtId="0" fontId="8" fillId="0" borderId="4" xfId="14" quotePrefix="1" applyFont="1" applyBorder="1" applyAlignment="1">
      <alignment horizontal="center" vertical="center" wrapText="1"/>
    </xf>
    <xf numFmtId="0" fontId="8" fillId="0" borderId="4" xfId="14" applyFont="1" applyBorder="1" applyAlignment="1">
      <alignment horizontal="center" vertical="center" wrapText="1"/>
    </xf>
    <xf numFmtId="0" fontId="8" fillId="0" borderId="4" xfId="14" applyFont="1" applyBorder="1" applyAlignment="1">
      <alignment horizontal="left" vertical="center" wrapText="1"/>
    </xf>
    <xf numFmtId="0" fontId="32" fillId="0" borderId="4" xfId="14" applyFont="1" applyBorder="1" applyAlignment="1">
      <alignment horizontal="center" vertical="center" wrapText="1"/>
    </xf>
    <xf numFmtId="2" fontId="8" fillId="0" borderId="4" xfId="14" applyNumberFormat="1" applyFont="1" applyBorder="1" applyAlignment="1">
      <alignment horizontal="center" vertical="center" wrapText="1"/>
    </xf>
    <xf numFmtId="0" fontId="8" fillId="0" borderId="4" xfId="14" applyFont="1" applyBorder="1" applyAlignment="1">
      <alignment vertical="center" wrapText="1"/>
    </xf>
    <xf numFmtId="0" fontId="13" fillId="0" borderId="4" xfId="14" applyFont="1" applyBorder="1" applyAlignment="1">
      <alignment vertical="center" wrapText="1"/>
    </xf>
    <xf numFmtId="0" fontId="13" fillId="0" borderId="0" xfId="14" applyFont="1" applyAlignment="1">
      <alignment horizontal="center" vertical="center" wrapText="1"/>
    </xf>
    <xf numFmtId="0" fontId="13" fillId="0" borderId="0" xfId="14" applyFont="1" applyAlignment="1">
      <alignment horizontal="left" vertical="center" wrapText="1"/>
    </xf>
    <xf numFmtId="0" fontId="8" fillId="0" borderId="0" xfId="14" quotePrefix="1" applyFont="1" applyAlignment="1">
      <alignment horizontal="center" vertical="center" wrapText="1"/>
    </xf>
    <xf numFmtId="0" fontId="33" fillId="0" borderId="0" xfId="10" applyFont="1" applyAlignment="1">
      <alignment horizontal="left" vertical="center"/>
    </xf>
    <xf numFmtId="0" fontId="8" fillId="0" borderId="0" xfId="10" applyFont="1" applyAlignment="1">
      <alignment horizontal="left" vertical="center"/>
    </xf>
    <xf numFmtId="0" fontId="8" fillId="0" borderId="0" xfId="10" applyFont="1" applyAlignment="1">
      <alignment horizontal="justify" vertical="center" wrapText="1"/>
    </xf>
    <xf numFmtId="168" fontId="8" fillId="0" borderId="4" xfId="14" applyNumberFormat="1" applyFont="1" applyBorder="1" applyAlignment="1">
      <alignment horizontal="center" vertical="center" wrapText="1"/>
    </xf>
    <xf numFmtId="43" fontId="16" fillId="5" borderId="4" xfId="10" applyNumberFormat="1" applyFont="1" applyFill="1" applyBorder="1"/>
    <xf numFmtId="43" fontId="21" fillId="5" borderId="4" xfId="10" applyNumberFormat="1" applyFont="1" applyFill="1" applyBorder="1"/>
    <xf numFmtId="43" fontId="16" fillId="5" borderId="4" xfId="14" applyNumberFormat="1" applyFont="1" applyFill="1" applyBorder="1">
      <alignment vertical="center"/>
    </xf>
    <xf numFmtId="43" fontId="16" fillId="0" borderId="4" xfId="129" applyFont="1" applyBorder="1"/>
    <xf numFmtId="0" fontId="8" fillId="0" borderId="4" xfId="0" applyFont="1" applyBorder="1" applyAlignment="1">
      <alignment horizontal="right" vertical="center"/>
    </xf>
    <xf numFmtId="2" fontId="30" fillId="0" borderId="4" xfId="0" applyNumberFormat="1" applyFont="1" applyBorder="1" applyAlignment="1">
      <alignment horizontal="right"/>
    </xf>
    <xf numFmtId="168" fontId="8" fillId="0" borderId="4" xfId="0" applyNumberFormat="1" applyFont="1" applyBorder="1" applyAlignment="1">
      <alignment horizontal="right" vertical="center"/>
    </xf>
    <xf numFmtId="2" fontId="30" fillId="0" borderId="4" xfId="0" applyNumberFormat="1" applyFont="1" applyBorder="1" applyAlignment="1">
      <alignment horizontal="right" vertical="center"/>
    </xf>
    <xf numFmtId="2" fontId="8" fillId="0" borderId="4" xfId="0" applyNumberFormat="1" applyFont="1" applyBorder="1" applyAlignment="1">
      <alignment horizontal="right" vertical="center"/>
    </xf>
    <xf numFmtId="168" fontId="13" fillId="0" borderId="4" xfId="0" applyNumberFormat="1" applyFont="1" applyBorder="1" applyAlignment="1">
      <alignment horizontal="right" vertical="center"/>
    </xf>
    <xf numFmtId="1" fontId="8" fillId="0" borderId="4" xfId="0" applyNumberFormat="1" applyFont="1" applyBorder="1" applyAlignment="1">
      <alignment horizontal="right" vertical="center"/>
    </xf>
    <xf numFmtId="1" fontId="30" fillId="0" borderId="4" xfId="0" applyNumberFormat="1" applyFont="1" applyBorder="1" applyAlignment="1">
      <alignment horizontal="right" vertical="center"/>
    </xf>
    <xf numFmtId="1" fontId="30" fillId="0" borderId="4" xfId="0" applyNumberFormat="1" applyFont="1" applyBorder="1" applyAlignment="1">
      <alignment horizontal="right"/>
    </xf>
    <xf numFmtId="0" fontId="21" fillId="0" borderId="9" xfId="0" applyFont="1" applyBorder="1" applyAlignment="1">
      <alignment horizontal="center" vertical="center"/>
    </xf>
    <xf numFmtId="2" fontId="8" fillId="0" borderId="4" xfId="14" applyNumberFormat="1" applyFont="1" applyBorder="1">
      <alignment vertical="center"/>
    </xf>
    <xf numFmtId="2" fontId="8" fillId="0" borderId="4" xfId="10" applyNumberFormat="1" applyFont="1" applyBorder="1" applyAlignment="1">
      <alignment vertical="center" wrapText="1"/>
    </xf>
    <xf numFmtId="2" fontId="8" fillId="0" borderId="9" xfId="14" applyNumberFormat="1" applyFont="1" applyBorder="1">
      <alignment vertical="center"/>
    </xf>
    <xf numFmtId="2" fontId="13" fillId="6" borderId="9" xfId="14" applyNumberFormat="1" applyFont="1" applyFill="1" applyBorder="1">
      <alignment vertical="center"/>
    </xf>
    <xf numFmtId="10" fontId="8" fillId="0" borderId="9" xfId="14" applyNumberFormat="1" applyFont="1" applyBorder="1">
      <alignment vertical="center"/>
    </xf>
    <xf numFmtId="0" fontId="16" fillId="4" borderId="0" xfId="68" applyFont="1" applyFill="1" applyAlignment="1">
      <alignment horizontal="center" vertical="center"/>
    </xf>
    <xf numFmtId="0" fontId="21" fillId="4" borderId="0" xfId="68" applyFont="1" applyFill="1" applyAlignment="1">
      <alignment horizontal="center" vertical="center"/>
    </xf>
    <xf numFmtId="10" fontId="21" fillId="6" borderId="0" xfId="68" applyNumberFormat="1" applyFont="1" applyFill="1" applyAlignment="1">
      <alignment horizontal="center" vertical="center"/>
    </xf>
    <xf numFmtId="2" fontId="21" fillId="6" borderId="0" xfId="19" applyNumberFormat="1" applyFont="1" applyFill="1" applyBorder="1" applyAlignment="1">
      <alignment horizontal="center" vertical="center"/>
    </xf>
    <xf numFmtId="170" fontId="8" fillId="0" borderId="0" xfId="0" applyNumberFormat="1" applyFont="1" applyAlignment="1">
      <alignment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6" xfId="10" applyFont="1" applyBorder="1" applyAlignment="1">
      <alignment horizontal="center" vertical="center"/>
    </xf>
    <xf numFmtId="0" fontId="13" fillId="0" borderId="4" xfId="10" applyFont="1" applyBorder="1" applyAlignment="1">
      <alignment horizontal="center" vertical="center"/>
    </xf>
    <xf numFmtId="0" fontId="21" fillId="0" borderId="6" xfId="10" applyFont="1" applyBorder="1" applyAlignment="1">
      <alignment vertical="center"/>
    </xf>
    <xf numFmtId="0" fontId="13" fillId="0" borderId="6" xfId="10" applyFont="1" applyBorder="1" applyAlignment="1">
      <alignment vertical="center"/>
    </xf>
    <xf numFmtId="0" fontId="13" fillId="0" borderId="0" xfId="14" applyFont="1">
      <alignment vertical="center"/>
    </xf>
    <xf numFmtId="0" fontId="13" fillId="0" borderId="0" xfId="14" applyFont="1" applyAlignment="1">
      <alignment vertical="top"/>
    </xf>
    <xf numFmtId="0" fontId="21" fillId="0" borderId="4" xfId="10" applyFont="1" applyBorder="1" applyAlignment="1">
      <alignment horizontal="left" vertical="center"/>
    </xf>
    <xf numFmtId="2" fontId="21" fillId="0" borderId="4" xfId="10" applyNumberFormat="1" applyFont="1" applyBorder="1" applyAlignment="1">
      <alignment vertical="center" wrapText="1"/>
    </xf>
    <xf numFmtId="171" fontId="16" fillId="0" borderId="0" xfId="14" applyNumberFormat="1" applyFont="1">
      <alignment vertical="center"/>
    </xf>
    <xf numFmtId="0" fontId="21" fillId="0" borderId="0" xfId="10" applyFont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16" fillId="0" borderId="4" xfId="10" applyFont="1" applyBorder="1" applyAlignment="1">
      <alignment vertical="center"/>
    </xf>
    <xf numFmtId="0" fontId="21" fillId="0" borderId="0" xfId="14" applyFont="1" applyAlignment="1">
      <alignment horizontal="center" vertical="center"/>
    </xf>
    <xf numFmtId="0" fontId="21" fillId="4" borderId="17" xfId="68" applyFont="1" applyFill="1" applyBorder="1" applyAlignment="1">
      <alignment horizontal="center" vertical="center"/>
    </xf>
    <xf numFmtId="0" fontId="21" fillId="4" borderId="18" xfId="68" applyFont="1" applyFill="1" applyBorder="1" applyAlignment="1">
      <alignment horizontal="center" vertical="center"/>
    </xf>
    <xf numFmtId="0" fontId="21" fillId="4" borderId="19" xfId="68" applyFont="1" applyFill="1" applyBorder="1" applyAlignment="1">
      <alignment horizontal="center" vertical="center"/>
    </xf>
    <xf numFmtId="0" fontId="21" fillId="4" borderId="4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2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8" xfId="68" quotePrefix="1" applyFont="1" applyFill="1" applyBorder="1" applyAlignment="1">
      <alignment horizontal="center" vertical="center" wrapText="1"/>
    </xf>
    <xf numFmtId="0" fontId="21" fillId="4" borderId="13" xfId="68" applyFont="1" applyFill="1" applyBorder="1" applyAlignment="1">
      <alignment horizontal="center" vertical="center" wrapText="1"/>
    </xf>
    <xf numFmtId="0" fontId="21" fillId="4" borderId="13" xfId="68" quotePrefix="1" applyFont="1" applyFill="1" applyBorder="1" applyAlignment="1">
      <alignment horizontal="center" vertical="center" wrapText="1"/>
    </xf>
    <xf numFmtId="0" fontId="21" fillId="0" borderId="17" xfId="68" applyFont="1" applyBorder="1" applyAlignment="1">
      <alignment horizontal="center" vertical="center"/>
    </xf>
    <xf numFmtId="0" fontId="21" fillId="0" borderId="18" xfId="68" applyFont="1" applyBorder="1" applyAlignment="1">
      <alignment horizontal="center" vertical="center"/>
    </xf>
    <xf numFmtId="0" fontId="21" fillId="0" borderId="19" xfId="68" applyFont="1" applyBorder="1" applyAlignment="1">
      <alignment horizontal="center" vertical="center"/>
    </xf>
    <xf numFmtId="0" fontId="21" fillId="0" borderId="5" xfId="68" applyFont="1" applyBorder="1" applyAlignment="1">
      <alignment horizontal="center" vertical="center" wrapText="1"/>
    </xf>
    <xf numFmtId="0" fontId="21" fillId="0" borderId="12" xfId="68" applyFont="1" applyBorder="1" applyAlignment="1">
      <alignment horizontal="center" vertical="center" wrapText="1"/>
    </xf>
    <xf numFmtId="0" fontId="21" fillId="0" borderId="4" xfId="68" quotePrefix="1" applyFont="1" applyBorder="1" applyAlignment="1">
      <alignment horizontal="center" vertical="center" wrapText="1"/>
    </xf>
    <xf numFmtId="0" fontId="21" fillId="0" borderId="13" xfId="68" quotePrefix="1" applyFont="1" applyBorder="1" applyAlignment="1">
      <alignment horizontal="center" vertical="center" wrapText="1"/>
    </xf>
    <xf numFmtId="0" fontId="21" fillId="0" borderId="4" xfId="68" applyFont="1" applyBorder="1" applyAlignment="1">
      <alignment horizontal="center" vertical="center" wrapText="1"/>
    </xf>
    <xf numFmtId="0" fontId="21" fillId="0" borderId="13" xfId="68" applyFont="1" applyBorder="1" applyAlignment="1">
      <alignment horizontal="center" vertical="center" wrapText="1"/>
    </xf>
    <xf numFmtId="0" fontId="21" fillId="0" borderId="11" xfId="68" applyFont="1" applyBorder="1" applyAlignment="1">
      <alignment horizontal="center" vertical="center" wrapText="1"/>
    </xf>
    <xf numFmtId="0" fontId="13" fillId="0" borderId="8" xfId="14" applyFont="1" applyBorder="1" applyAlignment="1">
      <alignment horizontal="center" vertical="center" wrapText="1"/>
    </xf>
    <xf numFmtId="0" fontId="13" fillId="0" borderId="10" xfId="14" applyFont="1" applyBorder="1" applyAlignment="1">
      <alignment horizontal="center" vertical="center" wrapText="1"/>
    </xf>
    <xf numFmtId="0" fontId="8" fillId="0" borderId="7" xfId="10" applyFont="1" applyBorder="1" applyAlignment="1">
      <alignment horizontal="center" vertical="center" wrapText="1"/>
    </xf>
    <xf numFmtId="0" fontId="13" fillId="0" borderId="4" xfId="14" applyFont="1" applyBorder="1" applyAlignment="1">
      <alignment horizontal="center" vertical="center"/>
    </xf>
    <xf numFmtId="0" fontId="8" fillId="0" borderId="4" xfId="10" applyFont="1" applyBorder="1" applyAlignment="1">
      <alignment horizontal="center" vertical="center"/>
    </xf>
    <xf numFmtId="0" fontId="13" fillId="0" borderId="6" xfId="14" applyFont="1" applyBorder="1" applyAlignment="1">
      <alignment horizontal="center" vertical="center" wrapText="1"/>
    </xf>
    <xf numFmtId="0" fontId="13" fillId="0" borderId="3" xfId="14" applyFont="1" applyBorder="1" applyAlignment="1">
      <alignment horizontal="center" vertical="center" wrapText="1"/>
    </xf>
    <xf numFmtId="0" fontId="13" fillId="0" borderId="9" xfId="14" applyFont="1" applyBorder="1" applyAlignment="1">
      <alignment horizontal="center" vertical="center" wrapText="1"/>
    </xf>
    <xf numFmtId="0" fontId="13" fillId="0" borderId="24" xfId="14" applyFont="1" applyBorder="1" applyAlignment="1">
      <alignment horizontal="center" vertical="top"/>
    </xf>
    <xf numFmtId="0" fontId="13" fillId="0" borderId="0" xfId="14" applyFont="1" applyAlignment="1">
      <alignment horizontal="center" vertical="top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13" fillId="0" borderId="4" xfId="14" applyFont="1" applyBorder="1" applyAlignment="1">
      <alignment horizontal="center" vertical="center" wrapText="1"/>
    </xf>
    <xf numFmtId="0" fontId="13" fillId="0" borderId="4" xfId="14" quotePrefix="1" applyFont="1" applyBorder="1" applyAlignment="1">
      <alignment horizontal="center" vertical="center" wrapText="1"/>
    </xf>
    <xf numFmtId="0" fontId="8" fillId="0" borderId="4" xfId="1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/>
    </xf>
    <xf numFmtId="0" fontId="21" fillId="0" borderId="6" xfId="10" applyFont="1" applyBorder="1" applyAlignment="1">
      <alignment horizontal="center" vertical="center"/>
    </xf>
    <xf numFmtId="0" fontId="21" fillId="0" borderId="3" xfId="10" applyFont="1" applyBorder="1" applyAlignment="1">
      <alignment horizontal="center" vertical="center"/>
    </xf>
    <xf numFmtId="0" fontId="21" fillId="0" borderId="9" xfId="10" applyFont="1" applyBorder="1" applyAlignment="1">
      <alignment horizontal="center" vertical="center"/>
    </xf>
  </cellXfs>
  <cellStyles count="178">
    <cellStyle name="Body" xfId="1"/>
    <cellStyle name="Comma" xfId="129" builtinId="3"/>
    <cellStyle name="Comma  - Style1" xfId="2"/>
    <cellStyle name="Comma 10" xfId="112"/>
    <cellStyle name="Comma 10 2" xfId="113"/>
    <cellStyle name="Comma 10 2 2" xfId="176"/>
    <cellStyle name="Comma 10 3" xfId="175"/>
    <cellStyle name="Comma 11" xfId="110"/>
    <cellStyle name="Comma 11 2" xfId="19"/>
    <cellStyle name="Comma 11 2 2" xfId="96"/>
    <cellStyle name="Comma 11 2 2 2" xfId="162"/>
    <cellStyle name="Comma 11 2 3" xfId="72"/>
    <cellStyle name="Comma 11 2 3 2" xfId="146"/>
    <cellStyle name="Comma 11 2 4" xfId="131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2 2" xfId="167"/>
    <cellStyle name="Comma 3 2 3" xfId="85"/>
    <cellStyle name="Comma 3 2 3 2" xfId="151"/>
    <cellStyle name="Comma 3 2 4" xfId="137"/>
    <cellStyle name="Comma 3 3" xfId="78"/>
    <cellStyle name="Comma 4" xfId="28"/>
    <cellStyle name="Comma 4 2" xfId="64"/>
    <cellStyle name="Comma 4 2 2" xfId="104"/>
    <cellStyle name="Comma 4 2 2 2" xfId="168"/>
    <cellStyle name="Comma 4 2 3" xfId="86"/>
    <cellStyle name="Comma 4 2 3 2" xfId="152"/>
    <cellStyle name="Comma 4 2 4" xfId="138"/>
    <cellStyle name="Comma 4 3" xfId="79"/>
    <cellStyle name="Comma 5" xfId="29"/>
    <cellStyle name="Comma 5 2" xfId="80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6 7" xfId="135"/>
    <cellStyle name="Comma 7" xfId="21"/>
    <cellStyle name="Comma 8" xfId="65"/>
    <cellStyle name="Comma 8 2" xfId="105"/>
    <cellStyle name="Comma 8 2 2" xfId="169"/>
    <cellStyle name="Comma 8 3" xfId="87"/>
    <cellStyle name="Comma 8 3 2" xfId="153"/>
    <cellStyle name="Comma 8 4" xfId="139"/>
    <cellStyle name="Comma 9" xfId="111"/>
    <cellStyle name="Comma 9 2" xfId="174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2 2" xfId="171"/>
    <cellStyle name="Normal 10 3" xfId="89"/>
    <cellStyle name="Normal 10 3 2" xfId="155"/>
    <cellStyle name="Normal 10 4" xfId="141"/>
    <cellStyle name="Normal 11" xfId="69"/>
    <cellStyle name="Normal 11 2" xfId="109"/>
    <cellStyle name="Normal 11 2 2" xfId="173"/>
    <cellStyle name="Normal 11 3" xfId="91"/>
    <cellStyle name="Normal 11 3 2" xfId="157"/>
    <cellStyle name="Normal 11 4" xfId="143"/>
    <cellStyle name="Normal 12" xfId="70"/>
    <cellStyle name="Normal 12 2" xfId="92"/>
    <cellStyle name="Normal 12 2 2" xfId="158"/>
    <cellStyle name="Normal 12 3" xfId="144"/>
    <cellStyle name="Normal 13" xfId="93"/>
    <cellStyle name="Normal 13 2" xfId="94"/>
    <cellStyle name="Normal 13 2 2" xfId="160"/>
    <cellStyle name="Normal 13 3" xfId="159"/>
    <cellStyle name="Normal 14" xfId="115"/>
    <cellStyle name="Normal 14 2" xfId="68"/>
    <cellStyle name="Normal 14 2 2" xfId="108"/>
    <cellStyle name="Normal 14 2 2 2" xfId="172"/>
    <cellStyle name="Normal 14 2 3" xfId="90"/>
    <cellStyle name="Normal 14 2 3 2" xfId="156"/>
    <cellStyle name="Normal 14 2 4" xfId="142"/>
    <cellStyle name="Normal 15" xfId="18"/>
    <cellStyle name="Normal 15 2" xfId="95"/>
    <cellStyle name="Normal 15 2 2" xfId="161"/>
    <cellStyle name="Normal 15 3" xfId="71"/>
    <cellStyle name="Normal 15 3 2" xfId="145"/>
    <cellStyle name="Normal 15 4" xfId="130"/>
    <cellStyle name="Normal 16" xfId="116"/>
    <cellStyle name="Normal 17" xfId="117"/>
    <cellStyle name="Normal 18" xfId="61"/>
    <cellStyle name="Normal 18 2" xfId="102"/>
    <cellStyle name="Normal 18 2 2" xfId="166"/>
    <cellStyle name="Normal 18 3" xfId="84"/>
    <cellStyle name="Normal 18 3 2" xfId="150"/>
    <cellStyle name="Normal 18 4" xfId="136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3 2" xfId="164"/>
    <cellStyle name="Normal 5 4" xfId="81"/>
    <cellStyle name="Normal 5 4 2" xfId="148"/>
    <cellStyle name="Normal 5 5" xfId="133"/>
    <cellStyle name="Normal 6" xfId="37"/>
    <cellStyle name="Normal 7" xfId="38"/>
    <cellStyle name="Normal 7 2" xfId="100"/>
    <cellStyle name="Normal 7 2 2" xfId="165"/>
    <cellStyle name="Normal 7 3" xfId="82"/>
    <cellStyle name="Normal 7 3 2" xfId="149"/>
    <cellStyle name="Normal 7 4" xfId="134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10" xfId="7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2 2" xfId="163"/>
    <cellStyle name="Percent 41 3" xfId="73"/>
    <cellStyle name="Percent 41 3 2" xfId="147"/>
    <cellStyle name="Percent 41 4" xfId="132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2 2" xfId="170"/>
    <cellStyle name="Percent 7 3" xfId="88"/>
    <cellStyle name="Percent 7 3 2" xfId="154"/>
    <cellStyle name="Percent 7 4" xfId="140"/>
    <cellStyle name="Percent 8" xfId="121"/>
    <cellStyle name="Percent 8 2" xfId="177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tabSelected="1" topLeftCell="B1" zoomScale="80" zoomScaleNormal="80" zoomScaleSheetLayoutView="80" workbookViewId="0">
      <selection activeCell="K12" sqref="K12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312" t="s">
        <v>516</v>
      </c>
      <c r="C2" s="312"/>
      <c r="D2" s="313"/>
      <c r="E2" s="313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312" t="s">
        <v>505</v>
      </c>
      <c r="C3" s="312"/>
      <c r="D3" s="313"/>
      <c r="E3" s="313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314" t="s">
        <v>392</v>
      </c>
      <c r="C4" s="314"/>
      <c r="D4" s="315"/>
      <c r="E4" s="315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8" t="s">
        <v>394</v>
      </c>
    </row>
    <row r="6" spans="2:15" ht="15.75">
      <c r="N6" s="7"/>
    </row>
    <row r="7" spans="2:15" ht="15.75">
      <c r="B7" s="17" t="s">
        <v>210</v>
      </c>
      <c r="C7" s="17" t="s">
        <v>393</v>
      </c>
      <c r="D7" s="18" t="s">
        <v>7</v>
      </c>
      <c r="E7" s="18" t="s">
        <v>395</v>
      </c>
    </row>
    <row r="8" spans="2:15">
      <c r="B8" s="8">
        <v>1</v>
      </c>
      <c r="C8" s="8" t="s">
        <v>6</v>
      </c>
      <c r="D8" s="9" t="s">
        <v>397</v>
      </c>
      <c r="E8" s="10"/>
    </row>
    <row r="9" spans="2:15">
      <c r="B9" s="8">
        <f>B8+1</f>
        <v>2</v>
      </c>
      <c r="C9" s="8" t="s">
        <v>298</v>
      </c>
      <c r="D9" s="9" t="s">
        <v>399</v>
      </c>
      <c r="E9" s="10"/>
    </row>
    <row r="10" spans="2:15">
      <c r="B10" s="8">
        <f>B9+1</f>
        <v>3</v>
      </c>
      <c r="C10" s="8" t="s">
        <v>24</v>
      </c>
      <c r="D10" s="9" t="s">
        <v>400</v>
      </c>
      <c r="E10" s="10"/>
    </row>
    <row r="11" spans="2:15">
      <c r="B11" s="8">
        <f>B10+1</f>
        <v>4</v>
      </c>
      <c r="C11" s="8" t="s">
        <v>25</v>
      </c>
      <c r="D11" s="9" t="s">
        <v>401</v>
      </c>
      <c r="E11" s="10"/>
    </row>
    <row r="12" spans="2:15">
      <c r="B12" s="8">
        <f>B11+1</f>
        <v>5</v>
      </c>
      <c r="C12" s="8" t="s">
        <v>299</v>
      </c>
      <c r="D12" s="9" t="s">
        <v>402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238</v>
      </c>
      <c r="E13" s="10"/>
    </row>
    <row r="14" spans="2:15">
      <c r="B14" s="8">
        <f t="shared" si="0"/>
        <v>7</v>
      </c>
      <c r="C14" s="8" t="s">
        <v>27</v>
      </c>
      <c r="D14" s="9" t="s">
        <v>403</v>
      </c>
      <c r="E14" s="10"/>
    </row>
    <row r="15" spans="2:15">
      <c r="B15" s="8">
        <f t="shared" si="0"/>
        <v>8</v>
      </c>
      <c r="C15" s="8" t="s">
        <v>28</v>
      </c>
      <c r="D15" s="11" t="s">
        <v>207</v>
      </c>
      <c r="E15" s="10"/>
    </row>
    <row r="16" spans="2:15">
      <c r="B16" s="8">
        <f t="shared" si="0"/>
        <v>9</v>
      </c>
      <c r="C16" s="8" t="s">
        <v>23</v>
      </c>
      <c r="D16" s="11" t="s">
        <v>404</v>
      </c>
      <c r="E16" s="10"/>
    </row>
    <row r="17" spans="2:5">
      <c r="B17" s="8">
        <f t="shared" si="0"/>
        <v>10</v>
      </c>
      <c r="C17" s="8" t="s">
        <v>29</v>
      </c>
      <c r="D17" s="9" t="s">
        <v>261</v>
      </c>
      <c r="E17" s="10"/>
    </row>
    <row r="18" spans="2:5">
      <c r="B18" s="8">
        <f t="shared" si="0"/>
        <v>11</v>
      </c>
      <c r="C18" s="8" t="s">
        <v>30</v>
      </c>
      <c r="D18" s="11" t="s">
        <v>316</v>
      </c>
      <c r="E18" s="10"/>
    </row>
    <row r="19" spans="2:5">
      <c r="B19" s="8">
        <f t="shared" si="0"/>
        <v>12</v>
      </c>
      <c r="C19" s="8" t="s">
        <v>31</v>
      </c>
      <c r="D19" s="11" t="s">
        <v>262</v>
      </c>
      <c r="E19" s="10"/>
    </row>
    <row r="20" spans="2:5">
      <c r="B20" s="8">
        <f t="shared" si="0"/>
        <v>13</v>
      </c>
      <c r="C20" s="8" t="s">
        <v>32</v>
      </c>
      <c r="D20" s="11" t="s">
        <v>164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405</v>
      </c>
      <c r="E22" s="10"/>
    </row>
    <row r="23" spans="2:5">
      <c r="B23" s="8">
        <f t="shared" si="0"/>
        <v>16</v>
      </c>
      <c r="C23" s="8" t="s">
        <v>35</v>
      </c>
      <c r="D23" s="9" t="s">
        <v>406</v>
      </c>
      <c r="E23" s="10"/>
    </row>
    <row r="24" spans="2:5">
      <c r="B24" s="8">
        <f t="shared" si="0"/>
        <v>17</v>
      </c>
      <c r="C24" s="8" t="s">
        <v>172</v>
      </c>
      <c r="D24" s="9" t="s">
        <v>265</v>
      </c>
      <c r="E24" s="10"/>
    </row>
    <row r="25" spans="2:5">
      <c r="B25" s="8">
        <f t="shared" si="0"/>
        <v>18</v>
      </c>
      <c r="C25" s="8" t="s">
        <v>181</v>
      </c>
      <c r="D25" s="9" t="s">
        <v>407</v>
      </c>
      <c r="E25" s="10"/>
    </row>
    <row r="26" spans="2:5">
      <c r="B26" s="8">
        <f t="shared" si="0"/>
        <v>19</v>
      </c>
      <c r="C26" s="8" t="s">
        <v>396</v>
      </c>
      <c r="D26" s="9" t="s">
        <v>247</v>
      </c>
      <c r="E26" s="10"/>
    </row>
    <row r="27" spans="2:5">
      <c r="B27" s="8">
        <f t="shared" si="0"/>
        <v>20</v>
      </c>
      <c r="C27" s="8" t="s">
        <v>240</v>
      </c>
      <c r="D27" s="9" t="s">
        <v>408</v>
      </c>
      <c r="E27" s="10"/>
    </row>
    <row r="28" spans="2:5">
      <c r="B28" s="8">
        <f t="shared" si="0"/>
        <v>21</v>
      </c>
      <c r="C28" s="8" t="s">
        <v>241</v>
      </c>
      <c r="D28" s="11" t="s">
        <v>409</v>
      </c>
      <c r="E28" s="10"/>
    </row>
    <row r="29" spans="2:5" ht="15.75">
      <c r="B29" s="12"/>
      <c r="C29" s="12"/>
      <c r="D29" s="13" t="s">
        <v>246</v>
      </c>
      <c r="E29" s="14"/>
    </row>
    <row r="30" spans="2:5">
      <c r="B30" s="8">
        <f>B28+1</f>
        <v>22</v>
      </c>
      <c r="C30" s="8" t="s">
        <v>415</v>
      </c>
      <c r="D30" s="9" t="s">
        <v>423</v>
      </c>
      <c r="E30" s="10"/>
    </row>
    <row r="31" spans="2:5">
      <c r="B31" s="8">
        <f>B30+1</f>
        <v>23</v>
      </c>
      <c r="C31" s="8" t="s">
        <v>416</v>
      </c>
      <c r="D31" s="9" t="s">
        <v>424</v>
      </c>
      <c r="E31" s="10"/>
    </row>
    <row r="32" spans="2:5">
      <c r="B32" s="8">
        <f>B31+1</f>
        <v>24</v>
      </c>
      <c r="C32" s="8" t="s">
        <v>413</v>
      </c>
      <c r="D32" s="9" t="s">
        <v>202</v>
      </c>
      <c r="E32" s="10"/>
    </row>
    <row r="33" spans="2:5">
      <c r="B33" s="8">
        <f t="shared" si="0"/>
        <v>25</v>
      </c>
      <c r="C33" s="8" t="s">
        <v>414</v>
      </c>
      <c r="D33" s="9" t="s">
        <v>203</v>
      </c>
      <c r="E33" s="10"/>
    </row>
    <row r="34" spans="2:5">
      <c r="B34" s="8">
        <f t="shared" si="0"/>
        <v>26</v>
      </c>
      <c r="C34" s="8" t="s">
        <v>417</v>
      </c>
      <c r="D34" s="9" t="s">
        <v>204</v>
      </c>
      <c r="E34" s="10"/>
    </row>
    <row r="35" spans="2:5">
      <c r="B35" s="8">
        <f t="shared" si="0"/>
        <v>27</v>
      </c>
      <c r="C35" s="8" t="s">
        <v>418</v>
      </c>
      <c r="D35" s="9" t="s">
        <v>205</v>
      </c>
      <c r="E35" s="10"/>
    </row>
    <row r="36" spans="2:5">
      <c r="B36" s="8">
        <f t="shared" si="0"/>
        <v>28</v>
      </c>
      <c r="C36" s="8" t="s">
        <v>419</v>
      </c>
      <c r="D36" s="9" t="s">
        <v>224</v>
      </c>
      <c r="E36" s="10"/>
    </row>
    <row r="37" spans="2:5">
      <c r="B37" s="8">
        <f t="shared" si="0"/>
        <v>29</v>
      </c>
      <c r="C37" s="8" t="s">
        <v>420</v>
      </c>
      <c r="D37" s="9" t="s">
        <v>206</v>
      </c>
      <c r="E37" s="10"/>
    </row>
    <row r="38" spans="2:5">
      <c r="B38" s="8">
        <f t="shared" si="0"/>
        <v>30</v>
      </c>
      <c r="C38" s="8" t="s">
        <v>421</v>
      </c>
      <c r="D38" s="9" t="s">
        <v>410</v>
      </c>
      <c r="E38" s="10"/>
    </row>
    <row r="39" spans="2:5">
      <c r="B39" s="8">
        <f t="shared" si="0"/>
        <v>31</v>
      </c>
      <c r="C39" s="8" t="s">
        <v>422</v>
      </c>
      <c r="D39" s="9" t="s">
        <v>411</v>
      </c>
      <c r="E39" s="10"/>
    </row>
    <row r="41" spans="2:5" ht="15.75">
      <c r="B41" s="16" t="s">
        <v>412</v>
      </c>
      <c r="C41" s="16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Q56"/>
  <sheetViews>
    <sheetView showGridLines="0" view="pageBreakPreview" topLeftCell="A40" zoomScale="90" zoomScaleNormal="90" zoomScaleSheetLayoutView="90" workbookViewId="0">
      <selection activeCell="I8" sqref="I8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15">
      <c r="B1" s="30"/>
    </row>
    <row r="2" spans="2:16" ht="15">
      <c r="B2" s="337" t="s">
        <v>517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</row>
    <row r="3" spans="2:16" ht="15">
      <c r="B3" s="337" t="s">
        <v>501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</row>
    <row r="4" spans="2:16" ht="15">
      <c r="B4" s="335" t="s">
        <v>301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</row>
    <row r="5" spans="2:16" ht="15.75" thickBot="1">
      <c r="K5" s="41"/>
      <c r="O5" s="38" t="s">
        <v>4</v>
      </c>
    </row>
    <row r="6" spans="2:16" ht="15">
      <c r="B6" s="338" t="s">
        <v>478</v>
      </c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40"/>
    </row>
    <row r="7" spans="2:16" ht="14.25" customHeight="1">
      <c r="B7" s="343" t="s">
        <v>2</v>
      </c>
      <c r="C7" s="345" t="s">
        <v>297</v>
      </c>
      <c r="D7" s="341" t="s">
        <v>285</v>
      </c>
      <c r="E7" s="341" t="s">
        <v>286</v>
      </c>
      <c r="F7" s="341" t="s">
        <v>287</v>
      </c>
      <c r="G7" s="341"/>
      <c r="H7" s="341"/>
      <c r="I7" s="341"/>
      <c r="J7" s="341" t="s">
        <v>288</v>
      </c>
      <c r="K7" s="341"/>
      <c r="L7" s="341"/>
      <c r="M7" s="341"/>
      <c r="N7" s="341" t="s">
        <v>289</v>
      </c>
      <c r="O7" s="342"/>
    </row>
    <row r="8" spans="2:16" ht="60.75" thickBot="1">
      <c r="B8" s="344"/>
      <c r="C8" s="346"/>
      <c r="D8" s="347"/>
      <c r="E8" s="347"/>
      <c r="F8" s="70" t="s">
        <v>290</v>
      </c>
      <c r="G8" s="70" t="s">
        <v>138</v>
      </c>
      <c r="H8" s="70" t="s">
        <v>291</v>
      </c>
      <c r="I8" s="70" t="s">
        <v>292</v>
      </c>
      <c r="J8" s="70" t="s">
        <v>293</v>
      </c>
      <c r="K8" s="70" t="s">
        <v>138</v>
      </c>
      <c r="L8" s="70" t="s">
        <v>294</v>
      </c>
      <c r="M8" s="70" t="s">
        <v>295</v>
      </c>
      <c r="N8" s="70" t="s">
        <v>290</v>
      </c>
      <c r="O8" s="71" t="s">
        <v>292</v>
      </c>
    </row>
    <row r="9" spans="2:16" ht="15">
      <c r="B9" s="69">
        <v>1</v>
      </c>
      <c r="C9" s="84" t="s">
        <v>489</v>
      </c>
      <c r="D9" s="73">
        <v>1000</v>
      </c>
      <c r="E9" s="74">
        <v>0</v>
      </c>
      <c r="F9" s="75">
        <v>0.30455300000000002</v>
      </c>
      <c r="G9" s="76">
        <v>0</v>
      </c>
      <c r="H9" s="75">
        <v>0</v>
      </c>
      <c r="I9" s="142">
        <f>F9+G9-H9</f>
        <v>0.30455300000000002</v>
      </c>
      <c r="J9" s="143">
        <v>0</v>
      </c>
      <c r="K9" s="144">
        <v>0</v>
      </c>
      <c r="L9" s="145"/>
      <c r="M9" s="146">
        <f>J9+K9-L9</f>
        <v>0</v>
      </c>
      <c r="N9" s="147">
        <f>F9-J9</f>
        <v>0.30455300000000002</v>
      </c>
      <c r="O9" s="147">
        <f>I9-M9</f>
        <v>0.30455300000000002</v>
      </c>
    </row>
    <row r="10" spans="2:16" ht="15">
      <c r="B10" s="77">
        <v>2</v>
      </c>
      <c r="C10" s="78" t="s">
        <v>128</v>
      </c>
      <c r="D10" s="79">
        <v>1100</v>
      </c>
      <c r="E10" s="80">
        <v>3.3399999999999999E-2</v>
      </c>
      <c r="F10" s="81">
        <v>2.3185764999999998</v>
      </c>
      <c r="G10" s="82">
        <v>0</v>
      </c>
      <c r="H10" s="81">
        <v>0</v>
      </c>
      <c r="I10" s="148">
        <f>F10+G10-H10</f>
        <v>2.3185764999999998</v>
      </c>
      <c r="J10" s="149">
        <v>1.6579166550000002</v>
      </c>
      <c r="K10" s="150">
        <v>0.21441406299999999</v>
      </c>
      <c r="L10" s="151"/>
      <c r="M10" s="152">
        <f t="shared" ref="M10:M12" si="0">J10+K10-L10</f>
        <v>1.8723307180000002</v>
      </c>
      <c r="N10" s="148">
        <f t="shared" ref="N10:N12" si="1">F10-J10</f>
        <v>0.66065984499999963</v>
      </c>
      <c r="O10" s="148">
        <f t="shared" ref="O10:O12" si="2">I10-M10</f>
        <v>0.44624578199999965</v>
      </c>
      <c r="P10" s="193"/>
    </row>
    <row r="11" spans="2:16" ht="15">
      <c r="B11" s="77">
        <v>3</v>
      </c>
      <c r="C11" s="84" t="s">
        <v>510</v>
      </c>
      <c r="D11" s="79">
        <v>1200</v>
      </c>
      <c r="E11" s="80">
        <v>5.28E-2</v>
      </c>
      <c r="F11" s="81">
        <v>0.783107412</v>
      </c>
      <c r="G11" s="82">
        <v>0</v>
      </c>
      <c r="H11" s="81">
        <v>0</v>
      </c>
      <c r="I11" s="148">
        <f t="shared" ref="I11:I12" si="3">F11+G11-H11</f>
        <v>0.783107412</v>
      </c>
      <c r="J11" s="149">
        <v>0.59063718399999998</v>
      </c>
      <c r="K11" s="150">
        <v>5.7079745999999994E-2</v>
      </c>
      <c r="L11" s="151"/>
      <c r="M11" s="152">
        <f t="shared" si="0"/>
        <v>0.64771692999999997</v>
      </c>
      <c r="N11" s="148">
        <f t="shared" si="1"/>
        <v>0.19247022800000002</v>
      </c>
      <c r="O11" s="148">
        <f t="shared" si="2"/>
        <v>0.13539048200000003</v>
      </c>
      <c r="P11" s="193"/>
    </row>
    <row r="12" spans="2:16" ht="15.75" thickBot="1">
      <c r="B12" s="77">
        <v>4</v>
      </c>
      <c r="C12" s="192" t="s">
        <v>127</v>
      </c>
      <c r="D12" s="79">
        <v>1300</v>
      </c>
      <c r="E12" s="85">
        <v>5.28E-2</v>
      </c>
      <c r="F12" s="82">
        <f>123.236829242-4.54</f>
        <v>118.69682924199999</v>
      </c>
      <c r="G12" s="82">
        <v>0</v>
      </c>
      <c r="H12" s="83">
        <v>0</v>
      </c>
      <c r="I12" s="148">
        <f t="shared" si="3"/>
        <v>118.69682924199999</v>
      </c>
      <c r="J12" s="149">
        <f>91.408363994-12.96</f>
        <v>78.448363994000005</v>
      </c>
      <c r="K12" s="204">
        <f>9.752450928-0.33</f>
        <v>9.4224509279999999</v>
      </c>
      <c r="L12" s="151"/>
      <c r="M12" s="152">
        <f t="shared" si="0"/>
        <v>87.870814922000008</v>
      </c>
      <c r="N12" s="148">
        <f t="shared" si="1"/>
        <v>40.248465247999988</v>
      </c>
      <c r="O12" s="148">
        <f t="shared" si="2"/>
        <v>30.826014319999985</v>
      </c>
      <c r="P12" s="82"/>
    </row>
    <row r="13" spans="2:16" ht="15">
      <c r="B13" s="69">
        <v>5</v>
      </c>
      <c r="C13" s="192" t="s">
        <v>491</v>
      </c>
      <c r="D13" s="73">
        <v>1400</v>
      </c>
      <c r="E13" s="74">
        <v>5.28E-2</v>
      </c>
      <c r="F13" s="76">
        <v>0.49543939999999997</v>
      </c>
      <c r="G13" s="76">
        <v>0</v>
      </c>
      <c r="H13" s="75">
        <v>0</v>
      </c>
      <c r="I13" s="142">
        <f>F13+G13-H13</f>
        <v>0.49543939999999997</v>
      </c>
      <c r="J13" s="143">
        <v>0.30686855899999999</v>
      </c>
      <c r="K13" s="144">
        <v>6.9513451000000004E-2</v>
      </c>
      <c r="L13" s="145"/>
      <c r="M13" s="146">
        <f>J13+K13-L13</f>
        <v>0.37638200999999999</v>
      </c>
      <c r="N13" s="147">
        <f>F13-J13</f>
        <v>0.18857084099999999</v>
      </c>
      <c r="O13" s="147">
        <f>I13-M13</f>
        <v>0.11905738999999999</v>
      </c>
      <c r="P13" s="193"/>
    </row>
    <row r="14" spans="2:16" ht="15">
      <c r="B14" s="77">
        <v>6</v>
      </c>
      <c r="C14" s="192" t="s">
        <v>492</v>
      </c>
      <c r="D14" s="79">
        <v>1500</v>
      </c>
      <c r="E14" s="80">
        <v>5.28E-2</v>
      </c>
      <c r="F14" s="82">
        <v>0.56308040000000004</v>
      </c>
      <c r="G14" s="82">
        <v>0</v>
      </c>
      <c r="H14" s="81">
        <v>0</v>
      </c>
      <c r="I14" s="148">
        <f>F14+G14-H14</f>
        <v>0.56308040000000004</v>
      </c>
      <c r="J14" s="149">
        <v>0.49189501900000004</v>
      </c>
      <c r="K14" s="150">
        <v>7.4386710000000009E-3</v>
      </c>
      <c r="L14" s="151"/>
      <c r="M14" s="152">
        <f t="shared" ref="M14:M16" si="4">J14+K14-L14</f>
        <v>0.49933369000000005</v>
      </c>
      <c r="N14" s="148">
        <f t="shared" ref="N14:N16" si="5">F14-J14</f>
        <v>7.1185380999999992E-2</v>
      </c>
      <c r="O14" s="148">
        <f t="shared" ref="O14:O16" si="6">I14-M14</f>
        <v>6.3746709999999984E-2</v>
      </c>
      <c r="P14" s="193"/>
    </row>
    <row r="15" spans="2:16" ht="15">
      <c r="B15" s="77">
        <v>7</v>
      </c>
      <c r="C15" s="192" t="s">
        <v>493</v>
      </c>
      <c r="D15" s="79">
        <v>1600</v>
      </c>
      <c r="E15" s="80">
        <v>3.3399999999999999E-2</v>
      </c>
      <c r="F15" s="82">
        <v>2.5696333999999998</v>
      </c>
      <c r="G15" s="82">
        <v>0</v>
      </c>
      <c r="H15" s="81">
        <v>0</v>
      </c>
      <c r="I15" s="148">
        <f t="shared" ref="I15:I16" si="7">F15+G15-H15</f>
        <v>2.5696333999999998</v>
      </c>
      <c r="J15" s="149">
        <v>2.3108621629999999</v>
      </c>
      <c r="K15" s="150">
        <v>9.0902400000000003E-4</v>
      </c>
      <c r="L15" s="151"/>
      <c r="M15" s="152">
        <f t="shared" si="4"/>
        <v>2.3117711869999997</v>
      </c>
      <c r="N15" s="148">
        <f t="shared" si="5"/>
        <v>0.25877123699999993</v>
      </c>
      <c r="O15" s="148">
        <f t="shared" si="6"/>
        <v>0.25786221300000012</v>
      </c>
      <c r="P15" s="193"/>
    </row>
    <row r="16" spans="2:16" ht="15.75" thickBot="1">
      <c r="B16" s="77">
        <v>8</v>
      </c>
      <c r="C16" s="192" t="s">
        <v>132</v>
      </c>
      <c r="D16" s="79">
        <v>1700</v>
      </c>
      <c r="E16" s="85">
        <v>9.5000000000000001E-2</v>
      </c>
      <c r="F16" s="82">
        <v>0.37026399999999998</v>
      </c>
      <c r="G16" s="82">
        <v>0</v>
      </c>
      <c r="H16" s="83">
        <v>0</v>
      </c>
      <c r="I16" s="148">
        <f t="shared" si="7"/>
        <v>0.37026399999999998</v>
      </c>
      <c r="J16" s="149">
        <v>0.33323760000000002</v>
      </c>
      <c r="K16" s="150">
        <v>0</v>
      </c>
      <c r="L16" s="151"/>
      <c r="M16" s="152">
        <f t="shared" si="4"/>
        <v>0.33323760000000002</v>
      </c>
      <c r="N16" s="148">
        <f t="shared" si="5"/>
        <v>3.7026399999999959E-2</v>
      </c>
      <c r="O16" s="148">
        <f t="shared" si="6"/>
        <v>3.7026399999999959E-2</v>
      </c>
      <c r="P16" s="193"/>
    </row>
    <row r="17" spans="2:17" ht="15">
      <c r="B17" s="69">
        <v>9</v>
      </c>
      <c r="C17" s="192" t="s">
        <v>494</v>
      </c>
      <c r="D17" s="73">
        <v>1800</v>
      </c>
      <c r="E17" s="74">
        <v>6.3299999999999995E-2</v>
      </c>
      <c r="F17" s="76">
        <v>0.144561625</v>
      </c>
      <c r="G17" s="76">
        <v>0</v>
      </c>
      <c r="H17" s="75">
        <v>0</v>
      </c>
      <c r="I17" s="142">
        <f>F17+G17-H17</f>
        <v>0.144561625</v>
      </c>
      <c r="J17" s="143">
        <v>0.13455779900000001</v>
      </c>
      <c r="K17" s="144">
        <v>4.3395E-5</v>
      </c>
      <c r="L17" s="145"/>
      <c r="M17" s="146">
        <f>J17+K17-L17</f>
        <v>0.13460119400000001</v>
      </c>
      <c r="N17" s="147">
        <f>F17-J17</f>
        <v>1.0003825999999993E-2</v>
      </c>
      <c r="O17" s="147">
        <f>I17-M17</f>
        <v>9.9604309999999918E-3</v>
      </c>
      <c r="P17" s="193"/>
    </row>
    <row r="18" spans="2:17" ht="15">
      <c r="B18" s="77">
        <v>10</v>
      </c>
      <c r="C18" s="192" t="s">
        <v>495</v>
      </c>
      <c r="D18" s="79">
        <v>1900</v>
      </c>
      <c r="E18" s="80">
        <v>0.15</v>
      </c>
      <c r="F18" s="82">
        <v>0.52763358399999993</v>
      </c>
      <c r="G18" s="82">
        <v>0.01</v>
      </c>
      <c r="H18" s="81">
        <v>0.01</v>
      </c>
      <c r="I18" s="148">
        <f>F18+G18-H18</f>
        <v>0.52763358399999993</v>
      </c>
      <c r="J18" s="149">
        <v>0.38659513200000001</v>
      </c>
      <c r="K18" s="150">
        <v>3.5951304999999996E-2</v>
      </c>
      <c r="L18" s="151"/>
      <c r="M18" s="152">
        <f t="shared" ref="M18:M19" si="8">J18+K18-L18</f>
        <v>0.422546437</v>
      </c>
      <c r="N18" s="148">
        <f t="shared" ref="N18:N19" si="9">F18-J18</f>
        <v>0.14103845199999993</v>
      </c>
      <c r="O18" s="148">
        <f t="shared" ref="O18:O20" si="10">I18-M18</f>
        <v>0.10508714699999994</v>
      </c>
      <c r="P18" s="193"/>
    </row>
    <row r="19" spans="2:17" ht="15">
      <c r="B19" s="77">
        <v>11</v>
      </c>
      <c r="C19" s="192" t="s">
        <v>134</v>
      </c>
      <c r="D19" s="79">
        <v>2100</v>
      </c>
      <c r="E19" s="80">
        <v>6.3299999999999995E-2</v>
      </c>
      <c r="F19" s="82">
        <v>0.261122454</v>
      </c>
      <c r="G19" s="82">
        <v>0</v>
      </c>
      <c r="H19" s="81">
        <v>0</v>
      </c>
      <c r="I19" s="148">
        <f t="shared" ref="I19:I20" si="11">F19+G19-H19</f>
        <v>0.261122454</v>
      </c>
      <c r="J19" s="149">
        <v>0.19873834399999998</v>
      </c>
      <c r="K19" s="150">
        <v>1.3419375000000001E-2</v>
      </c>
      <c r="L19" s="151"/>
      <c r="M19" s="152">
        <f t="shared" si="8"/>
        <v>0.21215771899999999</v>
      </c>
      <c r="N19" s="148">
        <f t="shared" si="9"/>
        <v>6.238411000000002E-2</v>
      </c>
      <c r="O19" s="148">
        <f t="shared" si="10"/>
        <v>4.8964735000000009E-2</v>
      </c>
      <c r="P19" s="193"/>
    </row>
    <row r="20" spans="2:17" ht="15">
      <c r="B20" s="77">
        <v>12</v>
      </c>
      <c r="C20" s="192" t="s">
        <v>496</v>
      </c>
      <c r="D20" s="79">
        <v>2200</v>
      </c>
      <c r="E20" s="85">
        <v>0.15</v>
      </c>
      <c r="F20" s="82">
        <v>6.8999999999999999E-3</v>
      </c>
      <c r="G20" s="82">
        <v>0</v>
      </c>
      <c r="H20" s="83">
        <v>0</v>
      </c>
      <c r="I20" s="148">
        <f t="shared" si="11"/>
        <v>6.8999999999999999E-3</v>
      </c>
      <c r="J20" s="149">
        <v>6.8999999999999999E-3</v>
      </c>
      <c r="K20" s="150">
        <v>0</v>
      </c>
      <c r="L20" s="151"/>
      <c r="M20" s="152"/>
      <c r="N20" s="148"/>
      <c r="O20" s="148">
        <f t="shared" si="10"/>
        <v>6.8999999999999999E-3</v>
      </c>
      <c r="P20" s="193"/>
    </row>
    <row r="21" spans="2:17" ht="15.75" thickBot="1">
      <c r="B21" s="86"/>
      <c r="C21" s="87" t="s">
        <v>139</v>
      </c>
      <c r="D21" s="87"/>
      <c r="E21" s="153">
        <f>IFERROR((K21-L21)/AVERAGE(F21,I21),0)</f>
        <v>7.7313196543910251E-2</v>
      </c>
      <c r="F21" s="154">
        <f>SUM(F9:F20)</f>
        <v>127.04170101699999</v>
      </c>
      <c r="G21" s="154">
        <f t="shared" ref="G21:O21" si="12">SUM(G9:G20)</f>
        <v>0.01</v>
      </c>
      <c r="H21" s="154">
        <f t="shared" si="12"/>
        <v>0.01</v>
      </c>
      <c r="I21" s="154">
        <f t="shared" si="12"/>
        <v>127.04170101699999</v>
      </c>
      <c r="J21" s="154">
        <f t="shared" si="12"/>
        <v>84.866572449000003</v>
      </c>
      <c r="K21" s="154">
        <v>9.8220000000000027</v>
      </c>
      <c r="L21" s="154">
        <f t="shared" si="12"/>
        <v>0</v>
      </c>
      <c r="M21" s="154">
        <f>J21+K21</f>
        <v>94.688572449000006</v>
      </c>
      <c r="N21" s="154">
        <f t="shared" si="12"/>
        <v>42.175128567999991</v>
      </c>
      <c r="O21" s="154">
        <f t="shared" si="12"/>
        <v>32.360808609999985</v>
      </c>
      <c r="P21" s="193"/>
      <c r="Q21" s="193">
        <f>K21-P21</f>
        <v>9.8220000000000027</v>
      </c>
    </row>
    <row r="22" spans="2:17" ht="15">
      <c r="B22" s="292"/>
      <c r="C22" s="293"/>
      <c r="D22" s="293"/>
      <c r="E22" s="294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193"/>
      <c r="Q22" s="193"/>
    </row>
    <row r="23" spans="2:17" ht="15" thickBot="1"/>
    <row r="24" spans="2:17" ht="15">
      <c r="B24" s="338" t="s">
        <v>479</v>
      </c>
      <c r="C24" s="339"/>
      <c r="D24" s="339"/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40"/>
      <c r="P24" s="193"/>
    </row>
    <row r="25" spans="2:17" ht="14.25" customHeight="1">
      <c r="B25" s="343" t="s">
        <v>2</v>
      </c>
      <c r="C25" s="345" t="s">
        <v>297</v>
      </c>
      <c r="D25" s="341" t="s">
        <v>285</v>
      </c>
      <c r="E25" s="341" t="s">
        <v>286</v>
      </c>
      <c r="F25" s="341" t="s">
        <v>287</v>
      </c>
      <c r="G25" s="341"/>
      <c r="H25" s="341"/>
      <c r="I25" s="341"/>
      <c r="J25" s="341" t="s">
        <v>288</v>
      </c>
      <c r="K25" s="341"/>
      <c r="L25" s="341"/>
      <c r="M25" s="341"/>
      <c r="N25" s="341" t="s">
        <v>289</v>
      </c>
      <c r="O25" s="342"/>
      <c r="P25" s="193"/>
    </row>
    <row r="26" spans="2:17" ht="60.75" thickBot="1">
      <c r="B26" s="344"/>
      <c r="C26" s="348"/>
      <c r="D26" s="347"/>
      <c r="E26" s="347"/>
      <c r="F26" s="70" t="s">
        <v>290</v>
      </c>
      <c r="G26" s="70" t="s">
        <v>138</v>
      </c>
      <c r="H26" s="70" t="s">
        <v>291</v>
      </c>
      <c r="I26" s="70" t="s">
        <v>292</v>
      </c>
      <c r="J26" s="70" t="s">
        <v>293</v>
      </c>
      <c r="K26" s="70" t="s">
        <v>138</v>
      </c>
      <c r="L26" s="70" t="s">
        <v>294</v>
      </c>
      <c r="M26" s="70" t="s">
        <v>295</v>
      </c>
      <c r="N26" s="70" t="s">
        <v>290</v>
      </c>
      <c r="O26" s="71" t="s">
        <v>292</v>
      </c>
    </row>
    <row r="27" spans="2:17" ht="15.75" thickBot="1">
      <c r="B27" s="69">
        <v>1</v>
      </c>
      <c r="C27" s="72" t="s">
        <v>489</v>
      </c>
      <c r="D27" s="73">
        <v>1000</v>
      </c>
      <c r="E27" s="74">
        <v>0</v>
      </c>
      <c r="F27" s="142">
        <f t="shared" ref="F27:F38" si="13">I9</f>
        <v>0.30455300000000002</v>
      </c>
      <c r="G27" s="76"/>
      <c r="H27" s="75"/>
      <c r="I27" s="142">
        <f>F27+G27-H27</f>
        <v>0.30455300000000002</v>
      </c>
      <c r="J27" s="143">
        <f t="shared" ref="J27:J39" si="14">M9</f>
        <v>0</v>
      </c>
      <c r="K27" s="144">
        <v>0</v>
      </c>
      <c r="L27" s="145"/>
      <c r="M27" s="146">
        <f>J27+K27-L27</f>
        <v>0</v>
      </c>
      <c r="N27" s="147">
        <f>F27-J27</f>
        <v>0.30455300000000002</v>
      </c>
      <c r="O27" s="147">
        <f>I27-M27</f>
        <v>0.30455300000000002</v>
      </c>
    </row>
    <row r="28" spans="2:17" ht="15.75" thickBot="1">
      <c r="B28" s="77">
        <v>2</v>
      </c>
      <c r="C28" s="78" t="s">
        <v>128</v>
      </c>
      <c r="D28" s="79">
        <v>1100</v>
      </c>
      <c r="E28" s="80">
        <v>3.3399999999999999E-2</v>
      </c>
      <c r="F28" s="142">
        <f t="shared" si="13"/>
        <v>2.3185764999999998</v>
      </c>
      <c r="G28" s="82"/>
      <c r="H28" s="81"/>
      <c r="I28" s="148">
        <f>F28+G28-H28</f>
        <v>2.3185764999999998</v>
      </c>
      <c r="J28" s="143">
        <f t="shared" si="14"/>
        <v>1.8723307180000002</v>
      </c>
      <c r="K28" s="150">
        <v>0.21441406200000002</v>
      </c>
      <c r="L28" s="151"/>
      <c r="M28" s="152">
        <f t="shared" ref="M28:M29" si="15">J28+K28-L28</f>
        <v>2.0867447800000001</v>
      </c>
      <c r="N28" s="148">
        <f t="shared" ref="N28:N30" si="16">F28-J28</f>
        <v>0.44624578199999965</v>
      </c>
      <c r="O28" s="148">
        <f t="shared" ref="O28:O30" si="17">I28-M28</f>
        <v>0.23183171999999974</v>
      </c>
    </row>
    <row r="29" spans="2:17" ht="15.75" thickBot="1">
      <c r="B29" s="77">
        <v>3</v>
      </c>
      <c r="C29" s="84" t="s">
        <v>490</v>
      </c>
      <c r="D29" s="79">
        <v>1200</v>
      </c>
      <c r="E29" s="80">
        <v>5.28E-2</v>
      </c>
      <c r="F29" s="142">
        <f t="shared" si="13"/>
        <v>0.783107412</v>
      </c>
      <c r="G29" s="82"/>
      <c r="H29" s="81"/>
      <c r="I29" s="148">
        <f t="shared" ref="I29:I30" si="18">F29+G29-H29</f>
        <v>0.783107412</v>
      </c>
      <c r="J29" s="143">
        <f t="shared" si="14"/>
        <v>0.64771692999999997</v>
      </c>
      <c r="K29" s="150">
        <v>5.7079741000000003E-2</v>
      </c>
      <c r="L29" s="151"/>
      <c r="M29" s="152">
        <f t="shared" si="15"/>
        <v>0.70479667099999999</v>
      </c>
      <c r="N29" s="148">
        <f t="shared" si="16"/>
        <v>0.13539048200000003</v>
      </c>
      <c r="O29" s="148">
        <f t="shared" si="17"/>
        <v>7.8310741000000017E-2</v>
      </c>
    </row>
    <row r="30" spans="2:17" ht="15.75" thickBot="1">
      <c r="B30" s="77">
        <v>4</v>
      </c>
      <c r="C30" s="84" t="s">
        <v>127</v>
      </c>
      <c r="D30" s="79">
        <v>1300</v>
      </c>
      <c r="E30" s="85">
        <v>5.28E-2</v>
      </c>
      <c r="F30" s="142">
        <f t="shared" si="13"/>
        <v>118.69682924199999</v>
      </c>
      <c r="G30" s="82"/>
      <c r="H30" s="83"/>
      <c r="I30" s="148">
        <f t="shared" si="18"/>
        <v>118.69682924199999</v>
      </c>
      <c r="J30" s="143">
        <f t="shared" si="14"/>
        <v>87.870814922000008</v>
      </c>
      <c r="K30" s="201">
        <f>9.752450897</f>
        <v>9.7524508969999992</v>
      </c>
      <c r="L30" s="151"/>
      <c r="M30" s="202">
        <f>J30+K30-L30</f>
        <v>97.623265819000011</v>
      </c>
      <c r="N30" s="148">
        <f t="shared" si="16"/>
        <v>30.826014319999985</v>
      </c>
      <c r="O30" s="148">
        <f t="shared" si="17"/>
        <v>21.073563422999982</v>
      </c>
    </row>
    <row r="31" spans="2:17" ht="15.75" thickBot="1">
      <c r="B31" s="69">
        <v>5</v>
      </c>
      <c r="C31" s="72" t="s">
        <v>491</v>
      </c>
      <c r="D31" s="73">
        <v>1400</v>
      </c>
      <c r="E31" s="74">
        <v>5.28E-2</v>
      </c>
      <c r="F31" s="142">
        <f t="shared" si="13"/>
        <v>0.49543939999999997</v>
      </c>
      <c r="G31" s="76"/>
      <c r="H31" s="75"/>
      <c r="I31" s="142">
        <f>F31+G31-H31</f>
        <v>0.49543939999999997</v>
      </c>
      <c r="J31" s="143">
        <f t="shared" si="14"/>
        <v>0.37638200999999999</v>
      </c>
      <c r="K31" s="144">
        <v>6.9513450000000004E-2</v>
      </c>
      <c r="L31" s="145"/>
      <c r="M31" s="146">
        <f>J31+K31-L31</f>
        <v>0.44589546000000002</v>
      </c>
      <c r="N31" s="147">
        <f>F31-J31</f>
        <v>0.11905738999999999</v>
      </c>
      <c r="O31" s="147">
        <f>I31-M31</f>
        <v>4.9543939999999953E-2</v>
      </c>
    </row>
    <row r="32" spans="2:17" ht="15.75" thickBot="1">
      <c r="B32" s="77">
        <v>6</v>
      </c>
      <c r="C32" s="78" t="s">
        <v>492</v>
      </c>
      <c r="D32" s="79">
        <v>1500</v>
      </c>
      <c r="E32" s="80">
        <v>5.28E-2</v>
      </c>
      <c r="F32" s="142">
        <f t="shared" si="13"/>
        <v>0.56308040000000004</v>
      </c>
      <c r="G32" s="82"/>
      <c r="H32" s="81"/>
      <c r="I32" s="148">
        <f>F32+G32-H32</f>
        <v>0.56308040000000004</v>
      </c>
      <c r="J32" s="143">
        <f t="shared" si="14"/>
        <v>0.49933369000000005</v>
      </c>
      <c r="K32" s="150">
        <v>7.4386699999999997E-3</v>
      </c>
      <c r="L32" s="151"/>
      <c r="M32" s="152">
        <f t="shared" ref="M32:M34" si="19">J32+K32-L32</f>
        <v>0.50677236000000003</v>
      </c>
      <c r="N32" s="148">
        <f t="shared" ref="N32:N34" si="20">F32-J32</f>
        <v>6.3746709999999984E-2</v>
      </c>
      <c r="O32" s="148">
        <f t="shared" ref="O32:O34" si="21">I32-M32</f>
        <v>5.6308040000000004E-2</v>
      </c>
    </row>
    <row r="33" spans="2:16" ht="15.75" thickBot="1">
      <c r="B33" s="77">
        <v>7</v>
      </c>
      <c r="C33" s="84" t="s">
        <v>493</v>
      </c>
      <c r="D33" s="79">
        <v>1600</v>
      </c>
      <c r="E33" s="80">
        <v>3.3399999999999999E-2</v>
      </c>
      <c r="F33" s="142">
        <f t="shared" si="13"/>
        <v>2.5696333999999998</v>
      </c>
      <c r="G33" s="82"/>
      <c r="H33" s="81"/>
      <c r="I33" s="148">
        <f t="shared" ref="I33:I34" si="22">F33+G33-H33</f>
        <v>2.5696333999999998</v>
      </c>
      <c r="J33" s="143">
        <f t="shared" si="14"/>
        <v>2.3117711869999997</v>
      </c>
      <c r="K33" s="150">
        <v>9.0902299999999991E-4</v>
      </c>
      <c r="L33" s="151"/>
      <c r="M33" s="152">
        <f t="shared" si="19"/>
        <v>2.3126802099999999</v>
      </c>
      <c r="N33" s="148">
        <f t="shared" si="20"/>
        <v>0.25786221300000012</v>
      </c>
      <c r="O33" s="148">
        <f t="shared" si="21"/>
        <v>0.25695318999999994</v>
      </c>
    </row>
    <row r="34" spans="2:16" ht="15.75" thickBot="1">
      <c r="B34" s="77">
        <v>8</v>
      </c>
      <c r="C34" s="84" t="s">
        <v>132</v>
      </c>
      <c r="D34" s="79">
        <v>1700</v>
      </c>
      <c r="E34" s="85">
        <v>9.5000000000000001E-2</v>
      </c>
      <c r="F34" s="142">
        <f t="shared" si="13"/>
        <v>0.37026399999999998</v>
      </c>
      <c r="G34" s="82"/>
      <c r="H34" s="83"/>
      <c r="I34" s="148">
        <f t="shared" si="22"/>
        <v>0.37026399999999998</v>
      </c>
      <c r="J34" s="143">
        <f t="shared" si="14"/>
        <v>0.33323760000000002</v>
      </c>
      <c r="K34" s="150">
        <v>0</v>
      </c>
      <c r="L34" s="151"/>
      <c r="M34" s="152">
        <f t="shared" si="19"/>
        <v>0.33323760000000002</v>
      </c>
      <c r="N34" s="148">
        <f t="shared" si="20"/>
        <v>3.7026399999999959E-2</v>
      </c>
      <c r="O34" s="148">
        <f t="shared" si="21"/>
        <v>3.7026399999999959E-2</v>
      </c>
    </row>
    <row r="35" spans="2:16" ht="15.75" thickBot="1">
      <c r="B35" s="69">
        <v>9</v>
      </c>
      <c r="C35" s="72" t="s">
        <v>494</v>
      </c>
      <c r="D35" s="73">
        <v>1800</v>
      </c>
      <c r="E35" s="74">
        <v>6.3299999999999995E-2</v>
      </c>
      <c r="F35" s="142">
        <f t="shared" si="13"/>
        <v>0.144561625</v>
      </c>
      <c r="G35" s="276">
        <v>2.4080496E-2</v>
      </c>
      <c r="H35" s="75"/>
      <c r="I35" s="142">
        <f>F35+G35-H35</f>
        <v>0.16864212100000001</v>
      </c>
      <c r="J35" s="143">
        <f t="shared" si="14"/>
        <v>0.13460119400000001</v>
      </c>
      <c r="K35" s="144">
        <v>1.380289E-3</v>
      </c>
      <c r="L35" s="145"/>
      <c r="M35" s="146">
        <f>J35+K35-L35</f>
        <v>0.13598148300000001</v>
      </c>
      <c r="N35" s="147">
        <f>F35-J35</f>
        <v>9.9604309999999918E-3</v>
      </c>
      <c r="O35" s="147">
        <f>I35-M35</f>
        <v>3.2660637999999992E-2</v>
      </c>
    </row>
    <row r="36" spans="2:16" ht="15.75" thickBot="1">
      <c r="B36" s="77">
        <v>10</v>
      </c>
      <c r="C36" s="78" t="s">
        <v>495</v>
      </c>
      <c r="D36" s="79">
        <v>1900</v>
      </c>
      <c r="E36" s="80">
        <v>0.15</v>
      </c>
      <c r="F36" s="142">
        <f t="shared" si="13"/>
        <v>0.52763358399999993</v>
      </c>
      <c r="G36" s="82"/>
      <c r="H36" s="81"/>
      <c r="I36" s="148">
        <f>F36+G36-H36</f>
        <v>0.52763358399999993</v>
      </c>
      <c r="J36" s="143">
        <f t="shared" si="14"/>
        <v>0.422546437</v>
      </c>
      <c r="K36" s="150">
        <v>3.1545887000000002E-2</v>
      </c>
      <c r="L36" s="151"/>
      <c r="M36" s="152">
        <f t="shared" ref="M36:M38" si="23">J36+K36-L36</f>
        <v>0.45409232399999999</v>
      </c>
      <c r="N36" s="148">
        <f t="shared" ref="N36:N37" si="24">F36-J36</f>
        <v>0.10508714699999994</v>
      </c>
      <c r="O36" s="148">
        <f t="shared" ref="O36:O38" si="25">I36-M36</f>
        <v>7.3541259999999942E-2</v>
      </c>
    </row>
    <row r="37" spans="2:16" ht="15.75" thickBot="1">
      <c r="B37" s="77">
        <v>11</v>
      </c>
      <c r="C37" s="84" t="s">
        <v>134</v>
      </c>
      <c r="D37" s="79">
        <v>2100</v>
      </c>
      <c r="E37" s="80">
        <v>6.3299999999999995E-2</v>
      </c>
      <c r="F37" s="142">
        <f t="shared" si="13"/>
        <v>0.261122454</v>
      </c>
      <c r="G37" s="276">
        <v>1.3221996E-2</v>
      </c>
      <c r="H37" s="81"/>
      <c r="I37" s="148">
        <f t="shared" ref="I37" si="26">F37+G37-H37</f>
        <v>0.27434445000000002</v>
      </c>
      <c r="J37" s="143">
        <f t="shared" si="14"/>
        <v>0.21215771899999999</v>
      </c>
      <c r="K37" s="150">
        <v>1.1151752000000001E-2</v>
      </c>
      <c r="L37" s="151"/>
      <c r="M37" s="152">
        <f t="shared" si="23"/>
        <v>0.22330947099999998</v>
      </c>
      <c r="N37" s="148">
        <f t="shared" si="24"/>
        <v>4.8964735000000009E-2</v>
      </c>
      <c r="O37" s="148">
        <f t="shared" si="25"/>
        <v>5.1034979000000036E-2</v>
      </c>
    </row>
    <row r="38" spans="2:16" ht="15">
      <c r="B38" s="77">
        <v>12</v>
      </c>
      <c r="C38" s="192" t="s">
        <v>496</v>
      </c>
      <c r="D38" s="79">
        <v>2200</v>
      </c>
      <c r="E38" s="85">
        <v>0.15</v>
      </c>
      <c r="F38" s="142">
        <f t="shared" si="13"/>
        <v>6.8999999999999999E-3</v>
      </c>
      <c r="G38" s="82"/>
      <c r="H38" s="83"/>
      <c r="I38" s="148">
        <f>F38+G38</f>
        <v>6.8999999999999999E-3</v>
      </c>
      <c r="J38" s="143">
        <f t="shared" si="14"/>
        <v>0</v>
      </c>
      <c r="K38" s="150">
        <v>0</v>
      </c>
      <c r="L38" s="151"/>
      <c r="M38" s="152">
        <f t="shared" si="23"/>
        <v>0</v>
      </c>
      <c r="N38" s="148"/>
      <c r="O38" s="148">
        <f t="shared" si="25"/>
        <v>6.8999999999999999E-3</v>
      </c>
    </row>
    <row r="39" spans="2:16" ht="15.75" thickBot="1">
      <c r="B39" s="86"/>
      <c r="C39" s="87" t="s">
        <v>139</v>
      </c>
      <c r="D39" s="87"/>
      <c r="E39" s="153">
        <f>IFERROR((K39-L39)/AVERAGE(F39,I39),0)</f>
        <v>7.7307872067897493E-2</v>
      </c>
      <c r="F39" s="154">
        <f>SUM(F27:F38)</f>
        <v>127.04170101699999</v>
      </c>
      <c r="G39" s="154">
        <f t="shared" ref="G39:I39" si="27">SUM(G27:G38)</f>
        <v>3.7302492E-2</v>
      </c>
      <c r="H39" s="154">
        <f t="shared" si="27"/>
        <v>0</v>
      </c>
      <c r="I39" s="154">
        <f t="shared" si="27"/>
        <v>127.079003509</v>
      </c>
      <c r="J39" s="154">
        <f t="shared" si="14"/>
        <v>94.688572449000006</v>
      </c>
      <c r="K39" s="154">
        <v>9.822765457649993</v>
      </c>
      <c r="L39" s="154">
        <f t="shared" ref="L39" si="28">SUM(L27:L38)</f>
        <v>0</v>
      </c>
      <c r="M39" s="154">
        <f>J39+K39-L39</f>
        <v>104.51133790665</v>
      </c>
      <c r="N39" s="154">
        <f>O21</f>
        <v>32.360808609999985</v>
      </c>
      <c r="O39" s="154">
        <f>N39-K39</f>
        <v>22.538043152349992</v>
      </c>
      <c r="P39" s="193"/>
    </row>
    <row r="40" spans="2:16" ht="15" thickBot="1">
      <c r="P40" s="193"/>
    </row>
    <row r="41" spans="2:16" ht="15">
      <c r="B41" s="349" t="s">
        <v>480</v>
      </c>
      <c r="C41" s="350"/>
      <c r="D41" s="350"/>
      <c r="E41" s="350"/>
      <c r="F41" s="350"/>
      <c r="G41" s="350"/>
      <c r="H41" s="350"/>
      <c r="I41" s="350"/>
      <c r="J41" s="350"/>
      <c r="K41" s="350"/>
      <c r="L41" s="350"/>
      <c r="M41" s="350"/>
      <c r="N41" s="350"/>
      <c r="O41" s="351"/>
    </row>
    <row r="42" spans="2:16" ht="15">
      <c r="B42" s="352" t="s">
        <v>2</v>
      </c>
      <c r="C42" s="354" t="s">
        <v>297</v>
      </c>
      <c r="D42" s="356" t="s">
        <v>285</v>
      </c>
      <c r="E42" s="356" t="s">
        <v>286</v>
      </c>
      <c r="F42" s="356" t="s">
        <v>287</v>
      </c>
      <c r="G42" s="356"/>
      <c r="H42" s="356"/>
      <c r="I42" s="356"/>
      <c r="J42" s="356" t="s">
        <v>288</v>
      </c>
      <c r="K42" s="356"/>
      <c r="L42" s="356"/>
      <c r="M42" s="356"/>
      <c r="N42" s="356" t="s">
        <v>289</v>
      </c>
      <c r="O42" s="358"/>
    </row>
    <row r="43" spans="2:16" ht="60.75" thickBot="1">
      <c r="B43" s="353"/>
      <c r="C43" s="355"/>
      <c r="D43" s="357"/>
      <c r="E43" s="357"/>
      <c r="F43" s="218" t="s">
        <v>290</v>
      </c>
      <c r="G43" s="218" t="s">
        <v>138</v>
      </c>
      <c r="H43" s="218" t="s">
        <v>291</v>
      </c>
      <c r="I43" s="218" t="s">
        <v>292</v>
      </c>
      <c r="J43" s="218" t="s">
        <v>293</v>
      </c>
      <c r="K43" s="218" t="s">
        <v>138</v>
      </c>
      <c r="L43" s="218" t="s">
        <v>294</v>
      </c>
      <c r="M43" s="218" t="s">
        <v>295</v>
      </c>
      <c r="N43" s="218" t="s">
        <v>290</v>
      </c>
      <c r="O43" s="219" t="s">
        <v>292</v>
      </c>
    </row>
    <row r="44" spans="2:16" ht="15">
      <c r="B44" s="220">
        <v>1</v>
      </c>
      <c r="C44" s="221" t="s">
        <v>489</v>
      </c>
      <c r="D44" s="222">
        <v>1000</v>
      </c>
      <c r="E44" s="223">
        <v>0</v>
      </c>
      <c r="F44" s="224">
        <f t="shared" ref="F44:F55" si="29">I27</f>
        <v>0.30455300000000002</v>
      </c>
      <c r="G44" s="76"/>
      <c r="H44" s="76"/>
      <c r="I44" s="224">
        <f>F44+G44-H44</f>
        <v>0.30455300000000002</v>
      </c>
      <c r="J44" s="225"/>
      <c r="K44" s="226">
        <f>AVERAGE(F44,I44)*E44</f>
        <v>0</v>
      </c>
      <c r="L44" s="227"/>
      <c r="M44" s="228">
        <f>J44+K44-L44</f>
        <v>0</v>
      </c>
      <c r="N44" s="229">
        <f>F44-J44</f>
        <v>0.30455300000000002</v>
      </c>
      <c r="O44" s="229">
        <f>I44-M44</f>
        <v>0.30455300000000002</v>
      </c>
    </row>
    <row r="45" spans="2:16" ht="15">
      <c r="B45" s="230">
        <v>2</v>
      </c>
      <c r="C45" s="231" t="s">
        <v>128</v>
      </c>
      <c r="D45" s="232">
        <v>1100</v>
      </c>
      <c r="E45" s="233">
        <v>3.3399999999999999E-2</v>
      </c>
      <c r="F45" s="234">
        <f t="shared" si="29"/>
        <v>2.3185764999999998</v>
      </c>
      <c r="G45" s="82"/>
      <c r="H45" s="82"/>
      <c r="I45" s="234">
        <f>F45+G45-H45</f>
        <v>2.3185764999999998</v>
      </c>
      <c r="J45" s="235"/>
      <c r="K45" s="201">
        <f t="shared" ref="K45:K47" si="30">AVERAGE(F45,I45)*E45</f>
        <v>7.7440455099999986E-2</v>
      </c>
      <c r="L45" s="236"/>
      <c r="M45" s="202">
        <f t="shared" ref="M45:M47" si="31">J45+K45-L45</f>
        <v>7.7440455099999986E-2</v>
      </c>
      <c r="N45" s="234">
        <f t="shared" ref="N45:N47" si="32">F45-J45</f>
        <v>2.3185764999999998</v>
      </c>
      <c r="O45" s="234">
        <f t="shared" ref="O45:O47" si="33">I45-M45</f>
        <v>2.2411360448999997</v>
      </c>
    </row>
    <row r="46" spans="2:16" ht="15">
      <c r="B46" s="230">
        <v>3</v>
      </c>
      <c r="C46" s="221" t="s">
        <v>490</v>
      </c>
      <c r="D46" s="232">
        <v>1200</v>
      </c>
      <c r="E46" s="233">
        <v>5.28E-2</v>
      </c>
      <c r="F46" s="234">
        <f t="shared" si="29"/>
        <v>0.783107412</v>
      </c>
      <c r="G46" s="82"/>
      <c r="H46" s="82"/>
      <c r="I46" s="234">
        <f t="shared" ref="I46:I47" si="34">F46+G46-H46</f>
        <v>0.783107412</v>
      </c>
      <c r="J46" s="235"/>
      <c r="K46" s="201">
        <f t="shared" si="30"/>
        <v>4.1348071353599997E-2</v>
      </c>
      <c r="L46" s="236"/>
      <c r="M46" s="202">
        <f t="shared" si="31"/>
        <v>4.1348071353599997E-2</v>
      </c>
      <c r="N46" s="234">
        <f t="shared" si="32"/>
        <v>0.783107412</v>
      </c>
      <c r="O46" s="234">
        <f t="shared" si="33"/>
        <v>0.74175934064640003</v>
      </c>
    </row>
    <row r="47" spans="2:16" ht="15.75" thickBot="1">
      <c r="B47" s="230">
        <v>4</v>
      </c>
      <c r="C47" s="192" t="s">
        <v>127</v>
      </c>
      <c r="D47" s="232">
        <v>1300</v>
      </c>
      <c r="E47" s="85">
        <v>5.28E-2</v>
      </c>
      <c r="F47" s="234">
        <f t="shared" si="29"/>
        <v>118.69682924199999</v>
      </c>
      <c r="G47" s="82"/>
      <c r="H47" s="237"/>
      <c r="I47" s="234">
        <f t="shared" si="34"/>
        <v>118.69682924199999</v>
      </c>
      <c r="J47" s="235"/>
      <c r="K47" s="201">
        <f t="shared" si="30"/>
        <v>6.2671925839775993</v>
      </c>
      <c r="L47" s="236"/>
      <c r="M47" s="202">
        <f t="shared" si="31"/>
        <v>6.2671925839775993</v>
      </c>
      <c r="N47" s="234">
        <f t="shared" si="32"/>
        <v>118.69682924199999</v>
      </c>
      <c r="O47" s="234">
        <f t="shared" si="33"/>
        <v>112.42963665802239</v>
      </c>
    </row>
    <row r="48" spans="2:16" ht="15">
      <c r="B48" s="220">
        <v>5</v>
      </c>
      <c r="C48" s="192" t="s">
        <v>491</v>
      </c>
      <c r="D48" s="222">
        <v>1400</v>
      </c>
      <c r="E48" s="223">
        <v>5.28E-2</v>
      </c>
      <c r="F48" s="224">
        <f t="shared" si="29"/>
        <v>0.49543939999999997</v>
      </c>
      <c r="G48" s="76"/>
      <c r="H48" s="76"/>
      <c r="I48" s="224">
        <f>F48+G48-H48</f>
        <v>0.49543939999999997</v>
      </c>
      <c r="J48" s="225"/>
      <c r="K48" s="226">
        <f>AVERAGE(F48,I48)*E48</f>
        <v>2.6159200319999999E-2</v>
      </c>
      <c r="L48" s="227"/>
      <c r="M48" s="228">
        <f>J48+K48-L48</f>
        <v>2.6159200319999999E-2</v>
      </c>
      <c r="N48" s="229">
        <f>F48-J48</f>
        <v>0.49543939999999997</v>
      </c>
      <c r="O48" s="229">
        <f>I48-M48</f>
        <v>0.46928019967999995</v>
      </c>
    </row>
    <row r="49" spans="2:15" ht="15">
      <c r="B49" s="230">
        <v>6</v>
      </c>
      <c r="C49" s="192" t="s">
        <v>492</v>
      </c>
      <c r="D49" s="232">
        <v>1500</v>
      </c>
      <c r="E49" s="233">
        <v>5.28E-2</v>
      </c>
      <c r="F49" s="234">
        <f t="shared" si="29"/>
        <v>0.56308040000000004</v>
      </c>
      <c r="G49" s="82"/>
      <c r="H49" s="82"/>
      <c r="I49" s="234">
        <f>F49+G49-H49</f>
        <v>0.56308040000000004</v>
      </c>
      <c r="J49" s="235"/>
      <c r="K49" s="201">
        <f t="shared" ref="K49:K51" si="35">AVERAGE(F49,I49)*E49</f>
        <v>2.9730645120000003E-2</v>
      </c>
      <c r="L49" s="236"/>
      <c r="M49" s="202">
        <f t="shared" ref="M49:M51" si="36">J49+K49-L49</f>
        <v>2.9730645120000003E-2</v>
      </c>
      <c r="N49" s="234">
        <f t="shared" ref="N49:N51" si="37">F49-J49</f>
        <v>0.56308040000000004</v>
      </c>
      <c r="O49" s="234">
        <f t="shared" ref="O49:O51" si="38">I49-M49</f>
        <v>0.53334975488000003</v>
      </c>
    </row>
    <row r="50" spans="2:15" ht="15">
      <c r="B50" s="230">
        <v>7</v>
      </c>
      <c r="C50" s="192" t="s">
        <v>493</v>
      </c>
      <c r="D50" s="232">
        <v>1600</v>
      </c>
      <c r="E50" s="233">
        <v>3.3399999999999999E-2</v>
      </c>
      <c r="F50" s="234">
        <f t="shared" si="29"/>
        <v>2.5696333999999998</v>
      </c>
      <c r="G50" s="82"/>
      <c r="H50" s="82"/>
      <c r="I50" s="234">
        <f t="shared" ref="I50:I51" si="39">F50+G50-H50</f>
        <v>2.5696333999999998</v>
      </c>
      <c r="J50" s="235"/>
      <c r="K50" s="201">
        <f t="shared" si="35"/>
        <v>8.5825755559999994E-2</v>
      </c>
      <c r="L50" s="236"/>
      <c r="M50" s="202">
        <f t="shared" si="36"/>
        <v>8.5825755559999994E-2</v>
      </c>
      <c r="N50" s="234">
        <f t="shared" si="37"/>
        <v>2.5696333999999998</v>
      </c>
      <c r="O50" s="234">
        <f t="shared" si="38"/>
        <v>2.4838076444399997</v>
      </c>
    </row>
    <row r="51" spans="2:15" ht="15.75" thickBot="1">
      <c r="B51" s="230">
        <v>8</v>
      </c>
      <c r="C51" s="192" t="s">
        <v>132</v>
      </c>
      <c r="D51" s="232">
        <v>1700</v>
      </c>
      <c r="E51" s="85">
        <v>9.5000000000000001E-2</v>
      </c>
      <c r="F51" s="234">
        <f t="shared" si="29"/>
        <v>0.37026399999999998</v>
      </c>
      <c r="G51" s="82"/>
      <c r="H51" s="237"/>
      <c r="I51" s="234">
        <f t="shared" si="39"/>
        <v>0.37026399999999998</v>
      </c>
      <c r="J51" s="235"/>
      <c r="K51" s="201">
        <f t="shared" si="35"/>
        <v>3.5175079999999997E-2</v>
      </c>
      <c r="L51" s="236"/>
      <c r="M51" s="202">
        <f t="shared" si="36"/>
        <v>3.5175079999999997E-2</v>
      </c>
      <c r="N51" s="234">
        <f t="shared" si="37"/>
        <v>0.37026399999999998</v>
      </c>
      <c r="O51" s="234">
        <f t="shared" si="38"/>
        <v>0.33508892000000001</v>
      </c>
    </row>
    <row r="52" spans="2:15" ht="15">
      <c r="B52" s="220">
        <v>9</v>
      </c>
      <c r="C52" s="192" t="s">
        <v>494</v>
      </c>
      <c r="D52" s="222">
        <v>1800</v>
      </c>
      <c r="E52" s="223">
        <v>6.3299999999999995E-2</v>
      </c>
      <c r="F52" s="224">
        <f t="shared" si="29"/>
        <v>0.16864212100000001</v>
      </c>
      <c r="G52" s="76"/>
      <c r="H52" s="76"/>
      <c r="I52" s="224">
        <f>F52+G52-H52</f>
        <v>0.16864212100000001</v>
      </c>
      <c r="J52" s="225"/>
      <c r="K52" s="226">
        <f>AVERAGE(F52,I52)*E52</f>
        <v>1.06750462593E-2</v>
      </c>
      <c r="L52" s="227"/>
      <c r="M52" s="228">
        <f>J52+K52-L52</f>
        <v>1.06750462593E-2</v>
      </c>
      <c r="N52" s="229">
        <f>F52-J52</f>
        <v>0.16864212100000001</v>
      </c>
      <c r="O52" s="229">
        <f>I52-M52</f>
        <v>0.15796707474070001</v>
      </c>
    </row>
    <row r="53" spans="2:15" ht="15">
      <c r="B53" s="230">
        <v>10</v>
      </c>
      <c r="C53" s="192" t="s">
        <v>495</v>
      </c>
      <c r="D53" s="232">
        <v>1900</v>
      </c>
      <c r="E53" s="233">
        <v>0.15</v>
      </c>
      <c r="F53" s="234">
        <f t="shared" si="29"/>
        <v>0.52763358399999993</v>
      </c>
      <c r="G53" s="82"/>
      <c r="H53" s="82"/>
      <c r="I53" s="234">
        <f>F53+G53-H53</f>
        <v>0.52763358399999993</v>
      </c>
      <c r="J53" s="235"/>
      <c r="K53" s="201">
        <f t="shared" ref="K53:K55" si="40">AVERAGE(F53,I53)*E53</f>
        <v>7.9145037599999982E-2</v>
      </c>
      <c r="L53" s="236"/>
      <c r="M53" s="202">
        <f t="shared" ref="M53:M55" si="41">J53+K53-L53</f>
        <v>7.9145037599999982E-2</v>
      </c>
      <c r="N53" s="234">
        <f t="shared" ref="N53:N55" si="42">F53-J53</f>
        <v>0.52763358399999993</v>
      </c>
      <c r="O53" s="234">
        <f t="shared" ref="O53:O55" si="43">I53-M53</f>
        <v>0.44848854639999997</v>
      </c>
    </row>
    <row r="54" spans="2:15" ht="15">
      <c r="B54" s="230">
        <v>11</v>
      </c>
      <c r="C54" s="192" t="s">
        <v>134</v>
      </c>
      <c r="D54" s="232">
        <v>2100</v>
      </c>
      <c r="E54" s="233">
        <v>6.3299999999999995E-2</v>
      </c>
      <c r="F54" s="234">
        <f t="shared" si="29"/>
        <v>0.27434445000000002</v>
      </c>
      <c r="G54" s="82"/>
      <c r="H54" s="82"/>
      <c r="I54" s="234">
        <f t="shared" ref="I54:I55" si="44">F54+G54-H54</f>
        <v>0.27434445000000002</v>
      </c>
      <c r="J54" s="235"/>
      <c r="K54" s="201">
        <f t="shared" si="40"/>
        <v>1.7366003684999999E-2</v>
      </c>
      <c r="L54" s="236"/>
      <c r="M54" s="202">
        <f t="shared" si="41"/>
        <v>1.7366003684999999E-2</v>
      </c>
      <c r="N54" s="234">
        <f t="shared" si="42"/>
        <v>0.27434445000000002</v>
      </c>
      <c r="O54" s="234">
        <f t="shared" si="43"/>
        <v>0.256978446315</v>
      </c>
    </row>
    <row r="55" spans="2:15" ht="15">
      <c r="B55" s="230"/>
      <c r="C55" s="192" t="s">
        <v>496</v>
      </c>
      <c r="D55" s="232">
        <v>2200</v>
      </c>
      <c r="E55" s="85">
        <v>0</v>
      </c>
      <c r="F55" s="234">
        <f t="shared" si="29"/>
        <v>6.8999999999999999E-3</v>
      </c>
      <c r="G55" s="82"/>
      <c r="H55" s="237"/>
      <c r="I55" s="234">
        <f t="shared" si="44"/>
        <v>6.8999999999999999E-3</v>
      </c>
      <c r="J55" s="235"/>
      <c r="K55" s="201">
        <f t="shared" si="40"/>
        <v>0</v>
      </c>
      <c r="L55" s="236"/>
      <c r="M55" s="202">
        <f t="shared" si="41"/>
        <v>0</v>
      </c>
      <c r="N55" s="234">
        <f t="shared" si="42"/>
        <v>6.8999999999999999E-3</v>
      </c>
      <c r="O55" s="234">
        <f t="shared" si="43"/>
        <v>6.8999999999999999E-3</v>
      </c>
    </row>
    <row r="56" spans="2:15" ht="15.75" thickBot="1">
      <c r="B56" s="238"/>
      <c r="C56" s="239" t="s">
        <v>139</v>
      </c>
      <c r="D56" s="239"/>
      <c r="E56" s="240">
        <f>IFERROR((K56-L56)/AVERAGE(F56,I56),0)</f>
        <v>7.7554686224007116E-2</v>
      </c>
      <c r="F56" s="241">
        <f>I39</f>
        <v>127.079003509</v>
      </c>
      <c r="G56" s="241">
        <f t="shared" ref="G56:H56" si="45">SUM(G52:G55)</f>
        <v>0</v>
      </c>
      <c r="H56" s="241">
        <f t="shared" si="45"/>
        <v>0</v>
      </c>
      <c r="I56" s="241">
        <f>F56</f>
        <v>127.079003509</v>
      </c>
      <c r="J56" s="242">
        <f>M39</f>
        <v>104.51133790665</v>
      </c>
      <c r="K56" s="241">
        <v>9.8555722427999939</v>
      </c>
      <c r="L56" s="243"/>
      <c r="M56" s="242">
        <f>J56+K56</f>
        <v>114.36691014944999</v>
      </c>
      <c r="N56" s="241">
        <f>O39</f>
        <v>22.538043152349992</v>
      </c>
      <c r="O56" s="241">
        <f>N56-K56</f>
        <v>12.682470909549998</v>
      </c>
    </row>
  </sheetData>
  <mergeCells count="27">
    <mergeCell ref="D25:D26"/>
    <mergeCell ref="E25:E26"/>
    <mergeCell ref="F25:I25"/>
    <mergeCell ref="B41:O41"/>
    <mergeCell ref="B42:B43"/>
    <mergeCell ref="C42:C43"/>
    <mergeCell ref="D42:D43"/>
    <mergeCell ref="E42:E43"/>
    <mergeCell ref="F42:I42"/>
    <mergeCell ref="J42:M42"/>
    <mergeCell ref="N42:O42"/>
    <mergeCell ref="B2:O2"/>
    <mergeCell ref="B3:O3"/>
    <mergeCell ref="B4:O4"/>
    <mergeCell ref="B6:O6"/>
    <mergeCell ref="J25:M25"/>
    <mergeCell ref="N25:O25"/>
    <mergeCell ref="B24:O24"/>
    <mergeCell ref="B7:B8"/>
    <mergeCell ref="C7:C8"/>
    <mergeCell ref="D7:D8"/>
    <mergeCell ref="E7:E8"/>
    <mergeCell ref="F7:I7"/>
    <mergeCell ref="J7:M7"/>
    <mergeCell ref="N7:O7"/>
    <mergeCell ref="B25:B26"/>
    <mergeCell ref="C25:C26"/>
  </mergeCells>
  <pageMargins left="0.2" right="0.23622047244094491" top="0.6692913385826772" bottom="0.98425196850393704" header="0.47244094488188981" footer="0.23622047244094491"/>
  <pageSetup paperSize="9" scale="75" orientation="landscape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62"/>
  <sheetViews>
    <sheetView showGridLines="0" view="pageBreakPreview" zoomScale="90" zoomScaleNormal="80" zoomScaleSheetLayoutView="90" workbookViewId="0">
      <selection activeCell="I33" sqref="I33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7109375" style="5" bestFit="1" customWidth="1"/>
    <col min="6" max="6" width="13.5703125" style="5" bestFit="1" customWidth="1"/>
    <col min="7" max="7" width="13.7109375" style="5" bestFit="1" customWidth="1"/>
    <col min="8" max="8" width="12.5703125" style="5" customWidth="1"/>
    <col min="9" max="9" width="14" style="5" bestFit="1" customWidth="1"/>
    <col min="10" max="12" width="11.7109375" style="5" bestFit="1" customWidth="1"/>
    <col min="13" max="16384" width="9.28515625" style="5"/>
  </cols>
  <sheetData>
    <row r="1" spans="2:13" ht="15">
      <c r="B1" s="30"/>
    </row>
    <row r="2" spans="2:13" ht="15.75">
      <c r="B2" s="312" t="s">
        <v>522</v>
      </c>
      <c r="C2" s="312"/>
      <c r="D2" s="312"/>
      <c r="E2" s="312"/>
      <c r="F2" s="312"/>
      <c r="G2" s="312"/>
      <c r="H2" s="312"/>
      <c r="I2" s="312"/>
      <c r="J2" s="306"/>
      <c r="K2" s="306"/>
      <c r="L2" s="306"/>
      <c r="M2" s="306"/>
    </row>
    <row r="3" spans="2:13" ht="15.75">
      <c r="B3" s="312" t="s">
        <v>505</v>
      </c>
      <c r="C3" s="312"/>
      <c r="D3" s="312"/>
      <c r="E3" s="312"/>
      <c r="F3" s="312"/>
      <c r="G3" s="312"/>
      <c r="H3" s="312"/>
      <c r="I3" s="312"/>
      <c r="J3" s="306"/>
      <c r="K3" s="306"/>
      <c r="L3" s="306"/>
      <c r="M3" s="306"/>
    </row>
    <row r="4" spans="2:13" ht="15.75">
      <c r="B4" s="312" t="s">
        <v>540</v>
      </c>
      <c r="C4" s="312"/>
      <c r="D4" s="312"/>
      <c r="E4" s="312"/>
      <c r="F4" s="312"/>
      <c r="G4" s="312"/>
      <c r="H4" s="312"/>
      <c r="I4" s="312"/>
      <c r="J4" s="306"/>
      <c r="K4" s="306"/>
      <c r="L4" s="306"/>
      <c r="M4" s="306"/>
    </row>
    <row r="5" spans="2:13" ht="15">
      <c r="B5" s="39" t="s">
        <v>57</v>
      </c>
      <c r="C5" s="30" t="s">
        <v>303</v>
      </c>
      <c r="D5" s="31"/>
      <c r="E5" s="31"/>
      <c r="F5" s="31"/>
      <c r="G5" s="31"/>
      <c r="H5" s="31"/>
      <c r="I5" s="31"/>
    </row>
    <row r="7" spans="2:13" s="19" customFormat="1" ht="15" customHeight="1">
      <c r="B7" s="297" t="s">
        <v>210</v>
      </c>
      <c r="C7" s="20" t="s">
        <v>18</v>
      </c>
      <c r="D7" s="300" t="s">
        <v>506</v>
      </c>
      <c r="E7" s="301"/>
      <c r="F7" s="198"/>
      <c r="G7" s="300" t="s">
        <v>507</v>
      </c>
      <c r="H7" s="301"/>
      <c r="I7" s="29" t="s">
        <v>252</v>
      </c>
    </row>
    <row r="8" spans="2:13" s="19" customFormat="1" ht="30">
      <c r="B8" s="298"/>
      <c r="C8" s="20"/>
      <c r="D8" s="21" t="s">
        <v>391</v>
      </c>
      <c r="E8" s="21" t="s">
        <v>268</v>
      </c>
      <c r="F8" s="21" t="s">
        <v>226</v>
      </c>
      <c r="G8" s="21" t="s">
        <v>391</v>
      </c>
      <c r="H8" s="21" t="s">
        <v>267</v>
      </c>
      <c r="I8" s="21" t="s">
        <v>480</v>
      </c>
    </row>
    <row r="9" spans="2:13" s="19" customFormat="1" ht="15">
      <c r="B9" s="299"/>
      <c r="C9" s="26"/>
      <c r="D9" s="21" t="s">
        <v>10</v>
      </c>
      <c r="E9" s="21" t="s">
        <v>12</v>
      </c>
      <c r="F9" s="21" t="s">
        <v>257</v>
      </c>
      <c r="G9" s="21" t="s">
        <v>10</v>
      </c>
      <c r="H9" s="21" t="s">
        <v>5</v>
      </c>
      <c r="I9" s="21" t="s">
        <v>8</v>
      </c>
    </row>
    <row r="10" spans="2:13">
      <c r="B10" s="66">
        <v>1</v>
      </c>
      <c r="C10" s="33" t="s">
        <v>188</v>
      </c>
      <c r="D10" s="161">
        <f>'F4'!F21*70%</f>
        <v>88.929190711899992</v>
      </c>
      <c r="E10" s="160">
        <f>D10</f>
        <v>88.929190711899992</v>
      </c>
      <c r="F10" s="160">
        <f>E10</f>
        <v>88.929190711899992</v>
      </c>
      <c r="G10" s="135"/>
      <c r="H10" s="135">
        <f>'F4'!F39*70%</f>
        <v>88.929190711899992</v>
      </c>
      <c r="I10" s="135">
        <v>1593.2117071758994</v>
      </c>
    </row>
    <row r="11" spans="2:13">
      <c r="B11" s="26">
        <f>B10+1</f>
        <v>2</v>
      </c>
      <c r="C11" s="33" t="s">
        <v>189</v>
      </c>
      <c r="D11" s="161">
        <f>'F4'!J21</f>
        <v>84.866572449000003</v>
      </c>
      <c r="E11" s="160">
        <f>D11</f>
        <v>84.866572449000003</v>
      </c>
      <c r="F11" s="160">
        <f>E11</f>
        <v>84.866572449000003</v>
      </c>
      <c r="G11" s="135"/>
      <c r="H11" s="135">
        <f>'F4'!J39</f>
        <v>94.688572449000006</v>
      </c>
      <c r="I11" s="135">
        <v>1896.6411917468899</v>
      </c>
    </row>
    <row r="12" spans="2:13" ht="15">
      <c r="B12" s="26">
        <f t="shared" ref="B12:B22" si="0">B11+1</f>
        <v>3</v>
      </c>
      <c r="C12" s="35" t="s">
        <v>190</v>
      </c>
      <c r="D12" s="141">
        <f>D10-D11</f>
        <v>4.0626182628999885</v>
      </c>
      <c r="E12" s="141">
        <f t="shared" ref="E12:H12" si="1">E10-E11</f>
        <v>4.0626182628999885</v>
      </c>
      <c r="F12" s="141">
        <f t="shared" si="1"/>
        <v>4.0626182628999885</v>
      </c>
      <c r="G12" s="141">
        <f>G10-G11</f>
        <v>0</v>
      </c>
      <c r="H12" s="141">
        <f t="shared" si="1"/>
        <v>-5.7593817371000142</v>
      </c>
      <c r="I12" s="141">
        <f>I10-I11</f>
        <v>-303.42948457099055</v>
      </c>
    </row>
    <row r="13" spans="2:13" ht="28.5">
      <c r="B13" s="26">
        <f t="shared" si="0"/>
        <v>4</v>
      </c>
      <c r="C13" s="89" t="s">
        <v>191</v>
      </c>
      <c r="D13" s="158"/>
      <c r="E13" s="158"/>
      <c r="F13" s="158"/>
      <c r="G13" s="158"/>
      <c r="H13" s="158"/>
      <c r="I13" s="158"/>
    </row>
    <row r="14" spans="2:13" s="38" customFormat="1" ht="28.5">
      <c r="B14" s="26">
        <f t="shared" si="0"/>
        <v>5</v>
      </c>
      <c r="C14" s="43" t="s">
        <v>429</v>
      </c>
      <c r="D14" s="158"/>
      <c r="E14" s="167">
        <f>F3.1!H11*75%</f>
        <v>0</v>
      </c>
      <c r="F14" s="167">
        <f>E14</f>
        <v>0</v>
      </c>
      <c r="G14" s="173"/>
      <c r="H14" s="173">
        <f>F3.1!H17*70%</f>
        <v>2.7999999999999997E-2</v>
      </c>
      <c r="I14" s="173">
        <f>F3.1!H23*70%</f>
        <v>0</v>
      </c>
    </row>
    <row r="15" spans="2:13">
      <c r="B15" s="26">
        <f t="shared" si="0"/>
        <v>6</v>
      </c>
      <c r="C15" s="89" t="s">
        <v>196</v>
      </c>
      <c r="D15" s="176">
        <f>'F1'!F12</f>
        <v>10.11</v>
      </c>
      <c r="E15" s="176">
        <f>'F1'!G12</f>
        <v>9.8220000000000027</v>
      </c>
      <c r="F15" s="176">
        <f>'F1'!H12</f>
        <v>9.8220000000000027</v>
      </c>
      <c r="G15" s="176">
        <f>'F1'!I12</f>
        <v>10.11</v>
      </c>
      <c r="H15" s="176">
        <f>'F1'!J12</f>
        <v>9.822765457649993</v>
      </c>
      <c r="I15" s="176">
        <f>'F1'!K12</f>
        <v>9.8555722427999939</v>
      </c>
    </row>
    <row r="16" spans="2:13" ht="15">
      <c r="B16" s="26">
        <f t="shared" si="0"/>
        <v>7</v>
      </c>
      <c r="C16" s="33" t="s">
        <v>192</v>
      </c>
      <c r="D16" s="141">
        <v>0</v>
      </c>
      <c r="E16" s="141">
        <v>0</v>
      </c>
      <c r="F16" s="141">
        <v>0</v>
      </c>
      <c r="G16" s="141">
        <f t="shared" ref="G16:I16" si="2">G12-G13+G14-G15</f>
        <v>-10.11</v>
      </c>
      <c r="H16" s="141">
        <f t="shared" si="2"/>
        <v>-15.554147194750009</v>
      </c>
      <c r="I16" s="141">
        <f t="shared" si="2"/>
        <v>-313.28505681379056</v>
      </c>
    </row>
    <row r="17" spans="2:9" ht="15">
      <c r="B17" s="26">
        <f t="shared" si="0"/>
        <v>8</v>
      </c>
      <c r="C17" s="33" t="s">
        <v>193</v>
      </c>
      <c r="D17" s="141">
        <f>D10-D13+D14-D15</f>
        <v>78.819190711899992</v>
      </c>
      <c r="E17" s="141">
        <f t="shared" ref="E17:I17" si="3">E10-E13+E14-E15</f>
        <v>79.107190711899989</v>
      </c>
      <c r="F17" s="141">
        <f t="shared" si="3"/>
        <v>79.107190711899989</v>
      </c>
      <c r="G17" s="141">
        <f t="shared" si="3"/>
        <v>-10.11</v>
      </c>
      <c r="H17" s="141">
        <f t="shared" si="3"/>
        <v>79.134425254250004</v>
      </c>
      <c r="I17" s="141">
        <f t="shared" si="3"/>
        <v>1583.3561349330994</v>
      </c>
    </row>
    <row r="18" spans="2:9" ht="15">
      <c r="B18" s="26">
        <f t="shared" si="0"/>
        <v>9</v>
      </c>
      <c r="C18" s="33" t="s">
        <v>232</v>
      </c>
      <c r="D18" s="141">
        <f>AVERAGE(D12,D16)</f>
        <v>2.0313091314499943</v>
      </c>
      <c r="E18" s="141">
        <f t="shared" ref="E18:I18" si="4">AVERAGE(E12,E16)</f>
        <v>2.0313091314499943</v>
      </c>
      <c r="F18" s="141">
        <f t="shared" si="4"/>
        <v>2.0313091314499943</v>
      </c>
      <c r="G18" s="141">
        <f t="shared" si="4"/>
        <v>-5.0549999999999997</v>
      </c>
      <c r="H18" s="141">
        <f t="shared" si="4"/>
        <v>-10.656764465925011</v>
      </c>
      <c r="I18" s="141">
        <f t="shared" si="4"/>
        <v>-308.35727069239056</v>
      </c>
    </row>
    <row r="19" spans="2:9">
      <c r="B19" s="26">
        <f t="shared" si="0"/>
        <v>10</v>
      </c>
      <c r="C19" s="89" t="s">
        <v>231</v>
      </c>
      <c r="D19" s="156"/>
      <c r="E19" s="156">
        <v>9.9699999999999997E-2</v>
      </c>
      <c r="F19" s="156">
        <f>E19</f>
        <v>9.9699999999999997E-2</v>
      </c>
      <c r="G19" s="156">
        <v>9.9500000000000005E-2</v>
      </c>
      <c r="H19" s="156">
        <f t="shared" ref="H19" si="5">G19</f>
        <v>9.9500000000000005E-2</v>
      </c>
      <c r="I19" s="156">
        <f t="shared" ref="I19" si="6">H19</f>
        <v>9.9500000000000005E-2</v>
      </c>
    </row>
    <row r="20" spans="2:9" ht="15">
      <c r="B20" s="26">
        <f t="shared" si="0"/>
        <v>11</v>
      </c>
      <c r="C20" s="33" t="s">
        <v>304</v>
      </c>
      <c r="D20" s="141">
        <f>D18*D19</f>
        <v>0</v>
      </c>
      <c r="E20" s="141">
        <f>E18*E19</f>
        <v>0.20252152040556443</v>
      </c>
      <c r="F20" s="141">
        <f t="shared" ref="F20" si="7">F18*F19</f>
        <v>0.20252152040556443</v>
      </c>
      <c r="G20" s="156">
        <f t="shared" ref="G20" si="8">F20</f>
        <v>0.20252152040556443</v>
      </c>
      <c r="H20" s="141"/>
      <c r="I20" s="141"/>
    </row>
    <row r="21" spans="2:9">
      <c r="B21" s="26">
        <f t="shared" si="0"/>
        <v>12</v>
      </c>
      <c r="C21" s="33" t="s">
        <v>307</v>
      </c>
      <c r="D21" s="90"/>
      <c r="E21" s="90"/>
      <c r="F21" s="90"/>
      <c r="G21" s="90"/>
      <c r="H21" s="90"/>
      <c r="I21" s="90"/>
    </row>
    <row r="22" spans="2:9" ht="15">
      <c r="B22" s="26">
        <f t="shared" si="0"/>
        <v>13</v>
      </c>
      <c r="C22" s="33" t="s">
        <v>308</v>
      </c>
      <c r="D22" s="141">
        <f>D20+D21</f>
        <v>0</v>
      </c>
      <c r="E22" s="141">
        <f t="shared" ref="E22:G22" si="9">E20+E21</f>
        <v>0.20252152040556443</v>
      </c>
      <c r="F22" s="141">
        <f t="shared" si="9"/>
        <v>0.20252152040556443</v>
      </c>
      <c r="G22" s="141">
        <f t="shared" si="9"/>
        <v>0.20252152040556443</v>
      </c>
      <c r="H22" s="141">
        <v>0</v>
      </c>
      <c r="I22" s="141">
        <v>0</v>
      </c>
    </row>
    <row r="23" spans="2:9">
      <c r="B23" s="40"/>
    </row>
    <row r="24" spans="2:9">
      <c r="B24" s="40"/>
      <c r="C24" s="5" t="s">
        <v>270</v>
      </c>
    </row>
    <row r="25" spans="2:9">
      <c r="C25" s="5" t="s">
        <v>430</v>
      </c>
    </row>
    <row r="27" spans="2:9" ht="15">
      <c r="B27" s="39" t="s">
        <v>62</v>
      </c>
      <c r="C27" s="30" t="s">
        <v>305</v>
      </c>
    </row>
    <row r="29" spans="2:9" ht="15" customHeight="1">
      <c r="B29" s="297" t="s">
        <v>210</v>
      </c>
      <c r="C29" s="20" t="s">
        <v>18</v>
      </c>
      <c r="D29" s="300" t="s">
        <v>255</v>
      </c>
      <c r="E29" s="300" t="s">
        <v>254</v>
      </c>
      <c r="F29" s="302" t="s">
        <v>252</v>
      </c>
    </row>
    <row r="30" spans="2:9" ht="15">
      <c r="B30" s="298"/>
      <c r="C30" s="20"/>
      <c r="D30" s="21" t="s">
        <v>268</v>
      </c>
      <c r="E30" s="21" t="s">
        <v>267</v>
      </c>
      <c r="F30" s="21" t="s">
        <v>253</v>
      </c>
    </row>
    <row r="31" spans="2:9" ht="15">
      <c r="B31" s="299"/>
      <c r="C31" s="26"/>
      <c r="D31" s="21" t="s">
        <v>12</v>
      </c>
      <c r="E31" s="21" t="s">
        <v>5</v>
      </c>
      <c r="F31" s="21" t="s">
        <v>8</v>
      </c>
    </row>
    <row r="32" spans="2:9" ht="15">
      <c r="B32" s="26">
        <v>1</v>
      </c>
      <c r="C32" s="44" t="s">
        <v>209</v>
      </c>
      <c r="D32" s="33"/>
      <c r="E32" s="33"/>
      <c r="F32" s="33"/>
    </row>
    <row r="33" spans="2:6">
      <c r="B33" s="33"/>
      <c r="C33" s="33" t="s">
        <v>13</v>
      </c>
      <c r="D33" s="33"/>
      <c r="E33" s="33"/>
      <c r="F33" s="33"/>
    </row>
    <row r="34" spans="2:6">
      <c r="B34" s="33"/>
      <c r="C34" s="33" t="s">
        <v>177</v>
      </c>
      <c r="D34" s="33"/>
      <c r="E34" s="33"/>
      <c r="F34" s="33"/>
    </row>
    <row r="35" spans="2:6">
      <c r="B35" s="33"/>
      <c r="C35" s="33" t="s">
        <v>14</v>
      </c>
      <c r="D35" s="33"/>
      <c r="E35" s="33"/>
      <c r="F35" s="33"/>
    </row>
    <row r="36" spans="2:6" ht="15">
      <c r="B36" s="33"/>
      <c r="C36" s="33" t="s">
        <v>15</v>
      </c>
      <c r="D36" s="139">
        <f>D33+D34-D35</f>
        <v>0</v>
      </c>
      <c r="E36" s="139">
        <f t="shared" ref="E36:F36" si="10">E33+E34-E35</f>
        <v>0</v>
      </c>
      <c r="F36" s="139">
        <f t="shared" si="10"/>
        <v>0</v>
      </c>
    </row>
    <row r="37" spans="2:6" ht="15">
      <c r="B37" s="33"/>
      <c r="C37" s="33" t="s">
        <v>233</v>
      </c>
      <c r="D37" s="139">
        <f>AVERAGE(D33,D36)</f>
        <v>0</v>
      </c>
      <c r="E37" s="139">
        <f t="shared" ref="E37:F37" si="11">AVERAGE(E33,E36)</f>
        <v>0</v>
      </c>
      <c r="F37" s="139">
        <f t="shared" si="11"/>
        <v>0</v>
      </c>
    </row>
    <row r="38" spans="2:6">
      <c r="B38" s="33"/>
      <c r="C38" s="33" t="s">
        <v>16</v>
      </c>
      <c r="D38" s="159"/>
      <c r="E38" s="159"/>
      <c r="F38" s="159"/>
    </row>
    <row r="39" spans="2:6" ht="15">
      <c r="B39" s="33"/>
      <c r="C39" s="33" t="s">
        <v>304</v>
      </c>
      <c r="D39" s="139">
        <f>D37*D38</f>
        <v>0</v>
      </c>
      <c r="E39" s="139">
        <f t="shared" ref="E39:F39" si="12">E37*E38</f>
        <v>0</v>
      </c>
      <c r="F39" s="139">
        <f t="shared" si="12"/>
        <v>0</v>
      </c>
    </row>
    <row r="40" spans="2:6">
      <c r="B40" s="33"/>
      <c r="C40" s="33" t="s">
        <v>307</v>
      </c>
      <c r="D40" s="160"/>
      <c r="E40" s="160"/>
      <c r="F40" s="160"/>
    </row>
    <row r="41" spans="2:6" ht="15">
      <c r="B41" s="33"/>
      <c r="C41" s="33" t="s">
        <v>308</v>
      </c>
      <c r="D41" s="139">
        <f>D39+D40</f>
        <v>0</v>
      </c>
      <c r="E41" s="139">
        <f t="shared" ref="E41:F41" si="13">E39+E40</f>
        <v>0</v>
      </c>
      <c r="F41" s="139">
        <f t="shared" si="13"/>
        <v>0</v>
      </c>
    </row>
    <row r="42" spans="2:6" ht="15">
      <c r="B42" s="26">
        <v>2</v>
      </c>
      <c r="C42" s="44" t="s">
        <v>208</v>
      </c>
      <c r="D42" s="160"/>
      <c r="E42" s="160"/>
      <c r="F42" s="160"/>
    </row>
    <row r="43" spans="2:6">
      <c r="B43" s="33"/>
      <c r="C43" s="33" t="s">
        <v>13</v>
      </c>
      <c r="D43" s="160"/>
      <c r="E43" s="160"/>
      <c r="F43" s="160"/>
    </row>
    <row r="44" spans="2:6">
      <c r="B44" s="33"/>
      <c r="C44" s="33" t="s">
        <v>177</v>
      </c>
      <c r="D44" s="160"/>
      <c r="E44" s="160"/>
      <c r="F44" s="160"/>
    </row>
    <row r="45" spans="2:6">
      <c r="B45" s="33"/>
      <c r="C45" s="33" t="s">
        <v>14</v>
      </c>
      <c r="D45" s="160"/>
      <c r="E45" s="160"/>
      <c r="F45" s="160"/>
    </row>
    <row r="46" spans="2:6" ht="15">
      <c r="B46" s="33"/>
      <c r="C46" s="33" t="s">
        <v>15</v>
      </c>
      <c r="D46" s="139">
        <f>D43+D44-D45</f>
        <v>0</v>
      </c>
      <c r="E46" s="139">
        <f t="shared" ref="E46:F46" si="14">E43+E44-E45</f>
        <v>0</v>
      </c>
      <c r="F46" s="139">
        <f t="shared" si="14"/>
        <v>0</v>
      </c>
    </row>
    <row r="47" spans="2:6" ht="15">
      <c r="B47" s="33"/>
      <c r="C47" s="33" t="s">
        <v>233</v>
      </c>
      <c r="D47" s="139">
        <f>AVERAGE(D43,D46)</f>
        <v>0</v>
      </c>
      <c r="E47" s="139">
        <f t="shared" ref="E47:F47" si="15">AVERAGE(E43,E46)</f>
        <v>0</v>
      </c>
      <c r="F47" s="139">
        <f t="shared" si="15"/>
        <v>0</v>
      </c>
    </row>
    <row r="48" spans="2:6">
      <c r="B48" s="33"/>
      <c r="C48" s="33" t="s">
        <v>16</v>
      </c>
      <c r="D48" s="159"/>
      <c r="E48" s="159"/>
      <c r="F48" s="159"/>
    </row>
    <row r="49" spans="2:6" ht="15">
      <c r="B49" s="33"/>
      <c r="C49" s="33" t="s">
        <v>304</v>
      </c>
      <c r="D49" s="139">
        <f>D47*D48</f>
        <v>0</v>
      </c>
      <c r="E49" s="139">
        <f t="shared" ref="E49:F49" si="16">E47*E48</f>
        <v>0</v>
      </c>
      <c r="F49" s="139">
        <f t="shared" si="16"/>
        <v>0</v>
      </c>
    </row>
    <row r="50" spans="2:6">
      <c r="B50" s="33"/>
      <c r="C50" s="33" t="s">
        <v>307</v>
      </c>
      <c r="D50" s="160"/>
      <c r="E50" s="160"/>
      <c r="F50" s="160"/>
    </row>
    <row r="51" spans="2:6" ht="15">
      <c r="B51" s="33"/>
      <c r="C51" s="33" t="s">
        <v>308</v>
      </c>
      <c r="D51" s="139">
        <f>D49+D50</f>
        <v>0</v>
      </c>
      <c r="E51" s="139">
        <f t="shared" ref="E51:F51" si="17">E49+E50</f>
        <v>0</v>
      </c>
      <c r="F51" s="139">
        <f t="shared" si="17"/>
        <v>0</v>
      </c>
    </row>
    <row r="52" spans="2:6">
      <c r="B52" s="33"/>
      <c r="C52" s="33" t="s">
        <v>306</v>
      </c>
      <c r="D52" s="160"/>
      <c r="E52" s="160"/>
      <c r="F52" s="160"/>
    </row>
    <row r="53" spans="2:6" ht="15">
      <c r="B53" s="26"/>
      <c r="C53" s="44" t="s">
        <v>139</v>
      </c>
      <c r="D53" s="160"/>
      <c r="E53" s="160"/>
      <c r="F53" s="160"/>
    </row>
    <row r="54" spans="2:6" ht="15">
      <c r="B54" s="33"/>
      <c r="C54" s="33" t="s">
        <v>13</v>
      </c>
      <c r="D54" s="139">
        <f>D33+D43</f>
        <v>0</v>
      </c>
      <c r="E54" s="139">
        <f t="shared" ref="E54:F56" si="18">E33+E43</f>
        <v>0</v>
      </c>
      <c r="F54" s="139">
        <f t="shared" si="18"/>
        <v>0</v>
      </c>
    </row>
    <row r="55" spans="2:6" ht="15">
      <c r="B55" s="33"/>
      <c r="C55" s="33" t="s">
        <v>177</v>
      </c>
      <c r="D55" s="139">
        <f>D34+D44</f>
        <v>0</v>
      </c>
      <c r="E55" s="139">
        <f t="shared" si="18"/>
        <v>0</v>
      </c>
      <c r="F55" s="139">
        <f t="shared" si="18"/>
        <v>0</v>
      </c>
    </row>
    <row r="56" spans="2:6" ht="15">
      <c r="B56" s="33"/>
      <c r="C56" s="33" t="s">
        <v>14</v>
      </c>
      <c r="D56" s="139">
        <f>D35+D45</f>
        <v>0</v>
      </c>
      <c r="E56" s="139">
        <f t="shared" si="18"/>
        <v>0</v>
      </c>
      <c r="F56" s="139">
        <f t="shared" si="18"/>
        <v>0</v>
      </c>
    </row>
    <row r="57" spans="2:6" ht="15">
      <c r="B57" s="33"/>
      <c r="C57" s="33" t="s">
        <v>15</v>
      </c>
      <c r="D57" s="139">
        <f>D54+D55-D56</f>
        <v>0</v>
      </c>
      <c r="E57" s="139">
        <f t="shared" ref="E57:F57" si="19">E54+E55-E56</f>
        <v>0</v>
      </c>
      <c r="F57" s="139">
        <f t="shared" si="19"/>
        <v>0</v>
      </c>
    </row>
    <row r="58" spans="2:6" ht="15">
      <c r="B58" s="33"/>
      <c r="C58" s="33" t="s">
        <v>233</v>
      </c>
      <c r="D58" s="139">
        <f>AVERAGE(D54,D57)</f>
        <v>0</v>
      </c>
      <c r="E58" s="139">
        <f t="shared" ref="E58:F58" si="20">AVERAGE(E54,E57)</f>
        <v>0</v>
      </c>
      <c r="F58" s="139">
        <f t="shared" si="20"/>
        <v>0</v>
      </c>
    </row>
    <row r="59" spans="2:6" ht="15">
      <c r="B59" s="33"/>
      <c r="C59" s="33" t="s">
        <v>16</v>
      </c>
      <c r="D59" s="177">
        <f>IFERROR(D60/D58,0)</f>
        <v>0</v>
      </c>
      <c r="E59" s="177">
        <f t="shared" ref="E59:F59" si="21">IFERROR(E60/E58,0)</f>
        <v>0</v>
      </c>
      <c r="F59" s="177">
        <f t="shared" si="21"/>
        <v>0</v>
      </c>
    </row>
    <row r="60" spans="2:6" ht="15">
      <c r="B60" s="33"/>
      <c r="C60" s="33" t="s">
        <v>304</v>
      </c>
      <c r="D60" s="139">
        <f>D39+D49</f>
        <v>0</v>
      </c>
      <c r="E60" s="139">
        <f t="shared" ref="E60:F61" si="22">E39+E49</f>
        <v>0</v>
      </c>
      <c r="F60" s="139">
        <f t="shared" si="22"/>
        <v>0</v>
      </c>
    </row>
    <row r="61" spans="2:6" ht="15">
      <c r="B61" s="33"/>
      <c r="C61" s="33" t="s">
        <v>307</v>
      </c>
      <c r="D61" s="139">
        <f>D40+D50</f>
        <v>0</v>
      </c>
      <c r="E61" s="139">
        <f t="shared" si="22"/>
        <v>0</v>
      </c>
      <c r="F61" s="139">
        <f t="shared" si="22"/>
        <v>0</v>
      </c>
    </row>
    <row r="62" spans="2:6" ht="15">
      <c r="B62" s="33"/>
      <c r="C62" s="33" t="s">
        <v>308</v>
      </c>
      <c r="D62" s="139">
        <f>D60+D61</f>
        <v>0</v>
      </c>
      <c r="E62" s="139">
        <f t="shared" ref="E62:F62" si="23">E60+E61</f>
        <v>0</v>
      </c>
      <c r="F62" s="139">
        <f t="shared" si="23"/>
        <v>0</v>
      </c>
    </row>
  </sheetData>
  <mergeCells count="3">
    <mergeCell ref="B2:I2"/>
    <mergeCell ref="B3:I3"/>
    <mergeCell ref="B4:I4"/>
  </mergeCells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3"/>
  <sheetViews>
    <sheetView showGridLines="0" topLeftCell="A3" zoomScale="80" zoomScaleNormal="80" zoomScaleSheetLayoutView="90" workbookViewId="0">
      <selection activeCell="G36" sqref="G36"/>
    </sheetView>
  </sheetViews>
  <sheetFormatPr defaultColWidth="9.28515625" defaultRowHeight="15"/>
  <cols>
    <col min="1" max="1" width="4.28515625" style="246" customWidth="1"/>
    <col min="2" max="2" width="6.28515625" style="246" customWidth="1"/>
    <col min="3" max="3" width="35.5703125" style="246" customWidth="1"/>
    <col min="4" max="7" width="14" style="246" bestFit="1" customWidth="1"/>
    <col min="8" max="8" width="12.5703125" style="246" customWidth="1"/>
    <col min="9" max="9" width="14.85546875" style="246" bestFit="1" customWidth="1"/>
    <col min="10" max="12" width="11.7109375" style="246" bestFit="1" customWidth="1"/>
    <col min="13" max="16384" width="9.28515625" style="246"/>
  </cols>
  <sheetData>
    <row r="1" spans="2:12" ht="15.75">
      <c r="B1" s="245"/>
    </row>
    <row r="4" spans="2:12" ht="15.75">
      <c r="B4" s="312" t="s">
        <v>522</v>
      </c>
      <c r="C4" s="312"/>
      <c r="D4" s="312"/>
      <c r="E4" s="312"/>
      <c r="F4" s="312"/>
      <c r="G4" s="312"/>
      <c r="H4" s="312"/>
      <c r="I4" s="312"/>
      <c r="J4" s="306"/>
      <c r="K4" s="306"/>
      <c r="L4" s="306"/>
    </row>
    <row r="5" spans="2:12" ht="15.75">
      <c r="B5" s="312" t="s">
        <v>505</v>
      </c>
      <c r="C5" s="312"/>
      <c r="D5" s="312"/>
      <c r="E5" s="312"/>
      <c r="F5" s="312"/>
      <c r="G5" s="312"/>
      <c r="H5" s="312"/>
      <c r="I5" s="312"/>
      <c r="J5" s="306"/>
      <c r="K5" s="306"/>
      <c r="L5" s="306"/>
    </row>
    <row r="6" spans="2:12" ht="15.75">
      <c r="B6" s="367" t="s">
        <v>541</v>
      </c>
      <c r="C6" s="367"/>
      <c r="D6" s="367"/>
      <c r="E6" s="367"/>
      <c r="F6" s="367"/>
      <c r="G6" s="367"/>
      <c r="H6" s="367"/>
      <c r="I6" s="367"/>
      <c r="J6" s="307"/>
      <c r="K6" s="307"/>
      <c r="L6" s="307"/>
    </row>
    <row r="7" spans="2:12" s="6" customFormat="1" ht="15" customHeight="1">
      <c r="B7" s="359" t="s">
        <v>210</v>
      </c>
      <c r="C7" s="362" t="s">
        <v>18</v>
      </c>
      <c r="D7" s="364" t="s">
        <v>478</v>
      </c>
      <c r="E7" s="365"/>
      <c r="F7" s="366"/>
      <c r="G7" s="364" t="s">
        <v>479</v>
      </c>
      <c r="H7" s="365"/>
      <c r="I7" s="303" t="s">
        <v>252</v>
      </c>
    </row>
    <row r="8" spans="2:12" s="6" customFormat="1" ht="47.25">
      <c r="B8" s="360"/>
      <c r="C8" s="362"/>
      <c r="D8" s="206" t="s">
        <v>391</v>
      </c>
      <c r="E8" s="206" t="s">
        <v>268</v>
      </c>
      <c r="F8" s="206" t="s">
        <v>226</v>
      </c>
      <c r="G8" s="206" t="s">
        <v>391</v>
      </c>
      <c r="H8" s="206" t="s">
        <v>267</v>
      </c>
      <c r="I8" s="206" t="s">
        <v>480</v>
      </c>
    </row>
    <row r="9" spans="2:12" s="6" customFormat="1" ht="15.75">
      <c r="B9" s="361"/>
      <c r="C9" s="363"/>
      <c r="D9" s="206" t="s">
        <v>10</v>
      </c>
      <c r="E9" s="206" t="s">
        <v>12</v>
      </c>
      <c r="F9" s="206" t="s">
        <v>257</v>
      </c>
      <c r="G9" s="206" t="s">
        <v>10</v>
      </c>
      <c r="H9" s="206" t="s">
        <v>5</v>
      </c>
      <c r="I9" s="206" t="s">
        <v>8</v>
      </c>
    </row>
    <row r="10" spans="2:12">
      <c r="B10" s="247">
        <v>1</v>
      </c>
      <c r="C10" s="248" t="s">
        <v>309</v>
      </c>
      <c r="D10" s="287">
        <f>'F10'!E23*'F12'!E17*30/365/10</f>
        <v>7.8573370941976934</v>
      </c>
      <c r="E10" s="287">
        <f>'F10'!F23*'F12'!F17*30/365/10</f>
        <v>7.5212860386304872</v>
      </c>
      <c r="F10" s="287">
        <f>'F10'!G23*'F12'!G17*30/365/10</f>
        <v>7.5212860386304872</v>
      </c>
      <c r="G10" s="287">
        <f>'F10'!H23*'F12'!I17*30/365/10</f>
        <v>9.320922940755402</v>
      </c>
      <c r="H10" s="287">
        <f>'F10'!I23*'F12'!I17*30/365/10</f>
        <v>9.320922940755402</v>
      </c>
      <c r="I10" s="288">
        <f>62.5*24*0.85*(1-0.1)*20*'F12'!J17/10000</f>
        <v>10.532634976796174</v>
      </c>
    </row>
    <row r="11" spans="2:12">
      <c r="B11" s="249">
        <f>B10+1</f>
        <v>2</v>
      </c>
      <c r="C11" s="248" t="s">
        <v>310</v>
      </c>
      <c r="D11" s="287">
        <f>'F10'!E23*'F12'!E17*30/365/10</f>
        <v>7.8573370941976934</v>
      </c>
      <c r="E11" s="254">
        <f>'F10'!F23*'F12'!F17*30/365/10</f>
        <v>7.5212860386304872</v>
      </c>
      <c r="F11" s="254">
        <f>'F10'!G23*'F12'!G17*30/365/10</f>
        <v>7.5212860386304872</v>
      </c>
      <c r="G11" s="288">
        <f>G10</f>
        <v>9.320922940755402</v>
      </c>
      <c r="H11" s="288">
        <f>H10</f>
        <v>9.320922940755402</v>
      </c>
      <c r="I11" s="288">
        <f>62.5*24*0.85*(1-0.1)*30*'F12'!J17/10000</f>
        <v>15.798952465194263</v>
      </c>
    </row>
    <row r="12" spans="2:12">
      <c r="B12" s="249">
        <f t="shared" ref="B12:B20" si="0">B11+1</f>
        <v>3</v>
      </c>
      <c r="C12" s="250" t="s">
        <v>311</v>
      </c>
      <c r="D12" s="254">
        <f>'F10'!E23*'F12'!E18*2/12/10</f>
        <v>0.9080062509426392</v>
      </c>
      <c r="E12" s="254">
        <f>'F10'!F23*'F12'!F18*2/12/10</f>
        <v>1.6625754995816873</v>
      </c>
      <c r="F12" s="254">
        <f>'F10'!G23*'F12'!G18*2/12/10</f>
        <v>1.6625754995816873</v>
      </c>
      <c r="G12" s="254">
        <f>'F10'!H23*'F12'!H18*2/12/10</f>
        <v>0.67750109202460884</v>
      </c>
      <c r="H12" s="254">
        <f>'F10'!I23*'F12'!I18*2/12/10</f>
        <v>1.5344517678356537</v>
      </c>
      <c r="I12" s="288">
        <f>62.5*24*0.85*(1-0.1)*365*'F12'!J18/10000/12</f>
        <v>0.15605317372236777</v>
      </c>
    </row>
    <row r="13" spans="2:12">
      <c r="B13" s="249">
        <f t="shared" si="0"/>
        <v>4</v>
      </c>
      <c r="C13" s="251" t="s">
        <v>312</v>
      </c>
      <c r="D13" s="289">
        <f>'F1'!F11/12</f>
        <v>7.5388500000000001</v>
      </c>
      <c r="E13" s="289">
        <f>'F1'!G11/12</f>
        <v>7.8533278968321953</v>
      </c>
      <c r="F13" s="289">
        <f>'F1'!H11/12</f>
        <v>7.8533278968321953</v>
      </c>
      <c r="G13" s="289">
        <f>'F1'!I11/12</f>
        <v>7.8130799999999994</v>
      </c>
      <c r="H13" s="289">
        <f>'F1'!J11/12</f>
        <v>8.3551120900306302</v>
      </c>
      <c r="I13" s="289">
        <f>'F1'!K11/12</f>
        <v>9.1557660773398624</v>
      </c>
    </row>
    <row r="14" spans="2:12" s="253" customFormat="1" ht="15.75">
      <c r="B14" s="249">
        <f t="shared" si="0"/>
        <v>5</v>
      </c>
      <c r="C14" s="252" t="s">
        <v>313</v>
      </c>
      <c r="D14" s="289">
        <f>'F1'!F11*20%</f>
        <v>18.093240000000002</v>
      </c>
      <c r="E14" s="289">
        <f>'F1'!G11*20%</f>
        <v>18.847986952397271</v>
      </c>
      <c r="F14" s="289">
        <f>'F1'!H11*20%</f>
        <v>18.847986952397271</v>
      </c>
      <c r="G14" s="289">
        <f>'F1'!I11*20%</f>
        <v>18.751391999999999</v>
      </c>
      <c r="H14" s="289">
        <f>'F1'!J11*20%</f>
        <v>20.052269016073513</v>
      </c>
      <c r="I14" s="289">
        <f>'F4'!F56*1%</f>
        <v>1.2707900350900001</v>
      </c>
    </row>
    <row r="15" spans="2:12">
      <c r="B15" s="249">
        <f t="shared" si="0"/>
        <v>6</v>
      </c>
      <c r="C15" s="251" t="s">
        <v>514</v>
      </c>
      <c r="D15" s="289">
        <f>'F1'!F22*2/12</f>
        <v>35.876973136399073</v>
      </c>
      <c r="E15" s="289">
        <f ca="1">('F1'!G22+'F1'!G16)*2/12</f>
        <v>36.736663750399742</v>
      </c>
      <c r="F15" s="289">
        <f ca="1">('F1'!H22+'F1'!H16)*2/12</f>
        <v>36.736663750399742</v>
      </c>
      <c r="G15" s="289">
        <f>('F1'!I22+'F1'!I16)*2/12</f>
        <v>36.836463414543772</v>
      </c>
      <c r="H15" s="289">
        <f ca="1">('F1'!J22+'F1'!J16)*2/12</f>
        <v>41.441444896080846</v>
      </c>
      <c r="I15" s="289">
        <f ca="1">('F1'!K22+'F1'!K16)*45/365</f>
        <v>32.330961215974902</v>
      </c>
    </row>
    <row r="16" spans="2:12">
      <c r="B16" s="249"/>
      <c r="C16" s="251" t="s">
        <v>314</v>
      </c>
      <c r="D16" s="289"/>
      <c r="E16" s="254"/>
      <c r="F16" s="254"/>
      <c r="G16" s="254"/>
      <c r="H16" s="254"/>
      <c r="I16" s="254"/>
    </row>
    <row r="17" spans="2:9">
      <c r="B17" s="249">
        <f>B15+1</f>
        <v>7</v>
      </c>
      <c r="C17" s="248" t="s">
        <v>515</v>
      </c>
      <c r="D17" s="289">
        <f>'F10'!E23*'F12'!E19*30/365/10</f>
        <v>8.3051209987721446</v>
      </c>
      <c r="E17" s="289">
        <f>'F10'!F23*'F12'!F19*30/365/10</f>
        <v>8.3411862849995391</v>
      </c>
      <c r="F17" s="289">
        <f>'F10'!G23*'F12'!G19*30/365/10</f>
        <v>8.3411862849995391</v>
      </c>
      <c r="G17" s="289">
        <f>'F10'!H23*'F12'!H19*30/365/10</f>
        <v>8.4823414099119994</v>
      </c>
      <c r="H17" s="289">
        <f>'F10'!I23*'F12'!I19*30/365/10</f>
        <v>10.077638881057918</v>
      </c>
      <c r="I17" s="289">
        <f>62.5*24*0.85*(1-0.1)*30*'F12'!J19/10000</f>
        <v>15.952867924208102</v>
      </c>
    </row>
    <row r="18" spans="2:9" ht="15.75">
      <c r="B18" s="249">
        <f t="shared" si="0"/>
        <v>8</v>
      </c>
      <c r="C18" s="248" t="s">
        <v>55</v>
      </c>
      <c r="D18" s="290">
        <f t="shared" ref="D18:H18" si="1">SUM(D10:D15)-D17</f>
        <v>69.826622576964965</v>
      </c>
      <c r="E18" s="290">
        <f t="shared" ca="1" si="1"/>
        <v>71.80193989147233</v>
      </c>
      <c r="F18" s="290">
        <f t="shared" ca="1" si="1"/>
        <v>71.80193989147233</v>
      </c>
      <c r="G18" s="290">
        <f t="shared" si="1"/>
        <v>74.237940978167188</v>
      </c>
      <c r="H18" s="290">
        <f t="shared" ca="1" si="1"/>
        <v>79.947484770473537</v>
      </c>
      <c r="I18" s="290">
        <f t="shared" ref="I18" ca="1" si="2">SUM(I10:I15)-I17</f>
        <v>53.29229001990948</v>
      </c>
    </row>
    <row r="19" spans="2:9">
      <c r="B19" s="249">
        <f t="shared" si="0"/>
        <v>9</v>
      </c>
      <c r="C19" s="248" t="s">
        <v>315</v>
      </c>
      <c r="D19" s="291">
        <v>8.5500000000000007E-2</v>
      </c>
      <c r="E19" s="291">
        <v>9.4382191780821911E-2</v>
      </c>
      <c r="F19" s="291">
        <f>E19</f>
        <v>9.4382191780821911E-2</v>
      </c>
      <c r="G19" s="291">
        <v>8.5500000000000007E-2</v>
      </c>
      <c r="H19" s="291">
        <v>0.1008</v>
      </c>
      <c r="I19" s="291">
        <v>0.10150000000000001</v>
      </c>
    </row>
    <row r="20" spans="2:9" ht="15.75">
      <c r="B20" s="249">
        <f t="shared" si="0"/>
        <v>10</v>
      </c>
      <c r="C20" s="251" t="s">
        <v>316</v>
      </c>
      <c r="D20" s="290">
        <v>6.48</v>
      </c>
      <c r="E20" s="290">
        <f t="shared" ref="E20:I20" ca="1" si="3">E18*E19</f>
        <v>6.776824461071989</v>
      </c>
      <c r="F20" s="290">
        <f t="shared" ca="1" si="3"/>
        <v>6.776824461071989</v>
      </c>
      <c r="G20" s="290">
        <v>6.79</v>
      </c>
      <c r="H20" s="290">
        <f t="shared" ca="1" si="3"/>
        <v>8.0587064648637323</v>
      </c>
      <c r="I20" s="290">
        <f t="shared" ca="1" si="3"/>
        <v>5.4091674370208125</v>
      </c>
    </row>
    <row r="22" spans="2:9">
      <c r="C22" s="246" t="s">
        <v>270</v>
      </c>
    </row>
    <row r="23" spans="2:9">
      <c r="B23" s="246" t="s">
        <v>428</v>
      </c>
    </row>
  </sheetData>
  <mergeCells count="7">
    <mergeCell ref="B7:B9"/>
    <mergeCell ref="C7:C9"/>
    <mergeCell ref="D7:F7"/>
    <mergeCell ref="G7:H7"/>
    <mergeCell ref="B4:I4"/>
    <mergeCell ref="B5:I5"/>
    <mergeCell ref="B6:I6"/>
  </mergeCells>
  <pageMargins left="1.02" right="0.25" top="1" bottom="1" header="0.25" footer="0.25"/>
  <pageSetup paperSize="9" scale="96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B5" sqref="B5:I5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9" width="16.42578125" style="5" customWidth="1"/>
    <col min="10" max="12" width="11.7109375" style="5" bestFit="1" customWidth="1"/>
    <col min="13" max="16384" width="9.28515625" style="5"/>
  </cols>
  <sheetData>
    <row r="1" spans="2:13" ht="15">
      <c r="B1" s="30"/>
    </row>
    <row r="2" spans="2:13">
      <c r="B2" s="312" t="s">
        <v>522</v>
      </c>
      <c r="C2" s="312"/>
      <c r="D2" s="312"/>
      <c r="E2" s="312"/>
      <c r="F2" s="312"/>
      <c r="G2" s="312"/>
      <c r="H2" s="312"/>
      <c r="I2" s="312"/>
    </row>
    <row r="3" spans="2:13" ht="15.75">
      <c r="B3" s="312"/>
      <c r="C3" s="312"/>
      <c r="D3" s="312"/>
      <c r="E3" s="312"/>
      <c r="F3" s="312"/>
      <c r="G3" s="312"/>
      <c r="H3" s="312"/>
      <c r="I3" s="312"/>
      <c r="J3" s="306"/>
      <c r="K3" s="306"/>
      <c r="L3" s="306"/>
      <c r="M3" s="306"/>
    </row>
    <row r="4" spans="2:13" ht="15.75">
      <c r="B4" s="312" t="s">
        <v>505</v>
      </c>
      <c r="C4" s="312"/>
      <c r="D4" s="312"/>
      <c r="E4" s="312"/>
      <c r="F4" s="312"/>
      <c r="G4" s="312"/>
      <c r="H4" s="312"/>
      <c r="I4" s="312"/>
      <c r="J4" s="306"/>
      <c r="K4" s="306"/>
      <c r="L4" s="306"/>
      <c r="M4" s="306"/>
    </row>
    <row r="5" spans="2:13" ht="15.75">
      <c r="B5" s="368" t="s">
        <v>542</v>
      </c>
      <c r="C5" s="368"/>
      <c r="D5" s="368"/>
      <c r="E5" s="368"/>
      <c r="F5" s="368"/>
      <c r="G5" s="368"/>
      <c r="H5" s="368"/>
      <c r="I5" s="368"/>
      <c r="J5" s="307"/>
      <c r="K5" s="307"/>
      <c r="L5" s="307"/>
      <c r="M5" s="307"/>
    </row>
    <row r="7" spans="2:13" s="19" customFormat="1" ht="15" customHeight="1">
      <c r="B7" s="324" t="s">
        <v>210</v>
      </c>
      <c r="C7" s="327" t="s">
        <v>18</v>
      </c>
      <c r="D7" s="318" t="s">
        <v>478</v>
      </c>
      <c r="E7" s="319"/>
      <c r="F7" s="320"/>
      <c r="G7" s="318" t="s">
        <v>479</v>
      </c>
      <c r="H7" s="319"/>
      <c r="I7" s="29" t="s">
        <v>252</v>
      </c>
    </row>
    <row r="8" spans="2:13" s="19" customFormat="1" ht="45">
      <c r="B8" s="325"/>
      <c r="C8" s="327"/>
      <c r="D8" s="21" t="s">
        <v>391</v>
      </c>
      <c r="E8" s="21" t="s">
        <v>268</v>
      </c>
      <c r="F8" s="21" t="s">
        <v>226</v>
      </c>
      <c r="G8" s="21" t="s">
        <v>391</v>
      </c>
      <c r="H8" s="21" t="s">
        <v>267</v>
      </c>
      <c r="I8" s="21" t="s">
        <v>480</v>
      </c>
    </row>
    <row r="9" spans="2:13" s="19" customFormat="1" ht="15">
      <c r="B9" s="326"/>
      <c r="C9" s="328"/>
      <c r="D9" s="21" t="s">
        <v>10</v>
      </c>
      <c r="E9" s="21" t="s">
        <v>12</v>
      </c>
      <c r="F9" s="21" t="s">
        <v>257</v>
      </c>
      <c r="G9" s="21" t="s">
        <v>10</v>
      </c>
      <c r="H9" s="21" t="s">
        <v>5</v>
      </c>
      <c r="I9" s="21" t="s">
        <v>8</v>
      </c>
    </row>
    <row r="10" spans="2:13">
      <c r="B10" s="66">
        <v>1</v>
      </c>
      <c r="C10" s="33" t="s">
        <v>242</v>
      </c>
      <c r="D10" s="203">
        <f>'F4'!F21*30%</f>
        <v>38.112510305099995</v>
      </c>
      <c r="E10" s="167">
        <f>D10</f>
        <v>38.112510305099995</v>
      </c>
      <c r="F10" s="167">
        <f>E10</f>
        <v>38.112510305099995</v>
      </c>
      <c r="G10" s="173">
        <f>'F4'!F39*30%</f>
        <v>38.112510305099995</v>
      </c>
      <c r="H10" s="173">
        <f>'F4'!F39*30%</f>
        <v>38.112510305099995</v>
      </c>
      <c r="I10" s="173">
        <f>'F4'!N56</f>
        <v>22.538043152349992</v>
      </c>
    </row>
    <row r="11" spans="2:13">
      <c r="B11" s="26">
        <f>B10+1</f>
        <v>2</v>
      </c>
      <c r="C11" s="33" t="s">
        <v>243</v>
      </c>
      <c r="D11" s="170"/>
      <c r="E11" s="167">
        <f>F3.1!H11</f>
        <v>0</v>
      </c>
      <c r="F11" s="167">
        <f>E11</f>
        <v>0</v>
      </c>
      <c r="G11" s="172"/>
      <c r="H11" s="173">
        <f>F3.1!H17*30%</f>
        <v>1.2E-2</v>
      </c>
      <c r="I11" s="173">
        <f>F3.1!H23</f>
        <v>0</v>
      </c>
    </row>
    <row r="12" spans="2:13">
      <c r="B12" s="26">
        <f t="shared" ref="B12:B22" si="0">B11+1</f>
        <v>3</v>
      </c>
      <c r="C12" s="35" t="s">
        <v>19</v>
      </c>
      <c r="D12" s="203">
        <f>D11*25%</f>
        <v>0</v>
      </c>
      <c r="E12" s="203">
        <f>E11*30%</f>
        <v>0</v>
      </c>
      <c r="F12" s="203">
        <f>F11*30%</f>
        <v>0</v>
      </c>
      <c r="G12" s="203">
        <f t="shared" ref="G12:H12" si="1">G11*25%</f>
        <v>0</v>
      </c>
      <c r="H12" s="203">
        <f t="shared" si="1"/>
        <v>3.0000000000000001E-3</v>
      </c>
      <c r="I12" s="203">
        <f>I11*30%</f>
        <v>0</v>
      </c>
    </row>
    <row r="13" spans="2:13" ht="28.5">
      <c r="B13" s="26">
        <f t="shared" si="0"/>
        <v>4</v>
      </c>
      <c r="C13" s="89" t="s">
        <v>20</v>
      </c>
      <c r="D13" s="174"/>
      <c r="E13" s="45"/>
      <c r="F13" s="170"/>
      <c r="G13" s="45"/>
      <c r="H13" s="45"/>
      <c r="I13" s="167"/>
    </row>
    <row r="14" spans="2:13" s="38" customFormat="1" ht="15">
      <c r="B14" s="26">
        <f t="shared" si="0"/>
        <v>5</v>
      </c>
      <c r="C14" s="43" t="s">
        <v>21</v>
      </c>
      <c r="D14" s="175">
        <f>D10+D12-D13</f>
        <v>38.112510305099995</v>
      </c>
      <c r="E14" s="175">
        <f t="shared" ref="E14:I14" si="2">E10+E12-E13</f>
        <v>38.112510305099995</v>
      </c>
      <c r="F14" s="175">
        <f>F10+F12-F13</f>
        <v>38.112510305099995</v>
      </c>
      <c r="G14" s="175">
        <f t="shared" si="2"/>
        <v>38.112510305099995</v>
      </c>
      <c r="H14" s="175">
        <f t="shared" si="2"/>
        <v>38.115510305099995</v>
      </c>
      <c r="I14" s="175">
        <f t="shared" si="2"/>
        <v>22.538043152349992</v>
      </c>
    </row>
    <row r="15" spans="2:13" s="38" customFormat="1" ht="15">
      <c r="B15" s="26"/>
      <c r="C15" s="91" t="s">
        <v>317</v>
      </c>
      <c r="D15" s="90"/>
      <c r="E15" s="35"/>
      <c r="F15" s="3"/>
      <c r="G15" s="35"/>
      <c r="H15" s="35"/>
      <c r="I15" s="35"/>
    </row>
    <row r="16" spans="2:13" s="38" customFormat="1" ht="15">
      <c r="B16" s="26">
        <f>B14+1</f>
        <v>6</v>
      </c>
      <c r="C16" s="43" t="s">
        <v>318</v>
      </c>
      <c r="D16" s="155">
        <v>0.155</v>
      </c>
      <c r="E16" s="155">
        <v>0.155</v>
      </c>
      <c r="F16" s="155">
        <v>0.155</v>
      </c>
      <c r="G16" s="155">
        <v>0.155</v>
      </c>
      <c r="H16" s="155">
        <v>0.155</v>
      </c>
      <c r="I16" s="155">
        <v>0.155</v>
      </c>
    </row>
    <row r="17" spans="2:9" s="38" customFormat="1" ht="15">
      <c r="B17" s="26">
        <f>B16+1</f>
        <v>7</v>
      </c>
      <c r="C17" s="43" t="s">
        <v>319</v>
      </c>
      <c r="D17" s="156">
        <v>0.17471999999999999</v>
      </c>
      <c r="E17" s="194">
        <v>0.25168000000000001</v>
      </c>
      <c r="F17" s="194">
        <v>0.25168000000000001</v>
      </c>
      <c r="G17" s="194">
        <v>0.17471999999999999</v>
      </c>
      <c r="H17" s="194">
        <v>0.25168000000000001</v>
      </c>
      <c r="I17" s="194">
        <v>0.25168000000000001</v>
      </c>
    </row>
    <row r="18" spans="2:9" s="38" customFormat="1" ht="15">
      <c r="B18" s="26">
        <f>B17+1</f>
        <v>8</v>
      </c>
      <c r="C18" s="36" t="s">
        <v>317</v>
      </c>
      <c r="D18" s="157">
        <f>D16/(1-D17)</f>
        <v>0.18781504459092671</v>
      </c>
      <c r="E18" s="157">
        <f t="shared" ref="E18:I18" si="3">E16/(1-E17)</f>
        <v>0.20713063929869574</v>
      </c>
      <c r="F18" s="157">
        <f t="shared" si="3"/>
        <v>0.20713063929869574</v>
      </c>
      <c r="G18" s="157">
        <f t="shared" si="3"/>
        <v>0.18781504459092671</v>
      </c>
      <c r="H18" s="157">
        <f t="shared" si="3"/>
        <v>0.20713063929869574</v>
      </c>
      <c r="I18" s="157">
        <f t="shared" si="3"/>
        <v>0.20713063929869574</v>
      </c>
    </row>
    <row r="19" spans="2:9" ht="15">
      <c r="B19" s="26"/>
      <c r="C19" s="91" t="s">
        <v>194</v>
      </c>
      <c r="D19" s="140"/>
      <c r="E19" s="35"/>
      <c r="F19" s="3"/>
      <c r="G19" s="35"/>
      <c r="H19" s="35"/>
      <c r="I19" s="35"/>
    </row>
    <row r="20" spans="2:9" ht="17.25" customHeight="1">
      <c r="B20" s="26">
        <f>B18+1</f>
        <v>9</v>
      </c>
      <c r="C20" s="89" t="s">
        <v>244</v>
      </c>
      <c r="D20" s="141">
        <f>D10*D18</f>
        <v>7.1581028224245093</v>
      </c>
      <c r="E20" s="141">
        <f t="shared" ref="E20:I20" si="4">E10*E18</f>
        <v>7.8942686247734919</v>
      </c>
      <c r="F20" s="141">
        <f t="shared" si="4"/>
        <v>7.8942686247734919</v>
      </c>
      <c r="G20" s="141">
        <f t="shared" si="4"/>
        <v>7.1581028224245093</v>
      </c>
      <c r="H20" s="141">
        <f t="shared" si="4"/>
        <v>7.8942686247734919</v>
      </c>
      <c r="I20" s="141">
        <f t="shared" si="4"/>
        <v>4.6683192866878453</v>
      </c>
    </row>
    <row r="21" spans="2:9" ht="18.75" customHeight="1">
      <c r="B21" s="26">
        <f t="shared" si="0"/>
        <v>10</v>
      </c>
      <c r="C21" s="89" t="s">
        <v>245</v>
      </c>
      <c r="D21" s="141">
        <f>AVERAGE(D10,D14)*D18-D20</f>
        <v>0</v>
      </c>
      <c r="E21" s="141">
        <f t="shared" ref="E21:I21" si="5">AVERAGE(E10,E14)*E18-E20</f>
        <v>0</v>
      </c>
      <c r="F21" s="141">
        <f t="shared" si="5"/>
        <v>0</v>
      </c>
      <c r="G21" s="141">
        <f t="shared" si="5"/>
        <v>0</v>
      </c>
      <c r="H21" s="141">
        <f t="shared" si="5"/>
        <v>3.1069595894805957E-4</v>
      </c>
      <c r="I21" s="141">
        <f t="shared" si="5"/>
        <v>0</v>
      </c>
    </row>
    <row r="22" spans="2:9" ht="15">
      <c r="B22" s="26">
        <f t="shared" si="0"/>
        <v>11</v>
      </c>
      <c r="C22" s="44" t="s">
        <v>195</v>
      </c>
      <c r="D22" s="141">
        <v>7.16</v>
      </c>
      <c r="E22" s="141">
        <f t="shared" ref="E22:I22" si="6">E20+E21</f>
        <v>7.8942686247734919</v>
      </c>
      <c r="F22" s="141">
        <f t="shared" si="6"/>
        <v>7.8942686247734919</v>
      </c>
      <c r="G22" s="141">
        <v>7.16</v>
      </c>
      <c r="H22" s="141">
        <f t="shared" si="6"/>
        <v>7.89457932073244</v>
      </c>
      <c r="I22" s="141">
        <f t="shared" si="6"/>
        <v>4.6683192866878453</v>
      </c>
    </row>
    <row r="23" spans="2:9">
      <c r="C23" s="5" t="s">
        <v>270</v>
      </c>
    </row>
    <row r="24" spans="2:9">
      <c r="C24" s="5" t="s">
        <v>430</v>
      </c>
    </row>
  </sheetData>
  <mergeCells count="7">
    <mergeCell ref="B2:I3"/>
    <mergeCell ref="B4:I4"/>
    <mergeCell ref="B5:I5"/>
    <mergeCell ref="B7:B9"/>
    <mergeCell ref="C7:C9"/>
    <mergeCell ref="D7:F7"/>
    <mergeCell ref="G7:H7"/>
  </mergeCells>
  <pageMargins left="1.02" right="0.25" top="1" bottom="1" header="0.25" footer="0.25"/>
  <pageSetup paperSize="9" scale="9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topLeftCell="B2" zoomScale="90" zoomScaleNormal="90" zoomScaleSheetLayoutView="90" workbookViewId="0">
      <selection activeCell="B5" sqref="B5:I5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8" width="11.28515625" style="5" customWidth="1"/>
    <col min="9" max="9" width="15" style="5" customWidth="1"/>
    <col min="10" max="12" width="11.7109375" style="5" bestFit="1" customWidth="1"/>
    <col min="13" max="16384" width="9.28515625" style="5"/>
  </cols>
  <sheetData>
    <row r="1" spans="2:13" ht="15">
      <c r="B1" s="30"/>
    </row>
    <row r="3" spans="2:13" ht="15.75">
      <c r="B3" s="312" t="s">
        <v>522</v>
      </c>
      <c r="C3" s="312"/>
      <c r="D3" s="312"/>
      <c r="E3" s="312"/>
      <c r="F3" s="312"/>
      <c r="G3" s="312"/>
      <c r="H3" s="312"/>
      <c r="I3" s="312"/>
      <c r="J3" s="306"/>
      <c r="K3" s="306"/>
      <c r="L3" s="306"/>
      <c r="M3" s="306"/>
    </row>
    <row r="4" spans="2:13" ht="15.75">
      <c r="B4" s="312" t="s">
        <v>505</v>
      </c>
      <c r="C4" s="312"/>
      <c r="D4" s="312"/>
      <c r="E4" s="312"/>
      <c r="F4" s="312"/>
      <c r="G4" s="312"/>
      <c r="H4" s="312"/>
      <c r="I4" s="312"/>
      <c r="J4" s="306"/>
      <c r="K4" s="306"/>
      <c r="L4" s="306"/>
      <c r="M4" s="306"/>
    </row>
    <row r="5" spans="2:13" ht="15.75">
      <c r="B5" s="368" t="s">
        <v>543</v>
      </c>
      <c r="C5" s="368"/>
      <c r="D5" s="368"/>
      <c r="E5" s="368"/>
      <c r="F5" s="368"/>
      <c r="G5" s="368"/>
      <c r="H5" s="368"/>
      <c r="I5" s="368"/>
      <c r="J5" s="307"/>
      <c r="K5" s="307"/>
      <c r="L5" s="307"/>
      <c r="M5" s="307"/>
    </row>
    <row r="7" spans="2:13" s="19" customFormat="1" ht="15" customHeight="1">
      <c r="B7" s="324" t="s">
        <v>210</v>
      </c>
      <c r="C7" s="327" t="s">
        <v>18</v>
      </c>
      <c r="D7" s="318" t="s">
        <v>506</v>
      </c>
      <c r="E7" s="319"/>
      <c r="F7" s="320"/>
      <c r="G7" s="318" t="s">
        <v>520</v>
      </c>
      <c r="H7" s="319"/>
      <c r="I7" s="29" t="s">
        <v>252</v>
      </c>
    </row>
    <row r="8" spans="2:13" s="19" customFormat="1" ht="30">
      <c r="B8" s="325"/>
      <c r="C8" s="327"/>
      <c r="D8" s="21" t="s">
        <v>391</v>
      </c>
      <c r="E8" s="21" t="s">
        <v>268</v>
      </c>
      <c r="F8" s="21" t="s">
        <v>226</v>
      </c>
      <c r="G8" s="21" t="s">
        <v>391</v>
      </c>
      <c r="H8" s="21" t="s">
        <v>267</v>
      </c>
      <c r="I8" s="21" t="s">
        <v>480</v>
      </c>
    </row>
    <row r="9" spans="2:13" s="19" customFormat="1" ht="15">
      <c r="B9" s="326"/>
      <c r="C9" s="328"/>
      <c r="D9" s="21" t="s">
        <v>10</v>
      </c>
      <c r="E9" s="21" t="s">
        <v>12</v>
      </c>
      <c r="F9" s="21" t="s">
        <v>257</v>
      </c>
      <c r="G9" s="21" t="s">
        <v>10</v>
      </c>
      <c r="H9" s="21" t="s">
        <v>5</v>
      </c>
      <c r="I9" s="21" t="s">
        <v>8</v>
      </c>
    </row>
    <row r="10" spans="2:13">
      <c r="B10" s="66">
        <v>1</v>
      </c>
      <c r="C10" s="33" t="s">
        <v>320</v>
      </c>
      <c r="D10" s="2"/>
      <c r="E10" s="195">
        <v>0.1976229319214223</v>
      </c>
      <c r="F10" s="195">
        <v>0.1976229319214223</v>
      </c>
      <c r="G10" s="196"/>
      <c r="H10" s="196">
        <v>0.20367690613075723</v>
      </c>
      <c r="I10" s="196">
        <v>0.1976229319214223</v>
      </c>
    </row>
    <row r="11" spans="2:13">
      <c r="B11" s="66">
        <f>B10+1</f>
        <v>2</v>
      </c>
      <c r="C11" s="33" t="s">
        <v>321</v>
      </c>
      <c r="D11" s="2"/>
      <c r="E11" s="195">
        <v>0</v>
      </c>
      <c r="F11" s="195">
        <v>0</v>
      </c>
      <c r="G11" s="196"/>
      <c r="H11" s="196">
        <v>0</v>
      </c>
      <c r="I11" s="196">
        <v>0</v>
      </c>
    </row>
    <row r="12" spans="2:13">
      <c r="B12" s="66">
        <f>B11+1</f>
        <v>3</v>
      </c>
      <c r="C12" s="33" t="s">
        <v>322</v>
      </c>
      <c r="D12" s="2"/>
      <c r="E12" s="195">
        <v>0.21173056535466361</v>
      </c>
      <c r="F12" s="195">
        <v>0.21173056535466361</v>
      </c>
      <c r="G12" s="196"/>
      <c r="H12" s="196">
        <v>6.1648847999999999E-2</v>
      </c>
      <c r="I12" s="196">
        <v>0.21173056535466361</v>
      </c>
    </row>
    <row r="13" spans="2:13">
      <c r="B13" s="26">
        <f t="shared" ref="B13:B21" si="0">B12+1</f>
        <v>4</v>
      </c>
      <c r="C13" s="35" t="s">
        <v>323</v>
      </c>
      <c r="D13" s="2"/>
      <c r="E13" s="195">
        <v>0</v>
      </c>
      <c r="F13" s="195">
        <v>0</v>
      </c>
      <c r="G13" s="196"/>
      <c r="H13" s="196">
        <v>0</v>
      </c>
      <c r="I13" s="196">
        <v>0</v>
      </c>
    </row>
    <row r="14" spans="2:13" ht="15.75" customHeight="1">
      <c r="B14" s="26">
        <f t="shared" si="0"/>
        <v>5</v>
      </c>
      <c r="C14" s="89" t="s">
        <v>324</v>
      </c>
      <c r="D14" s="90"/>
      <c r="E14" s="197">
        <v>0</v>
      </c>
      <c r="F14" s="195">
        <v>0</v>
      </c>
      <c r="G14" s="197"/>
      <c r="H14" s="196">
        <v>0</v>
      </c>
      <c r="I14" s="197">
        <v>0</v>
      </c>
    </row>
    <row r="15" spans="2:13" s="38" customFormat="1" ht="15">
      <c r="B15" s="26">
        <f t="shared" si="0"/>
        <v>6</v>
      </c>
      <c r="C15" s="43" t="s">
        <v>325</v>
      </c>
      <c r="D15" s="90"/>
      <c r="E15" s="197">
        <v>0.11190131350130295</v>
      </c>
      <c r="F15" s="195">
        <v>0.11190131350130295</v>
      </c>
      <c r="G15" s="197"/>
      <c r="H15" s="196">
        <v>0.11094371077667957</v>
      </c>
      <c r="I15" s="197">
        <v>0.11190131350130295</v>
      </c>
    </row>
    <row r="16" spans="2:13" s="38" customFormat="1" ht="15">
      <c r="B16" s="26">
        <f t="shared" si="0"/>
        <v>7</v>
      </c>
      <c r="C16" s="89" t="s">
        <v>326</v>
      </c>
      <c r="D16" s="90"/>
      <c r="E16" s="197">
        <v>0</v>
      </c>
      <c r="F16" s="195">
        <v>0</v>
      </c>
      <c r="G16" s="197"/>
      <c r="H16" s="196">
        <v>0</v>
      </c>
      <c r="I16" s="197">
        <v>0</v>
      </c>
    </row>
    <row r="17" spans="2:9" s="38" customFormat="1" ht="12.75" customHeight="1">
      <c r="B17" s="26">
        <f t="shared" si="0"/>
        <v>8</v>
      </c>
      <c r="C17" s="43" t="s">
        <v>327</v>
      </c>
      <c r="D17" s="90"/>
      <c r="E17" s="197">
        <v>1.2549658458359675E-3</v>
      </c>
      <c r="F17" s="195">
        <v>1.2549658458359675E-3</v>
      </c>
      <c r="G17" s="197"/>
      <c r="H17" s="196">
        <v>5.3211878409634098E-3</v>
      </c>
      <c r="I17" s="197">
        <v>1.2549658458359675E-3</v>
      </c>
    </row>
    <row r="18" spans="2:9" s="38" customFormat="1" ht="15">
      <c r="B18" s="26">
        <f t="shared" si="0"/>
        <v>9</v>
      </c>
      <c r="C18" s="43" t="s">
        <v>162</v>
      </c>
      <c r="D18" s="90"/>
      <c r="E18" s="197">
        <v>1.48</v>
      </c>
      <c r="F18" s="195">
        <v>1.48</v>
      </c>
      <c r="G18" s="197"/>
      <c r="H18" s="196">
        <v>0.424896</v>
      </c>
      <c r="I18" s="197">
        <v>0.44189184000000004</v>
      </c>
    </row>
    <row r="19" spans="2:9" s="38" customFormat="1" ht="15">
      <c r="B19" s="26">
        <f t="shared" si="0"/>
        <v>10</v>
      </c>
      <c r="C19" s="43" t="s">
        <v>328</v>
      </c>
      <c r="D19" s="90"/>
      <c r="E19" s="197">
        <v>0</v>
      </c>
      <c r="F19" s="195">
        <v>0</v>
      </c>
      <c r="G19" s="197"/>
      <c r="H19" s="196">
        <v>0</v>
      </c>
      <c r="I19" s="197">
        <v>0</v>
      </c>
    </row>
    <row r="20" spans="2:9">
      <c r="B20" s="26">
        <f t="shared" si="0"/>
        <v>11</v>
      </c>
      <c r="C20" s="89" t="s">
        <v>173</v>
      </c>
      <c r="D20" s="90"/>
      <c r="E20" s="197">
        <v>4.4921671318211955E-3</v>
      </c>
      <c r="F20" s="195">
        <v>4.4921671318211955E-3</v>
      </c>
      <c r="G20" s="197"/>
      <c r="H20" s="196">
        <v>1.024167794859143E-2</v>
      </c>
      <c r="I20" s="197">
        <v>4.4921671318211955E-3</v>
      </c>
    </row>
    <row r="21" spans="2:9">
      <c r="B21" s="26">
        <f t="shared" si="0"/>
        <v>12</v>
      </c>
      <c r="C21" s="89" t="s">
        <v>9</v>
      </c>
      <c r="D21" s="90"/>
      <c r="E21" s="197">
        <v>0.61529294328459749</v>
      </c>
      <c r="F21" s="195">
        <v>0.61529294328459749</v>
      </c>
      <c r="G21" s="197"/>
      <c r="H21" s="196">
        <v>0.51641479361244658</v>
      </c>
      <c r="I21" s="197">
        <v>0.52053991859260174</v>
      </c>
    </row>
    <row r="22" spans="2:9" ht="15">
      <c r="B22" s="26"/>
      <c r="C22" s="37" t="s">
        <v>139</v>
      </c>
      <c r="D22" s="141">
        <v>0.79</v>
      </c>
      <c r="E22" s="141">
        <f t="shared" ref="E22:I22" si="1">SUM(E10:E21)</f>
        <v>2.6222948870396436</v>
      </c>
      <c r="F22" s="141">
        <f t="shared" si="1"/>
        <v>2.6222948870396436</v>
      </c>
      <c r="G22" s="141">
        <v>0.79</v>
      </c>
      <c r="H22" s="141">
        <f t="shared" si="1"/>
        <v>1.3331431243094383</v>
      </c>
      <c r="I22" s="141">
        <f t="shared" si="1"/>
        <v>1.4894337023476478</v>
      </c>
    </row>
  </sheetData>
  <mergeCells count="7">
    <mergeCell ref="B7:B9"/>
    <mergeCell ref="C7:C9"/>
    <mergeCell ref="D7:F7"/>
    <mergeCell ref="G7:H7"/>
    <mergeCell ref="B3:I3"/>
    <mergeCell ref="B4:I4"/>
    <mergeCell ref="B5:I5"/>
  </mergeCells>
  <pageMargins left="1.02" right="0.25" top="1" bottom="1" header="0.25" footer="0.25"/>
  <pageSetup paperSize="9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31"/>
  <sheetViews>
    <sheetView showGridLines="0" zoomScale="80" zoomScaleNormal="80" zoomScaleSheetLayoutView="70" workbookViewId="0">
      <selection activeCell="A2" sqref="A2:H2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4.28515625" style="5" customWidth="1"/>
    <col min="6" max="6" width="15.7109375" style="5" customWidth="1"/>
    <col min="7" max="7" width="18" style="5" bestFit="1" customWidth="1"/>
    <col min="8" max="8" width="15.7109375" style="5" customWidth="1"/>
    <col min="9" max="16384" width="9.28515625" style="5"/>
  </cols>
  <sheetData>
    <row r="2" spans="1:8" ht="14.25" customHeight="1">
      <c r="A2" s="337" t="s">
        <v>517</v>
      </c>
      <c r="B2" s="337"/>
      <c r="C2" s="337"/>
      <c r="D2" s="337"/>
      <c r="E2" s="337"/>
      <c r="F2" s="337"/>
      <c r="G2" s="337"/>
      <c r="H2" s="337"/>
    </row>
    <row r="3" spans="1:8" ht="14.25" customHeight="1">
      <c r="B3" s="337" t="s">
        <v>501</v>
      </c>
      <c r="C3" s="337"/>
      <c r="D3" s="337"/>
      <c r="E3" s="337"/>
      <c r="F3" s="337"/>
      <c r="G3" s="337"/>
      <c r="H3" s="337"/>
    </row>
    <row r="4" spans="1:8" ht="14.25" customHeight="1">
      <c r="B4" s="335" t="s">
        <v>330</v>
      </c>
      <c r="C4" s="335"/>
      <c r="D4" s="335"/>
      <c r="E4" s="335"/>
      <c r="F4" s="335"/>
      <c r="G4" s="335"/>
      <c r="H4" s="335"/>
    </row>
    <row r="5" spans="1:8" ht="15">
      <c r="B5" s="30"/>
      <c r="C5" s="93"/>
      <c r="D5" s="94"/>
      <c r="E5" s="94"/>
      <c r="F5" s="94"/>
    </row>
    <row r="6" spans="1:8" ht="15" customHeight="1">
      <c r="B6" s="330" t="s">
        <v>2</v>
      </c>
      <c r="C6" s="331" t="s">
        <v>18</v>
      </c>
      <c r="D6" s="198" t="s">
        <v>506</v>
      </c>
      <c r="E6" s="319" t="s">
        <v>521</v>
      </c>
      <c r="F6" s="319"/>
      <c r="G6" s="319"/>
      <c r="H6" s="304" t="s">
        <v>252</v>
      </c>
    </row>
    <row r="7" spans="1:8" ht="15">
      <c r="B7" s="330"/>
      <c r="C7" s="331"/>
      <c r="D7" s="21" t="s">
        <v>329</v>
      </c>
      <c r="E7" s="21" t="s">
        <v>258</v>
      </c>
      <c r="F7" s="21" t="s">
        <v>259</v>
      </c>
      <c r="G7" s="21" t="s">
        <v>267</v>
      </c>
      <c r="H7" s="21" t="s">
        <v>480</v>
      </c>
    </row>
    <row r="8" spans="1:8" ht="24.75" customHeight="1">
      <c r="B8" s="369"/>
      <c r="C8" s="370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</row>
    <row r="9" spans="1:8" ht="15">
      <c r="B9" s="95">
        <v>1</v>
      </c>
      <c r="C9" s="96" t="s">
        <v>174</v>
      </c>
      <c r="D9" s="92"/>
      <c r="E9" s="92"/>
      <c r="F9" s="92"/>
      <c r="G9" s="92"/>
      <c r="H9" s="33"/>
    </row>
    <row r="10" spans="1:8" s="38" customFormat="1" ht="15">
      <c r="B10" s="97" t="s">
        <v>57</v>
      </c>
      <c r="C10" s="44" t="s">
        <v>58</v>
      </c>
      <c r="D10" s="98"/>
      <c r="E10" s="99"/>
      <c r="F10" s="99"/>
      <c r="G10" s="44"/>
      <c r="H10" s="44"/>
    </row>
    <row r="11" spans="1:8" s="38" customFormat="1" ht="15">
      <c r="B11" s="100"/>
      <c r="C11" s="35" t="s">
        <v>59</v>
      </c>
      <c r="D11" s="98"/>
      <c r="E11" s="99"/>
      <c r="F11" s="99"/>
      <c r="G11" s="44"/>
      <c r="H11" s="44"/>
    </row>
    <row r="12" spans="1:8" s="38" customFormat="1" ht="15">
      <c r="B12" s="100"/>
      <c r="C12" s="35" t="s">
        <v>60</v>
      </c>
      <c r="D12" s="98"/>
      <c r="E12" s="99"/>
      <c r="F12" s="99"/>
      <c r="G12" s="44"/>
      <c r="H12" s="44"/>
    </row>
    <row r="13" spans="1:8" s="38" customFormat="1" ht="15">
      <c r="B13" s="100"/>
      <c r="C13" s="35" t="s">
        <v>61</v>
      </c>
      <c r="D13" s="98"/>
      <c r="E13" s="99"/>
      <c r="F13" s="99"/>
      <c r="G13" s="44"/>
      <c r="H13" s="44"/>
    </row>
    <row r="14" spans="1:8" s="38" customFormat="1" ht="15">
      <c r="B14" s="100"/>
      <c r="C14" s="101"/>
      <c r="D14" s="98"/>
      <c r="E14" s="99"/>
      <c r="F14" s="99"/>
      <c r="G14" s="44"/>
      <c r="H14" s="44"/>
    </row>
    <row r="15" spans="1:8" s="38" customFormat="1" ht="15">
      <c r="B15" s="97" t="s">
        <v>62</v>
      </c>
      <c r="C15" s="102" t="s">
        <v>63</v>
      </c>
      <c r="D15" s="98"/>
      <c r="E15" s="99"/>
      <c r="F15" s="99"/>
      <c r="G15" s="44"/>
      <c r="H15" s="44"/>
    </row>
    <row r="16" spans="1:8" s="38" customFormat="1" ht="15">
      <c r="B16" s="100"/>
      <c r="C16" s="35" t="s">
        <v>59</v>
      </c>
      <c r="D16" s="98"/>
      <c r="E16" s="99"/>
      <c r="F16" s="99"/>
      <c r="G16" s="44"/>
      <c r="H16" s="44"/>
    </row>
    <row r="17" spans="2:8">
      <c r="B17" s="100"/>
      <c r="C17" s="35" t="s">
        <v>60</v>
      </c>
      <c r="D17" s="98"/>
      <c r="E17" s="99"/>
      <c r="F17" s="99"/>
      <c r="G17" s="33"/>
      <c r="H17" s="33"/>
    </row>
    <row r="18" spans="2:8">
      <c r="B18" s="103"/>
      <c r="C18" s="35" t="s">
        <v>64</v>
      </c>
      <c r="D18" s="98"/>
      <c r="E18" s="99"/>
      <c r="F18" s="99"/>
      <c r="G18" s="33"/>
      <c r="H18" s="33"/>
    </row>
    <row r="19" spans="2:8" ht="15">
      <c r="B19" s="103"/>
      <c r="C19" s="102"/>
      <c r="D19" s="98"/>
      <c r="E19" s="99"/>
      <c r="F19" s="99"/>
      <c r="G19" s="33"/>
      <c r="H19" s="33"/>
    </row>
    <row r="20" spans="2:8" ht="17.25" customHeight="1">
      <c r="B20" s="97">
        <v>2</v>
      </c>
      <c r="C20" s="96" t="s">
        <v>175</v>
      </c>
      <c r="D20" s="98"/>
      <c r="E20" s="99"/>
      <c r="F20" s="99"/>
      <c r="G20" s="33"/>
      <c r="H20" s="33"/>
    </row>
    <row r="21" spans="2:8" ht="17.25" customHeight="1">
      <c r="B21" s="97"/>
      <c r="C21" s="96" t="s">
        <v>65</v>
      </c>
      <c r="D21" s="98"/>
      <c r="E21" s="98"/>
      <c r="F21" s="98"/>
      <c r="G21" s="33"/>
      <c r="H21" s="33"/>
    </row>
    <row r="22" spans="2:8" ht="17.25" customHeight="1">
      <c r="B22" s="97"/>
      <c r="C22" s="96" t="s">
        <v>65</v>
      </c>
      <c r="D22" s="98"/>
      <c r="E22" s="98"/>
      <c r="F22" s="98"/>
      <c r="G22" s="33"/>
      <c r="H22" s="33"/>
    </row>
    <row r="23" spans="2:8" ht="15">
      <c r="B23" s="100"/>
      <c r="C23" s="102" t="s">
        <v>66</v>
      </c>
      <c r="D23" s="98"/>
      <c r="E23" s="98"/>
      <c r="F23" s="98"/>
      <c r="G23" s="33"/>
      <c r="H23" s="33"/>
    </row>
    <row r="25" spans="2:8" ht="15">
      <c r="B25" s="104" t="s">
        <v>54</v>
      </c>
      <c r="C25" s="105"/>
      <c r="D25" s="105"/>
      <c r="E25" s="105"/>
      <c r="F25" s="105"/>
      <c r="G25" s="105"/>
    </row>
    <row r="26" spans="2:8">
      <c r="B26" s="5" t="s">
        <v>228</v>
      </c>
      <c r="D26" s="106"/>
      <c r="G26" s="105"/>
    </row>
    <row r="27" spans="2:8" ht="18" customHeight="1">
      <c r="B27" s="105"/>
      <c r="G27" s="105"/>
    </row>
    <row r="28" spans="2:8">
      <c r="B28" s="105"/>
      <c r="C28" s="105"/>
      <c r="D28" s="105"/>
      <c r="E28" s="105"/>
      <c r="F28" s="105"/>
      <c r="G28" s="105"/>
    </row>
    <row r="29" spans="2:8">
      <c r="B29" s="105"/>
      <c r="C29" s="105"/>
      <c r="D29" s="105"/>
      <c r="E29" s="105"/>
      <c r="F29" s="105"/>
      <c r="G29" s="105"/>
    </row>
    <row r="30" spans="2:8">
      <c r="B30" s="105"/>
      <c r="C30" s="105"/>
      <c r="D30" s="105"/>
      <c r="E30" s="105"/>
      <c r="F30" s="107"/>
      <c r="G30" s="105"/>
    </row>
    <row r="31" spans="2:8">
      <c r="B31" s="105"/>
      <c r="C31" s="105"/>
      <c r="D31" s="105"/>
      <c r="E31" s="105"/>
      <c r="F31" s="105"/>
      <c r="G31" s="105"/>
    </row>
  </sheetData>
  <mergeCells count="6">
    <mergeCell ref="B6:B8"/>
    <mergeCell ref="C6:C8"/>
    <mergeCell ref="E6:G6"/>
    <mergeCell ref="A2:H2"/>
    <mergeCell ref="B3:H3"/>
    <mergeCell ref="B4:H4"/>
  </mergeCells>
  <pageMargins left="0.75" right="0.75" top="1" bottom="1" header="0.5" footer="0.5"/>
  <pageSetup paperSize="9" scale="9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8"/>
  <sheetViews>
    <sheetView showGridLines="0" view="pageBreakPreview" zoomScale="70" zoomScaleNormal="96" zoomScaleSheetLayoutView="70" workbookViewId="0">
      <selection activeCell="B4" sqref="B4:K4"/>
    </sheetView>
  </sheetViews>
  <sheetFormatPr defaultColWidth="9.28515625" defaultRowHeight="15"/>
  <cols>
    <col min="1" max="1" width="3.28515625" style="246" customWidth="1"/>
    <col min="2" max="2" width="6.28515625" style="246" customWidth="1"/>
    <col min="3" max="3" width="43.5703125" style="246" customWidth="1"/>
    <col min="4" max="4" width="11" style="1" customWidth="1"/>
    <col min="5" max="5" width="14" style="1" customWidth="1"/>
    <col min="6" max="6" width="12.140625" style="246" customWidth="1"/>
    <col min="7" max="7" width="15" style="246" customWidth="1"/>
    <col min="8" max="8" width="13.7109375" style="246" customWidth="1"/>
    <col min="9" max="9" width="13.28515625" style="246" customWidth="1"/>
    <col min="10" max="10" width="12.7109375" style="246" customWidth="1"/>
    <col min="11" max="11" width="15.7109375" style="246" customWidth="1"/>
    <col min="12" max="16384" width="9.28515625" style="246"/>
  </cols>
  <sheetData>
    <row r="2" spans="2:15" ht="15.75">
      <c r="B2" s="312" t="s">
        <v>516</v>
      </c>
      <c r="C2" s="312"/>
      <c r="D2" s="312"/>
      <c r="E2" s="312"/>
      <c r="F2" s="312"/>
      <c r="G2" s="312"/>
      <c r="H2" s="312"/>
      <c r="I2" s="312"/>
      <c r="J2" s="312"/>
      <c r="K2" s="312"/>
      <c r="L2" s="306"/>
      <c r="M2" s="306"/>
      <c r="N2" s="306"/>
      <c r="O2" s="306"/>
    </row>
    <row r="3" spans="2:15" ht="15.75">
      <c r="B3" s="312" t="s">
        <v>501</v>
      </c>
      <c r="C3" s="312"/>
      <c r="D3" s="312"/>
      <c r="E3" s="312"/>
      <c r="F3" s="312"/>
      <c r="G3" s="312"/>
      <c r="H3" s="312"/>
      <c r="I3" s="312"/>
      <c r="J3" s="312"/>
      <c r="K3" s="312"/>
      <c r="L3" s="306"/>
      <c r="M3" s="306"/>
      <c r="N3" s="306"/>
      <c r="O3" s="306"/>
    </row>
    <row r="4" spans="2:15" s="6" customFormat="1" ht="15.75">
      <c r="B4" s="312" t="s">
        <v>544</v>
      </c>
      <c r="C4" s="312"/>
      <c r="D4" s="312"/>
      <c r="E4" s="312"/>
      <c r="F4" s="312"/>
      <c r="G4" s="312"/>
      <c r="H4" s="312"/>
      <c r="I4" s="312"/>
      <c r="J4" s="312"/>
      <c r="K4" s="312"/>
      <c r="L4" s="306"/>
      <c r="M4" s="306"/>
      <c r="N4" s="306"/>
      <c r="O4" s="306"/>
    </row>
    <row r="5" spans="2:15" s="6" customFormat="1" ht="15.75">
      <c r="C5" s="256"/>
      <c r="D5" s="1"/>
      <c r="E5" s="1"/>
      <c r="F5" s="257"/>
      <c r="G5" s="257"/>
      <c r="H5" s="257"/>
    </row>
    <row r="6" spans="2:15" ht="36" customHeight="1">
      <c r="B6" s="371" t="s">
        <v>210</v>
      </c>
      <c r="C6" s="372" t="s">
        <v>18</v>
      </c>
      <c r="D6" s="372" t="s">
        <v>39</v>
      </c>
      <c r="E6" s="364" t="s">
        <v>506</v>
      </c>
      <c r="F6" s="365"/>
      <c r="G6" s="366"/>
      <c r="H6" s="364" t="s">
        <v>518</v>
      </c>
      <c r="I6" s="365"/>
      <c r="J6" s="303" t="s">
        <v>252</v>
      </c>
      <c r="K6" s="371" t="s">
        <v>11</v>
      </c>
    </row>
    <row r="7" spans="2:15" ht="31.5">
      <c r="B7" s="372"/>
      <c r="C7" s="372"/>
      <c r="D7" s="372"/>
      <c r="E7" s="206" t="s">
        <v>391</v>
      </c>
      <c r="F7" s="206" t="s">
        <v>268</v>
      </c>
      <c r="G7" s="206" t="s">
        <v>226</v>
      </c>
      <c r="H7" s="206" t="s">
        <v>391</v>
      </c>
      <c r="I7" s="206" t="s">
        <v>267</v>
      </c>
      <c r="J7" s="206" t="s">
        <v>480</v>
      </c>
      <c r="K7" s="371"/>
    </row>
    <row r="8" spans="2:15" ht="15.75">
      <c r="B8" s="372"/>
      <c r="C8" s="372"/>
      <c r="D8" s="372"/>
      <c r="E8" s="206" t="s">
        <v>10</v>
      </c>
      <c r="F8" s="206" t="s">
        <v>12</v>
      </c>
      <c r="G8" s="206" t="s">
        <v>257</v>
      </c>
      <c r="H8" s="206" t="s">
        <v>10</v>
      </c>
      <c r="I8" s="206" t="s">
        <v>5</v>
      </c>
      <c r="J8" s="206" t="s">
        <v>8</v>
      </c>
      <c r="K8" s="373"/>
    </row>
    <row r="9" spans="2:15" ht="15.75">
      <c r="B9" s="206"/>
      <c r="C9" s="258"/>
      <c r="D9" s="259"/>
      <c r="E9" s="259"/>
      <c r="F9" s="248"/>
      <c r="G9" s="248"/>
      <c r="H9" s="248"/>
      <c r="I9" s="248"/>
      <c r="J9" s="248"/>
      <c r="K9" s="248"/>
    </row>
    <row r="10" spans="2:15" ht="15.75">
      <c r="B10" s="260">
        <v>1</v>
      </c>
      <c r="C10" s="261" t="s">
        <v>230</v>
      </c>
      <c r="D10" s="260" t="s">
        <v>40</v>
      </c>
      <c r="E10" s="206">
        <v>62.5</v>
      </c>
      <c r="F10" s="262"/>
      <c r="G10" s="262"/>
      <c r="H10" s="262"/>
      <c r="I10" s="262"/>
      <c r="J10" s="248"/>
      <c r="K10" s="248"/>
    </row>
    <row r="11" spans="2:15" ht="15.75">
      <c r="B11" s="260"/>
      <c r="C11" s="261" t="s">
        <v>361</v>
      </c>
      <c r="D11" s="260"/>
      <c r="E11" s="206" t="s">
        <v>502</v>
      </c>
      <c r="F11" s="262"/>
      <c r="G11" s="262"/>
      <c r="H11" s="262"/>
      <c r="I11" s="262"/>
      <c r="J11" s="248"/>
      <c r="K11" s="248"/>
    </row>
    <row r="12" spans="2:15" ht="13.5" customHeight="1">
      <c r="B12" s="260"/>
      <c r="C12" s="261" t="s">
        <v>239</v>
      </c>
      <c r="D12" s="260"/>
      <c r="E12" s="206" t="s">
        <v>497</v>
      </c>
      <c r="F12" s="262"/>
      <c r="G12" s="262"/>
      <c r="H12" s="262"/>
      <c r="I12" s="262"/>
      <c r="J12" s="248"/>
      <c r="K12" s="248"/>
    </row>
    <row r="13" spans="2:15" ht="15.75">
      <c r="B13" s="260"/>
      <c r="C13" s="261"/>
      <c r="D13" s="260"/>
      <c r="E13" s="260"/>
      <c r="F13" s="262"/>
      <c r="G13" s="262"/>
      <c r="H13" s="262"/>
      <c r="I13" s="262"/>
      <c r="J13" s="248"/>
      <c r="K13" s="248"/>
    </row>
    <row r="14" spans="2:15" ht="15.75">
      <c r="B14" s="206">
        <v>2</v>
      </c>
      <c r="C14" s="258" t="s">
        <v>185</v>
      </c>
      <c r="D14" s="260"/>
      <c r="E14" s="260"/>
      <c r="F14" s="262"/>
      <c r="G14" s="262"/>
      <c r="H14" s="262"/>
      <c r="I14" s="262"/>
      <c r="J14" s="248"/>
      <c r="K14" s="248"/>
    </row>
    <row r="15" spans="2:15">
      <c r="B15" s="260">
        <f>B14+0.1</f>
        <v>2.1</v>
      </c>
      <c r="C15" s="261" t="s">
        <v>41</v>
      </c>
      <c r="D15" s="260" t="s">
        <v>42</v>
      </c>
      <c r="E15" s="260">
        <v>75</v>
      </c>
      <c r="F15" s="260">
        <v>75</v>
      </c>
      <c r="G15" s="260">
        <v>75</v>
      </c>
      <c r="H15" s="260">
        <v>75</v>
      </c>
      <c r="I15" s="260">
        <v>75</v>
      </c>
      <c r="J15" s="260">
        <v>85</v>
      </c>
      <c r="K15" s="248"/>
    </row>
    <row r="16" spans="2:15">
      <c r="B16" s="260">
        <f>B15+0.1</f>
        <v>2.2000000000000002</v>
      </c>
      <c r="C16" s="261" t="s">
        <v>165</v>
      </c>
      <c r="D16" s="260" t="s">
        <v>42</v>
      </c>
      <c r="E16" s="260"/>
      <c r="F16" s="260">
        <v>55.84</v>
      </c>
      <c r="G16" s="260">
        <v>55.84</v>
      </c>
      <c r="H16" s="260"/>
      <c r="I16" s="260">
        <v>45.04</v>
      </c>
      <c r="J16" s="260">
        <v>60</v>
      </c>
      <c r="K16" s="248"/>
    </row>
    <row r="17" spans="2:11" ht="15.75">
      <c r="B17" s="260"/>
      <c r="C17" s="261"/>
      <c r="D17" s="260"/>
      <c r="E17" s="260"/>
      <c r="F17" s="262"/>
      <c r="G17" s="262"/>
      <c r="H17" s="262"/>
      <c r="I17" s="262"/>
      <c r="J17" s="248"/>
      <c r="K17" s="248"/>
    </row>
    <row r="18" spans="2:11" ht="15.75">
      <c r="B18" s="206">
        <v>3</v>
      </c>
      <c r="C18" s="258" t="s">
        <v>186</v>
      </c>
      <c r="D18" s="260"/>
      <c r="E18" s="260"/>
      <c r="F18" s="262"/>
      <c r="G18" s="262"/>
      <c r="H18" s="262"/>
      <c r="I18" s="262"/>
      <c r="J18" s="248"/>
      <c r="K18" s="248"/>
    </row>
    <row r="19" spans="2:11">
      <c r="B19" s="260">
        <f>B18+0.1</f>
        <v>3.1</v>
      </c>
      <c r="C19" s="261" t="s">
        <v>43</v>
      </c>
      <c r="D19" s="260" t="s">
        <v>42</v>
      </c>
      <c r="E19" s="260">
        <v>75</v>
      </c>
      <c r="F19" s="260">
        <v>75</v>
      </c>
      <c r="G19" s="260">
        <v>75</v>
      </c>
      <c r="H19" s="260">
        <v>75</v>
      </c>
      <c r="I19" s="260">
        <v>75</v>
      </c>
      <c r="J19" s="260">
        <v>85</v>
      </c>
      <c r="K19" s="248"/>
    </row>
    <row r="20" spans="2:11">
      <c r="B20" s="260">
        <f>B19+0.1</f>
        <v>3.2</v>
      </c>
      <c r="C20" s="261" t="s">
        <v>166</v>
      </c>
      <c r="D20" s="260" t="s">
        <v>42</v>
      </c>
      <c r="E20" s="260"/>
      <c r="F20" s="260">
        <v>49.55</v>
      </c>
      <c r="G20" s="260">
        <v>49.55</v>
      </c>
      <c r="H20" s="260"/>
      <c r="I20" s="260">
        <v>47.16</v>
      </c>
      <c r="J20" s="260">
        <v>85</v>
      </c>
      <c r="K20" s="248"/>
    </row>
    <row r="21" spans="2:11" ht="15.75">
      <c r="B21" s="260"/>
      <c r="C21" s="261"/>
      <c r="D21" s="260"/>
      <c r="E21" s="260"/>
      <c r="F21" s="206"/>
      <c r="G21" s="206"/>
      <c r="H21" s="206"/>
      <c r="I21" s="206"/>
      <c r="J21" s="248"/>
      <c r="K21" s="248"/>
    </row>
    <row r="22" spans="2:11" ht="15.75">
      <c r="B22" s="206">
        <v>4</v>
      </c>
      <c r="C22" s="258" t="s">
        <v>56</v>
      </c>
      <c r="D22" s="260"/>
      <c r="E22" s="260"/>
      <c r="F22" s="206"/>
      <c r="G22" s="206"/>
      <c r="H22" s="206"/>
      <c r="I22" s="206"/>
      <c r="J22" s="248"/>
      <c r="K22" s="248"/>
    </row>
    <row r="23" spans="2:11">
      <c r="B23" s="260">
        <f>B22+0.1</f>
        <v>4.0999999999999996</v>
      </c>
      <c r="C23" s="261" t="s">
        <v>44</v>
      </c>
      <c r="D23" s="260" t="s">
        <v>45</v>
      </c>
      <c r="E23" s="263">
        <f>F23</f>
        <v>232.18</v>
      </c>
      <c r="F23" s="263">
        <v>232.18</v>
      </c>
      <c r="G23" s="263">
        <f>F23</f>
        <v>232.18</v>
      </c>
      <c r="H23" s="263">
        <v>219.0581</v>
      </c>
      <c r="I23" s="263">
        <v>219.0581</v>
      </c>
      <c r="J23" s="263">
        <f>J30</f>
        <v>285.79000000000002</v>
      </c>
      <c r="K23" s="248"/>
    </row>
    <row r="24" spans="2:11">
      <c r="B24" s="260">
        <f>B23+0.1</f>
        <v>4.1999999999999993</v>
      </c>
      <c r="C24" s="264" t="s">
        <v>167</v>
      </c>
      <c r="D24" s="260" t="s">
        <v>45</v>
      </c>
      <c r="E24" s="263"/>
      <c r="F24" s="263">
        <f>F30+F29</f>
        <v>271.27</v>
      </c>
      <c r="G24" s="263">
        <f>G30+G29</f>
        <v>271.27</v>
      </c>
      <c r="H24" s="263"/>
      <c r="I24" s="263">
        <v>258.892427</v>
      </c>
      <c r="J24" s="263">
        <v>328.5</v>
      </c>
      <c r="K24" s="248"/>
    </row>
    <row r="25" spans="2:11" ht="15.75">
      <c r="B25" s="260"/>
      <c r="C25" s="264"/>
      <c r="D25" s="260"/>
      <c r="E25" s="260"/>
      <c r="F25" s="206"/>
      <c r="G25" s="206"/>
      <c r="H25" s="206"/>
      <c r="I25" s="206"/>
      <c r="J25" s="248"/>
      <c r="K25" s="248"/>
    </row>
    <row r="26" spans="2:11" ht="15.75">
      <c r="B26" s="206">
        <v>5</v>
      </c>
      <c r="C26" s="265" t="s">
        <v>183</v>
      </c>
      <c r="D26" s="260"/>
      <c r="E26" s="260"/>
      <c r="F26" s="206"/>
      <c r="G26" s="206"/>
      <c r="H26" s="206"/>
      <c r="I26" s="206"/>
      <c r="J26" s="248"/>
      <c r="K26" s="248"/>
    </row>
    <row r="27" spans="2:11">
      <c r="B27" s="260">
        <f>B26+0.1</f>
        <v>5.0999999999999996</v>
      </c>
      <c r="C27" s="264" t="s">
        <v>46</v>
      </c>
      <c r="D27" s="260" t="s">
        <v>42</v>
      </c>
      <c r="E27" s="263">
        <v>10</v>
      </c>
      <c r="F27" s="263">
        <v>10</v>
      </c>
      <c r="G27" s="263">
        <v>10</v>
      </c>
      <c r="H27" s="263">
        <v>10</v>
      </c>
      <c r="I27" s="263">
        <v>10</v>
      </c>
      <c r="J27" s="263">
        <v>10</v>
      </c>
      <c r="K27" s="248"/>
    </row>
    <row r="28" spans="2:11" ht="16.5" customHeight="1">
      <c r="B28" s="260">
        <f>B27+0.1</f>
        <v>5.1999999999999993</v>
      </c>
      <c r="C28" s="264" t="s">
        <v>168</v>
      </c>
      <c r="D28" s="260" t="s">
        <v>42</v>
      </c>
      <c r="E28" s="263"/>
      <c r="F28" s="263">
        <v>14.41</v>
      </c>
      <c r="G28" s="263">
        <v>14.41</v>
      </c>
      <c r="H28" s="263"/>
      <c r="I28" s="263">
        <v>15.385999999999999</v>
      </c>
      <c r="J28" s="263">
        <v>13</v>
      </c>
      <c r="K28" s="248"/>
    </row>
    <row r="29" spans="2:11" ht="16.5" customHeight="1">
      <c r="B29" s="260">
        <f>B28+0.1</f>
        <v>5.2999999999999989</v>
      </c>
      <c r="C29" s="264" t="s">
        <v>168</v>
      </c>
      <c r="D29" s="260" t="s">
        <v>45</v>
      </c>
      <c r="E29" s="263"/>
      <c r="F29" s="263">
        <v>39.090000000000003</v>
      </c>
      <c r="G29" s="263">
        <v>39.090000000000003</v>
      </c>
      <c r="H29" s="263"/>
      <c r="I29" s="263">
        <v>39.840000000000003</v>
      </c>
      <c r="J29" s="263">
        <v>42.71</v>
      </c>
      <c r="K29" s="248"/>
    </row>
    <row r="30" spans="2:11">
      <c r="B30" s="260">
        <f>B29+0.1</f>
        <v>5.3999999999999986</v>
      </c>
      <c r="C30" s="264" t="s">
        <v>47</v>
      </c>
      <c r="D30" s="260" t="s">
        <v>45</v>
      </c>
      <c r="E30" s="263"/>
      <c r="F30" s="263">
        <v>232.18</v>
      </c>
      <c r="G30" s="263">
        <v>232.18</v>
      </c>
      <c r="H30" s="263"/>
      <c r="I30" s="263">
        <v>219.0581</v>
      </c>
      <c r="J30" s="263">
        <v>285.79000000000002</v>
      </c>
      <c r="K30" s="248"/>
    </row>
    <row r="31" spans="2:11" ht="15.75">
      <c r="B31" s="260"/>
      <c r="C31" s="264"/>
      <c r="D31" s="260"/>
      <c r="E31" s="260"/>
      <c r="F31" s="206"/>
      <c r="G31" s="206"/>
      <c r="H31" s="206"/>
      <c r="I31" s="206"/>
      <c r="J31" s="248"/>
      <c r="K31" s="248"/>
    </row>
    <row r="32" spans="2:11" ht="15.75">
      <c r="B32" s="206">
        <v>6</v>
      </c>
      <c r="C32" s="265" t="s">
        <v>225</v>
      </c>
      <c r="D32" s="260"/>
      <c r="E32" s="260"/>
      <c r="F32" s="206"/>
      <c r="G32" s="206"/>
      <c r="H32" s="206"/>
      <c r="I32" s="206"/>
      <c r="J32" s="248"/>
      <c r="K32" s="248"/>
    </row>
    <row r="33" spans="2:11">
      <c r="B33" s="260">
        <f>B32+0.1</f>
        <v>6.1</v>
      </c>
      <c r="C33" s="264" t="s">
        <v>48</v>
      </c>
      <c r="D33" s="260" t="s">
        <v>49</v>
      </c>
      <c r="E33" s="260">
        <v>3000</v>
      </c>
      <c r="F33" s="260">
        <v>3000</v>
      </c>
      <c r="G33" s="260">
        <v>3000</v>
      </c>
      <c r="H33" s="260">
        <v>3000</v>
      </c>
      <c r="I33" s="260">
        <v>3000</v>
      </c>
      <c r="J33" s="260">
        <v>3000</v>
      </c>
      <c r="K33" s="248"/>
    </row>
    <row r="34" spans="2:11">
      <c r="B34" s="260">
        <f>B33+0.1</f>
        <v>6.1999999999999993</v>
      </c>
      <c r="C34" s="261" t="s">
        <v>169</v>
      </c>
      <c r="D34" s="260" t="s">
        <v>49</v>
      </c>
      <c r="E34" s="260"/>
      <c r="F34" s="260">
        <v>2746</v>
      </c>
      <c r="G34" s="260">
        <v>2746</v>
      </c>
      <c r="H34" s="260"/>
      <c r="I34" s="260">
        <v>3246</v>
      </c>
      <c r="J34" s="260">
        <v>3000</v>
      </c>
      <c r="K34" s="248"/>
    </row>
    <row r="35" spans="2:11" ht="15.75">
      <c r="B35" s="260"/>
      <c r="C35" s="261"/>
      <c r="D35" s="260"/>
      <c r="E35" s="260"/>
      <c r="F35" s="206"/>
      <c r="G35" s="206"/>
      <c r="H35" s="206"/>
      <c r="I35" s="206"/>
      <c r="J35" s="248"/>
      <c r="K35" s="248"/>
    </row>
    <row r="36" spans="2:11" ht="15.75">
      <c r="B36" s="206">
        <v>7</v>
      </c>
      <c r="C36" s="258" t="s">
        <v>187</v>
      </c>
      <c r="D36" s="260"/>
      <c r="E36" s="260"/>
      <c r="F36" s="206"/>
      <c r="G36" s="206"/>
      <c r="H36" s="206"/>
      <c r="I36" s="206"/>
      <c r="J36" s="248"/>
      <c r="K36" s="248"/>
    </row>
    <row r="37" spans="2:11" ht="30">
      <c r="B37" s="260">
        <f>B36+0.1</f>
        <v>7.1</v>
      </c>
      <c r="C37" s="261" t="s">
        <v>50</v>
      </c>
      <c r="D37" s="260" t="s">
        <v>51</v>
      </c>
      <c r="E37" s="260">
        <v>2</v>
      </c>
      <c r="F37" s="260">
        <v>2</v>
      </c>
      <c r="G37" s="260">
        <v>2</v>
      </c>
      <c r="H37" s="260">
        <v>2</v>
      </c>
      <c r="I37" s="260">
        <v>2</v>
      </c>
      <c r="J37" s="260">
        <v>0.5</v>
      </c>
      <c r="K37" s="248"/>
    </row>
    <row r="38" spans="2:11" ht="30">
      <c r="B38" s="260">
        <f>B37+0.1</f>
        <v>7.1999999999999993</v>
      </c>
      <c r="C38" s="261" t="s">
        <v>170</v>
      </c>
      <c r="D38" s="260" t="s">
        <v>51</v>
      </c>
      <c r="E38" s="260"/>
      <c r="F38" s="260">
        <v>3.48</v>
      </c>
      <c r="G38" s="260">
        <f>F38</f>
        <v>3.48</v>
      </c>
      <c r="H38" s="260"/>
      <c r="I38" s="272">
        <f>(434.61+667.91)/(138.71+120.13)</f>
        <v>4.2594653067532064</v>
      </c>
      <c r="J38" s="260">
        <v>0.5</v>
      </c>
      <c r="K38" s="248"/>
    </row>
    <row r="39" spans="2:11" ht="15.75">
      <c r="B39" s="260"/>
      <c r="C39" s="261"/>
      <c r="D39" s="260"/>
      <c r="E39" s="260"/>
      <c r="F39" s="206"/>
      <c r="G39" s="206"/>
      <c r="H39" s="206"/>
      <c r="I39" s="206"/>
      <c r="J39" s="248"/>
      <c r="K39" s="248"/>
    </row>
    <row r="40" spans="2:11" ht="15.75">
      <c r="B40" s="206">
        <v>8</v>
      </c>
      <c r="C40" s="258" t="s">
        <v>53</v>
      </c>
      <c r="D40" s="260"/>
      <c r="E40" s="260"/>
      <c r="F40" s="206"/>
      <c r="G40" s="206"/>
      <c r="H40" s="206"/>
      <c r="I40" s="206"/>
      <c r="J40" s="248"/>
      <c r="K40" s="248"/>
    </row>
    <row r="41" spans="2:11">
      <c r="B41" s="260">
        <f>B40+0.1</f>
        <v>8.1</v>
      </c>
      <c r="C41" s="261" t="s">
        <v>52</v>
      </c>
      <c r="D41" s="260" t="s">
        <v>42</v>
      </c>
      <c r="E41" s="260">
        <v>0.8</v>
      </c>
      <c r="F41" s="260">
        <v>0.8</v>
      </c>
      <c r="G41" s="260">
        <v>0.8</v>
      </c>
      <c r="H41" s="260">
        <v>0.8</v>
      </c>
      <c r="I41" s="260">
        <v>0.8</v>
      </c>
      <c r="J41" s="260">
        <v>0.8</v>
      </c>
      <c r="K41" s="248"/>
    </row>
    <row r="42" spans="2:11">
      <c r="B42" s="260">
        <f>B41+0.1</f>
        <v>8.1999999999999993</v>
      </c>
      <c r="C42" s="261" t="s">
        <v>171</v>
      </c>
      <c r="D42" s="260" t="s">
        <v>42</v>
      </c>
      <c r="E42" s="260"/>
      <c r="F42" s="260">
        <v>0.8</v>
      </c>
      <c r="G42" s="260">
        <v>0.8</v>
      </c>
      <c r="H42" s="260">
        <v>0.8</v>
      </c>
      <c r="I42" s="260">
        <v>0.8</v>
      </c>
      <c r="J42" s="260">
        <v>0.8</v>
      </c>
      <c r="K42" s="248"/>
    </row>
    <row r="43" spans="2:11" ht="15.75">
      <c r="B43" s="206"/>
      <c r="C43" s="258"/>
      <c r="D43" s="259"/>
      <c r="E43" s="260"/>
      <c r="F43" s="206"/>
      <c r="G43" s="206"/>
      <c r="H43" s="206"/>
      <c r="I43" s="206"/>
      <c r="J43" s="248"/>
      <c r="K43" s="248"/>
    </row>
    <row r="44" spans="2:11" ht="15.75">
      <c r="B44" s="266"/>
      <c r="C44" s="267"/>
      <c r="D44" s="268"/>
      <c r="E44" s="268"/>
      <c r="F44" s="266"/>
      <c r="G44" s="266"/>
      <c r="H44" s="266"/>
      <c r="I44" s="266"/>
    </row>
    <row r="45" spans="2:11" ht="18">
      <c r="D45" s="255"/>
      <c r="E45" s="255"/>
      <c r="F45" s="269"/>
      <c r="G45" s="269"/>
      <c r="H45" s="269"/>
      <c r="I45" s="269"/>
    </row>
    <row r="46" spans="2:11" ht="18">
      <c r="B46" s="6"/>
      <c r="F46" s="269"/>
      <c r="G46" s="269"/>
      <c r="H46" s="269"/>
      <c r="I46" s="269"/>
    </row>
    <row r="47" spans="2:11" ht="18">
      <c r="C47" s="270"/>
      <c r="F47" s="269"/>
      <c r="G47" s="269"/>
      <c r="H47" s="269"/>
      <c r="I47" s="269"/>
    </row>
    <row r="48" spans="2:11">
      <c r="F48" s="271"/>
      <c r="G48" s="271"/>
      <c r="H48" s="271"/>
      <c r="I48" s="271"/>
    </row>
  </sheetData>
  <mergeCells count="9">
    <mergeCell ref="B2:K2"/>
    <mergeCell ref="B3:K3"/>
    <mergeCell ref="B4:K4"/>
    <mergeCell ref="B6:B8"/>
    <mergeCell ref="C6:C8"/>
    <mergeCell ref="D6:D8"/>
    <mergeCell ref="K6:K8"/>
    <mergeCell ref="E6:G6"/>
    <mergeCell ref="H6:I6"/>
  </mergeCells>
  <pageMargins left="1.41" right="0.5" top="0.43" bottom="0.63" header="0.5" footer="0.5"/>
  <pageSetup paperSize="9" scale="7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B2:V53"/>
  <sheetViews>
    <sheetView view="pageBreakPreview" zoomScale="60" workbookViewId="0">
      <selection activeCell="X25" sqref="X24:X25"/>
    </sheetView>
  </sheetViews>
  <sheetFormatPr defaultColWidth="9.28515625" defaultRowHeight="14.25"/>
  <cols>
    <col min="1" max="1" width="2.28515625" style="109" customWidth="1"/>
    <col min="2" max="2" width="9.28515625" style="109"/>
    <col min="3" max="3" width="39.28515625" style="109" customWidth="1"/>
    <col min="4" max="4" width="10.42578125" style="110" customWidth="1"/>
    <col min="5" max="16384" width="9.28515625" style="109"/>
  </cols>
  <sheetData>
    <row r="2" spans="2:22" ht="15">
      <c r="M2" s="39" t="s">
        <v>517</v>
      </c>
    </row>
    <row r="3" spans="2:22" ht="15">
      <c r="M3" s="39" t="s">
        <v>501</v>
      </c>
    </row>
    <row r="4" spans="2:22" ht="15">
      <c r="M4" s="41" t="s">
        <v>362</v>
      </c>
    </row>
    <row r="6" spans="2:22" ht="15">
      <c r="B6" s="374" t="s">
        <v>210</v>
      </c>
      <c r="C6" s="375" t="s">
        <v>18</v>
      </c>
      <c r="D6" s="374" t="s">
        <v>39</v>
      </c>
      <c r="E6" s="374" t="s">
        <v>506</v>
      </c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 t="s">
        <v>507</v>
      </c>
      <c r="R6" s="374"/>
      <c r="S6" s="374"/>
      <c r="T6" s="374"/>
      <c r="U6" s="374"/>
      <c r="V6" s="374"/>
    </row>
    <row r="7" spans="2:22" ht="15">
      <c r="B7" s="374"/>
      <c r="C7" s="375"/>
      <c r="D7" s="374"/>
      <c r="E7" s="112" t="s">
        <v>141</v>
      </c>
      <c r="F7" s="112" t="s">
        <v>142</v>
      </c>
      <c r="G7" s="112" t="s">
        <v>143</v>
      </c>
      <c r="H7" s="112" t="s">
        <v>144</v>
      </c>
      <c r="I7" s="112" t="s">
        <v>145</v>
      </c>
      <c r="J7" s="112" t="s">
        <v>146</v>
      </c>
      <c r="K7" s="112" t="s">
        <v>147</v>
      </c>
      <c r="L7" s="112" t="s">
        <v>148</v>
      </c>
      <c r="M7" s="112" t="s">
        <v>149</v>
      </c>
      <c r="N7" s="112" t="s">
        <v>150</v>
      </c>
      <c r="O7" s="112" t="s">
        <v>151</v>
      </c>
      <c r="P7" s="112" t="s">
        <v>152</v>
      </c>
      <c r="Q7" s="112" t="s">
        <v>141</v>
      </c>
      <c r="R7" s="112" t="s">
        <v>142</v>
      </c>
      <c r="S7" s="112" t="s">
        <v>143</v>
      </c>
      <c r="T7" s="112" t="s">
        <v>144</v>
      </c>
      <c r="U7" s="112" t="s">
        <v>145</v>
      </c>
      <c r="V7" s="112" t="s">
        <v>146</v>
      </c>
    </row>
    <row r="8" spans="2:22" ht="15">
      <c r="B8" s="112" t="s">
        <v>67</v>
      </c>
      <c r="C8" s="129" t="s">
        <v>335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2:22">
      <c r="B9" s="113">
        <v>1</v>
      </c>
      <c r="C9" s="115" t="s">
        <v>452</v>
      </c>
      <c r="D9" s="113" t="s">
        <v>337</v>
      </c>
      <c r="E9" s="34">
        <v>8182.3799999999401</v>
      </c>
      <c r="F9" s="34">
        <v>14643.149999999949</v>
      </c>
      <c r="G9" s="34">
        <v>9460.9699999999539</v>
      </c>
      <c r="H9" s="34">
        <v>11814.459999999952</v>
      </c>
      <c r="I9" s="34">
        <v>13313.309999999961</v>
      </c>
      <c r="J9" s="34">
        <v>8558.0899999999601</v>
      </c>
      <c r="K9" s="34">
        <v>12368.539999999963</v>
      </c>
      <c r="L9" s="34">
        <v>15243.019999999957</v>
      </c>
      <c r="M9" s="34">
        <v>11033.579999999954</v>
      </c>
      <c r="N9" s="34">
        <v>14286.979999999954</v>
      </c>
      <c r="O9" s="34">
        <v>15378.849999999951</v>
      </c>
      <c r="P9" s="34">
        <v>498.34999999995125</v>
      </c>
      <c r="Q9" s="187">
        <v>12364.969999999952</v>
      </c>
      <c r="R9" s="187">
        <v>8144.4299999999457</v>
      </c>
      <c r="S9" s="187">
        <v>4312.9999999999491</v>
      </c>
      <c r="T9" s="187">
        <v>5034.8199999999488</v>
      </c>
      <c r="U9" s="187">
        <v>4028.2799999999552</v>
      </c>
      <c r="V9" s="187">
        <v>2332.8299999999399</v>
      </c>
    </row>
    <row r="10" spans="2:22">
      <c r="B10" s="113">
        <f>B9+1</f>
        <v>2</v>
      </c>
      <c r="C10" s="115" t="s">
        <v>336</v>
      </c>
      <c r="D10" s="190" t="s">
        <v>485</v>
      </c>
      <c r="E10" s="188">
        <v>3.4629865116181882</v>
      </c>
      <c r="F10" s="188">
        <v>6.2682098222246836</v>
      </c>
      <c r="G10" s="188">
        <v>4.3265227601727254</v>
      </c>
      <c r="H10" s="188">
        <v>5.3138351687633394</v>
      </c>
      <c r="I10" s="188">
        <v>6.2098781106770815</v>
      </c>
      <c r="J10" s="188">
        <v>3.9860678222889452</v>
      </c>
      <c r="K10" s="188">
        <v>5.7668049257615239</v>
      </c>
      <c r="L10" s="188">
        <v>7.2549779849174438</v>
      </c>
      <c r="M10" s="188">
        <v>5.2574353085907637</v>
      </c>
      <c r="N10" s="188">
        <v>6.9300926409541965</v>
      </c>
      <c r="O10" s="188">
        <v>7.0239910204028488</v>
      </c>
      <c r="P10" s="188">
        <v>0.22761168260418876</v>
      </c>
      <c r="Q10" s="188">
        <v>4.6817634913736503</v>
      </c>
      <c r="R10" s="188">
        <v>3.5419184727232604</v>
      </c>
      <c r="S10" s="188">
        <v>2.0880060149988431</v>
      </c>
      <c r="T10" s="188">
        <v>2.4751626225975709</v>
      </c>
      <c r="U10" s="188">
        <v>2.0767828371477215</v>
      </c>
      <c r="V10" s="188">
        <v>1.2156133844635517</v>
      </c>
    </row>
    <row r="11" spans="2:22" ht="15">
      <c r="B11" s="112" t="s">
        <v>71</v>
      </c>
      <c r="C11" s="129" t="s">
        <v>338</v>
      </c>
      <c r="D11" s="113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</row>
    <row r="12" spans="2:22" ht="28.5">
      <c r="B12" s="113">
        <f>B10+1</f>
        <v>3</v>
      </c>
      <c r="C12" s="115" t="s">
        <v>453</v>
      </c>
      <c r="D12" s="113" t="s">
        <v>337</v>
      </c>
      <c r="E12" s="187">
        <v>16928.900000000001</v>
      </c>
      <c r="F12" s="187">
        <v>18811.73</v>
      </c>
      <c r="G12" s="187">
        <v>24056.76</v>
      </c>
      <c r="H12" s="187">
        <v>19895.349999999999</v>
      </c>
      <c r="I12" s="187">
        <v>20420.060000000001</v>
      </c>
      <c r="J12" s="187">
        <v>27169.48</v>
      </c>
      <c r="K12" s="187">
        <v>8916.1299999999992</v>
      </c>
      <c r="L12" s="187">
        <v>11569.74</v>
      </c>
      <c r="M12" s="187">
        <v>12875.16</v>
      </c>
      <c r="N12" s="187">
        <v>17601.309999999998</v>
      </c>
      <c r="O12" s="187">
        <v>0</v>
      </c>
      <c r="P12" s="187">
        <v>25342.15</v>
      </c>
      <c r="Q12" s="187">
        <v>14088.250000000004</v>
      </c>
      <c r="R12" s="187">
        <v>20871.44000000001</v>
      </c>
      <c r="S12" s="187">
        <v>22277.279999999999</v>
      </c>
      <c r="T12" s="187">
        <v>22733.53</v>
      </c>
      <c r="U12" s="187">
        <v>18846.18</v>
      </c>
      <c r="V12" s="187">
        <v>7198.7</v>
      </c>
    </row>
    <row r="13" spans="2:22" ht="28.5">
      <c r="B13" s="113">
        <f>B12+1</f>
        <v>4</v>
      </c>
      <c r="C13" s="115" t="s">
        <v>454</v>
      </c>
      <c r="D13" s="113" t="s">
        <v>337</v>
      </c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</row>
    <row r="14" spans="2:22">
      <c r="B14" s="113">
        <f>B13+1</f>
        <v>5</v>
      </c>
      <c r="C14" s="115" t="s">
        <v>455</v>
      </c>
      <c r="D14" s="113" t="s">
        <v>337</v>
      </c>
      <c r="E14" s="187">
        <v>16928.900000000001</v>
      </c>
      <c r="F14" s="187">
        <v>18811.73</v>
      </c>
      <c r="G14" s="187">
        <v>24056.76</v>
      </c>
      <c r="H14" s="187">
        <v>19895.349999999999</v>
      </c>
      <c r="I14" s="187">
        <v>20420.060000000001</v>
      </c>
      <c r="J14" s="187">
        <v>27169.48</v>
      </c>
      <c r="K14" s="187">
        <v>8916.1299999999992</v>
      </c>
      <c r="L14" s="187">
        <v>11569.74</v>
      </c>
      <c r="M14" s="187">
        <v>12875.16</v>
      </c>
      <c r="N14" s="187">
        <v>17601.309999999998</v>
      </c>
      <c r="O14" s="187">
        <v>0</v>
      </c>
      <c r="P14" s="187">
        <v>25342.15</v>
      </c>
      <c r="Q14" s="187">
        <v>14088.250000000004</v>
      </c>
      <c r="R14" s="187">
        <v>20871.44000000001</v>
      </c>
      <c r="S14" s="187">
        <v>22277.279999999999</v>
      </c>
      <c r="T14" s="187">
        <v>22733.53</v>
      </c>
      <c r="U14" s="187">
        <v>18846.18</v>
      </c>
      <c r="V14" s="187">
        <v>7198.7</v>
      </c>
    </row>
    <row r="15" spans="2:22">
      <c r="B15" s="113">
        <f>B14+1</f>
        <v>6</v>
      </c>
      <c r="C15" s="115" t="s">
        <v>339</v>
      </c>
      <c r="D15" s="113" t="s">
        <v>337</v>
      </c>
      <c r="E15" s="187">
        <v>135.43119999999908</v>
      </c>
      <c r="F15" s="187">
        <v>150.49383999999918</v>
      </c>
      <c r="G15" s="187">
        <v>192.45407999999952</v>
      </c>
      <c r="H15" s="187">
        <v>159.16279999999824</v>
      </c>
      <c r="I15" s="187">
        <v>163.36047999999937</v>
      </c>
      <c r="J15" s="187">
        <v>217.35584000000017</v>
      </c>
      <c r="K15" s="187">
        <v>71.329040000000532</v>
      </c>
      <c r="L15" s="187">
        <v>92.557919999999285</v>
      </c>
      <c r="M15" s="187">
        <v>103.00128000000041</v>
      </c>
      <c r="N15" s="187">
        <v>140.8104800000001</v>
      </c>
      <c r="O15" s="187"/>
      <c r="P15" s="187">
        <v>202.73719999999958</v>
      </c>
      <c r="Q15" s="187">
        <v>112.70600000000013</v>
      </c>
      <c r="R15" s="187">
        <v>166.97151999999915</v>
      </c>
      <c r="S15" s="187">
        <v>178.21823999999833</v>
      </c>
      <c r="T15" s="187">
        <v>181.86823999999979</v>
      </c>
      <c r="U15" s="187">
        <v>150.76944000000003</v>
      </c>
      <c r="V15" s="187">
        <v>57.589600000000246</v>
      </c>
    </row>
    <row r="16" spans="2:22" ht="15">
      <c r="B16" s="113">
        <f>B15+1</f>
        <v>7</v>
      </c>
      <c r="C16" s="115" t="s">
        <v>456</v>
      </c>
      <c r="D16" s="113" t="s">
        <v>337</v>
      </c>
      <c r="E16" s="132">
        <f>E14-E15</f>
        <v>16793.468800000002</v>
      </c>
      <c r="F16" s="132">
        <f t="shared" ref="F16:V16" si="0">F14-F15</f>
        <v>18661.23616</v>
      </c>
      <c r="G16" s="132">
        <f t="shared" si="0"/>
        <v>23864.305919999999</v>
      </c>
      <c r="H16" s="132">
        <f t="shared" si="0"/>
        <v>19736.1872</v>
      </c>
      <c r="I16" s="132">
        <f t="shared" si="0"/>
        <v>20256.699520000002</v>
      </c>
      <c r="J16" s="132">
        <f t="shared" si="0"/>
        <v>26952.124159999999</v>
      </c>
      <c r="K16" s="132">
        <f t="shared" si="0"/>
        <v>8844.8009599999987</v>
      </c>
      <c r="L16" s="132">
        <f t="shared" si="0"/>
        <v>11477.18208</v>
      </c>
      <c r="M16" s="132">
        <f t="shared" si="0"/>
        <v>12772.158719999999</v>
      </c>
      <c r="N16" s="132">
        <f t="shared" si="0"/>
        <v>17460.499519999998</v>
      </c>
      <c r="O16" s="132">
        <f t="shared" si="0"/>
        <v>0</v>
      </c>
      <c r="P16" s="132">
        <f t="shared" si="0"/>
        <v>25139.412800000002</v>
      </c>
      <c r="Q16" s="132">
        <f t="shared" si="0"/>
        <v>13975.544000000004</v>
      </c>
      <c r="R16" s="132">
        <f t="shared" si="0"/>
        <v>20704.46848000001</v>
      </c>
      <c r="S16" s="132">
        <f t="shared" si="0"/>
        <v>22099.061760000001</v>
      </c>
      <c r="T16" s="132">
        <f t="shared" si="0"/>
        <v>22551.661759999999</v>
      </c>
      <c r="U16" s="132">
        <f t="shared" si="0"/>
        <v>18695.41056</v>
      </c>
      <c r="V16" s="132">
        <f t="shared" si="0"/>
        <v>7141.1103999999996</v>
      </c>
    </row>
    <row r="17" spans="2:22" ht="15">
      <c r="B17" s="112" t="s">
        <v>72</v>
      </c>
      <c r="C17" s="129" t="s">
        <v>340</v>
      </c>
      <c r="D17" s="113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2:22">
      <c r="B18" s="113">
        <f>B16+1</f>
        <v>8</v>
      </c>
      <c r="C18" s="115" t="s">
        <v>457</v>
      </c>
      <c r="D18" s="190" t="s">
        <v>485</v>
      </c>
      <c r="E18" s="188">
        <v>6.5971565080000003</v>
      </c>
      <c r="F18" s="188">
        <v>7.5754189530000016</v>
      </c>
      <c r="G18" s="188">
        <v>10.071490364999999</v>
      </c>
      <c r="H18" s="188">
        <v>8.1895962979999979</v>
      </c>
      <c r="I18" s="188">
        <v>8.3596146480000044</v>
      </c>
      <c r="J18" s="188">
        <v>11.122428385000008</v>
      </c>
      <c r="K18" s="188">
        <v>3.6293685290000015</v>
      </c>
      <c r="L18" s="188">
        <v>4.7618557389999996</v>
      </c>
      <c r="M18" s="188">
        <v>5.3268455809999971</v>
      </c>
      <c r="N18" s="188">
        <v>6.0843783399999918</v>
      </c>
      <c r="O18" s="188">
        <v>0</v>
      </c>
      <c r="P18" s="188">
        <v>8.9904501060000026</v>
      </c>
      <c r="Q18" s="188">
        <v>6.3339735919999915</v>
      </c>
      <c r="R18" s="188">
        <v>9.86450987300001</v>
      </c>
      <c r="S18" s="188">
        <v>10.369214585000002</v>
      </c>
      <c r="T18" s="188">
        <v>11.385920020999999</v>
      </c>
      <c r="U18" s="188">
        <v>9.6564806139999977</v>
      </c>
      <c r="V18" s="188">
        <v>3.5816681359999998</v>
      </c>
    </row>
    <row r="19" spans="2:22" ht="28.5">
      <c r="B19" s="113">
        <f>B18+1</f>
        <v>9</v>
      </c>
      <c r="C19" s="115" t="s">
        <v>458</v>
      </c>
      <c r="D19" s="190" t="s">
        <v>485</v>
      </c>
      <c r="E19" s="188">
        <v>0.37215298377640005</v>
      </c>
      <c r="F19" s="188">
        <v>1.0862362853096001</v>
      </c>
      <c r="G19" s="188">
        <v>0.23994369454880021</v>
      </c>
      <c r="H19" s="188">
        <v>0.8867337683031995</v>
      </c>
      <c r="I19" s="188">
        <v>0.74029581052159965</v>
      </c>
      <c r="J19" s="188">
        <v>1.0400423522525997</v>
      </c>
      <c r="K19" s="188">
        <v>0.47704193257099969</v>
      </c>
      <c r="L19" s="188">
        <v>0.49027322628399983</v>
      </c>
      <c r="M19" s="188">
        <v>0.69600241131240004</v>
      </c>
      <c r="N19" s="188">
        <v>1.2081006506146001</v>
      </c>
      <c r="O19" s="188">
        <v>0</v>
      </c>
      <c r="P19" s="188">
        <v>1.5662975013199992E-2</v>
      </c>
      <c r="Q19" s="188">
        <v>0.18158663824560037</v>
      </c>
      <c r="R19" s="188">
        <v>0.19479411059320001</v>
      </c>
      <c r="S19" s="188">
        <v>9.5561030502800251E-2</v>
      </c>
      <c r="T19" s="188">
        <v>-3.9744747262000106E-2</v>
      </c>
      <c r="U19" s="188">
        <v>-0.2393583759659999</v>
      </c>
      <c r="V19" s="188">
        <v>-0.18868541871799999</v>
      </c>
    </row>
    <row r="20" spans="2:22" ht="28.5">
      <c r="B20" s="113">
        <f>B19+1</f>
        <v>10</v>
      </c>
      <c r="C20" s="115" t="s">
        <v>341</v>
      </c>
      <c r="D20" s="190" t="s">
        <v>485</v>
      </c>
      <c r="E20" s="188">
        <v>9.06719E-2</v>
      </c>
      <c r="F20" s="188">
        <v>0.10457320000000001</v>
      </c>
      <c r="G20" s="188">
        <v>0.10657990000000001</v>
      </c>
      <c r="H20" s="188">
        <v>0.12604490700000001</v>
      </c>
      <c r="I20" s="188">
        <v>0.11216470000000001</v>
      </c>
      <c r="J20" s="188">
        <v>0.1082847</v>
      </c>
      <c r="K20" s="188">
        <v>0.11992999999999999</v>
      </c>
      <c r="L20" s="188">
        <v>0.1023207</v>
      </c>
      <c r="M20" s="188">
        <v>0.12334879999999999</v>
      </c>
      <c r="N20" s="188">
        <v>0.1093283</v>
      </c>
      <c r="O20" s="188">
        <v>0</v>
      </c>
      <c r="P20" s="188">
        <v>0.25551770000000001</v>
      </c>
      <c r="Q20" s="188">
        <v>9.9837499999999996E-2</v>
      </c>
      <c r="R20" s="188">
        <v>0.14465040000000001</v>
      </c>
      <c r="S20" s="188">
        <v>0.1772358</v>
      </c>
      <c r="T20" s="188">
        <v>0.16222919999999999</v>
      </c>
      <c r="U20" s="188">
        <v>0.14690790000000001</v>
      </c>
      <c r="V20" s="188">
        <v>0.1330896</v>
      </c>
    </row>
    <row r="21" spans="2:22" ht="15">
      <c r="B21" s="113">
        <f>B20+1</f>
        <v>11</v>
      </c>
      <c r="C21" s="115" t="s">
        <v>342</v>
      </c>
      <c r="D21" s="190" t="s">
        <v>485</v>
      </c>
      <c r="E21" s="132">
        <f>E18+E19+E20</f>
        <v>7.0599813917764003</v>
      </c>
      <c r="F21" s="132">
        <f t="shared" ref="F21:V21" si="1">F18+F19+F20</f>
        <v>8.7662284383096019</v>
      </c>
      <c r="G21" s="132">
        <f t="shared" si="1"/>
        <v>10.4180139595488</v>
      </c>
      <c r="H21" s="132">
        <f t="shared" si="1"/>
        <v>9.2023749733031988</v>
      </c>
      <c r="I21" s="132">
        <f t="shared" si="1"/>
        <v>9.2120751585216034</v>
      </c>
      <c r="J21" s="132">
        <f t="shared" si="1"/>
        <v>12.270755437252609</v>
      </c>
      <c r="K21" s="132">
        <f t="shared" si="1"/>
        <v>4.2263404615710014</v>
      </c>
      <c r="L21" s="132">
        <f t="shared" si="1"/>
        <v>5.3544496652839992</v>
      </c>
      <c r="M21" s="132">
        <f t="shared" si="1"/>
        <v>6.1461967923123968</v>
      </c>
      <c r="N21" s="132">
        <f t="shared" si="1"/>
        <v>7.4018072906145917</v>
      </c>
      <c r="O21" s="132">
        <f t="shared" si="1"/>
        <v>0</v>
      </c>
      <c r="P21" s="132">
        <f t="shared" si="1"/>
        <v>9.2616307810132028</v>
      </c>
      <c r="Q21" s="132">
        <f t="shared" si="1"/>
        <v>6.6153977302455917</v>
      </c>
      <c r="R21" s="132">
        <f t="shared" si="1"/>
        <v>10.20395438359321</v>
      </c>
      <c r="S21" s="132">
        <f t="shared" si="1"/>
        <v>10.642011415502802</v>
      </c>
      <c r="T21" s="132">
        <f t="shared" si="1"/>
        <v>11.508404473737999</v>
      </c>
      <c r="U21" s="132">
        <f t="shared" si="1"/>
        <v>9.5640301380339974</v>
      </c>
      <c r="V21" s="132">
        <f t="shared" si="1"/>
        <v>3.5260723172819999</v>
      </c>
    </row>
    <row r="22" spans="2:22" ht="15">
      <c r="B22" s="112" t="s">
        <v>343</v>
      </c>
      <c r="C22" s="129" t="s">
        <v>344</v>
      </c>
      <c r="D22" s="11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2:22">
      <c r="B23" s="113">
        <f>B21+1</f>
        <v>12</v>
      </c>
      <c r="C23" s="115" t="s">
        <v>345</v>
      </c>
      <c r="D23" s="113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2:22">
      <c r="B24" s="113"/>
      <c r="C24" s="115" t="s">
        <v>346</v>
      </c>
      <c r="D24" s="190" t="s">
        <v>485</v>
      </c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</row>
    <row r="25" spans="2:22">
      <c r="B25" s="113"/>
      <c r="C25" s="115" t="s">
        <v>347</v>
      </c>
      <c r="D25" s="190" t="s">
        <v>485</v>
      </c>
      <c r="E25" s="188">
        <v>0.16830144552000001</v>
      </c>
      <c r="F25" s="188">
        <v>0.19573208508799997</v>
      </c>
      <c r="G25" s="188">
        <v>0.24430095821200004</v>
      </c>
      <c r="H25" s="188">
        <v>0.20031590780199995</v>
      </c>
      <c r="I25" s="188">
        <v>0.21381764950000001</v>
      </c>
      <c r="J25" s="188">
        <v>0.29973700809999998</v>
      </c>
      <c r="K25" s="188">
        <v>0.10343138363199998</v>
      </c>
      <c r="L25" s="188">
        <v>0.12258986977600002</v>
      </c>
      <c r="M25" s="188">
        <v>0.143663038864</v>
      </c>
      <c r="N25" s="188">
        <v>0.16814467962799998</v>
      </c>
      <c r="O25" s="188">
        <v>0</v>
      </c>
      <c r="P25" s="188">
        <v>0.21801455985599999</v>
      </c>
      <c r="Q25" s="188">
        <v>0.15802387023200001</v>
      </c>
      <c r="R25" s="188">
        <v>0.22043216393199996</v>
      </c>
      <c r="S25" s="188">
        <v>0.2543887754980001</v>
      </c>
      <c r="T25" s="188">
        <v>0.23866468905599988</v>
      </c>
      <c r="U25" s="188">
        <v>0.20026519560000006</v>
      </c>
      <c r="V25" s="188">
        <v>7.8799978320000005E-2</v>
      </c>
    </row>
    <row r="26" spans="2:22">
      <c r="B26" s="113"/>
      <c r="C26" s="115" t="s">
        <v>348</v>
      </c>
      <c r="D26" s="190" t="s">
        <v>485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>
      <c r="B27" s="113"/>
      <c r="C27" s="115" t="s">
        <v>9</v>
      </c>
      <c r="D27" s="190" t="s">
        <v>485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2:22" ht="28.5">
      <c r="B28" s="113">
        <f>B23+1</f>
        <v>13</v>
      </c>
      <c r="C28" s="115" t="s">
        <v>459</v>
      </c>
      <c r="D28" s="190" t="s">
        <v>485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2:22">
      <c r="B29" s="113">
        <f>B28+1</f>
        <v>14</v>
      </c>
      <c r="C29" s="115" t="s">
        <v>349</v>
      </c>
      <c r="D29" s="190" t="s">
        <v>485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2:22" ht="28.5">
      <c r="B30" s="113">
        <f>B29+1</f>
        <v>15</v>
      </c>
      <c r="C30" s="115" t="s">
        <v>460</v>
      </c>
      <c r="D30" s="190" t="s">
        <v>485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2:22" ht="28.5">
      <c r="B31" s="113">
        <f>B30+1</f>
        <v>16</v>
      </c>
      <c r="C31" s="115" t="s">
        <v>350</v>
      </c>
      <c r="D31" s="190" t="s">
        <v>485</v>
      </c>
      <c r="E31" s="133">
        <f>SUM(E24:E30)</f>
        <v>0.16830144552000001</v>
      </c>
      <c r="F31" s="133">
        <f t="shared" ref="F31:V31" si="2">SUM(F24:F30)</f>
        <v>0.19573208508799997</v>
      </c>
      <c r="G31" s="133">
        <f t="shared" si="2"/>
        <v>0.24430095821200004</v>
      </c>
      <c r="H31" s="133">
        <f t="shared" si="2"/>
        <v>0.20031590780199995</v>
      </c>
      <c r="I31" s="133">
        <f t="shared" si="2"/>
        <v>0.21381764950000001</v>
      </c>
      <c r="J31" s="133">
        <f t="shared" si="2"/>
        <v>0.29973700809999998</v>
      </c>
      <c r="K31" s="133">
        <f t="shared" si="2"/>
        <v>0.10343138363199998</v>
      </c>
      <c r="L31" s="133">
        <f t="shared" si="2"/>
        <v>0.12258986977600002</v>
      </c>
      <c r="M31" s="133">
        <f t="shared" si="2"/>
        <v>0.143663038864</v>
      </c>
      <c r="N31" s="133">
        <f t="shared" si="2"/>
        <v>0.16814467962799998</v>
      </c>
      <c r="O31" s="133">
        <f t="shared" si="2"/>
        <v>0</v>
      </c>
      <c r="P31" s="133">
        <f t="shared" si="2"/>
        <v>0.21801455985599999</v>
      </c>
      <c r="Q31" s="133">
        <f t="shared" si="2"/>
        <v>0.15802387023200001</v>
      </c>
      <c r="R31" s="133">
        <f t="shared" si="2"/>
        <v>0.22043216393199996</v>
      </c>
      <c r="S31" s="133">
        <f t="shared" si="2"/>
        <v>0.2543887754980001</v>
      </c>
      <c r="T31" s="133">
        <f t="shared" si="2"/>
        <v>0.23866468905599988</v>
      </c>
      <c r="U31" s="133">
        <f t="shared" si="2"/>
        <v>0.20026519560000006</v>
      </c>
      <c r="V31" s="133">
        <f t="shared" si="2"/>
        <v>7.8799978320000005E-2</v>
      </c>
    </row>
    <row r="32" spans="2:22" ht="28.5">
      <c r="B32" s="113">
        <f>B31+1</f>
        <v>17</v>
      </c>
      <c r="C32" s="115" t="s">
        <v>461</v>
      </c>
      <c r="D32" s="190" t="s">
        <v>485</v>
      </c>
      <c r="E32" s="133">
        <f>E21+E31</f>
        <v>7.2282828372964003</v>
      </c>
      <c r="F32" s="133">
        <f t="shared" ref="F32:V32" si="3">F21+F31</f>
        <v>8.9619605233976021</v>
      </c>
      <c r="G32" s="133">
        <f t="shared" si="3"/>
        <v>10.662314917760799</v>
      </c>
      <c r="H32" s="133">
        <f t="shared" si="3"/>
        <v>9.4026908811051992</v>
      </c>
      <c r="I32" s="133">
        <f t="shared" si="3"/>
        <v>9.4258928080216027</v>
      </c>
      <c r="J32" s="133">
        <f t="shared" si="3"/>
        <v>12.570492445352608</v>
      </c>
      <c r="K32" s="133">
        <f t="shared" si="3"/>
        <v>4.329771845203001</v>
      </c>
      <c r="L32" s="133">
        <f t="shared" si="3"/>
        <v>5.4770395350599994</v>
      </c>
      <c r="M32" s="133">
        <f t="shared" si="3"/>
        <v>6.2898598311763969</v>
      </c>
      <c r="N32" s="133">
        <f t="shared" si="3"/>
        <v>7.5699519702425917</v>
      </c>
      <c r="O32" s="133">
        <f t="shared" si="3"/>
        <v>0</v>
      </c>
      <c r="P32" s="133">
        <f t="shared" si="3"/>
        <v>9.4796453408692027</v>
      </c>
      <c r="Q32" s="133">
        <f t="shared" si="3"/>
        <v>6.773421600477592</v>
      </c>
      <c r="R32" s="133">
        <f t="shared" si="3"/>
        <v>10.424386547525209</v>
      </c>
      <c r="S32" s="133">
        <f t="shared" si="3"/>
        <v>10.896400191000803</v>
      </c>
      <c r="T32" s="133">
        <f t="shared" si="3"/>
        <v>11.747069162793998</v>
      </c>
      <c r="U32" s="133">
        <f t="shared" si="3"/>
        <v>9.7642953336339975</v>
      </c>
      <c r="V32" s="133">
        <f t="shared" si="3"/>
        <v>3.6048722956020001</v>
      </c>
    </row>
    <row r="33" spans="2:22" ht="15">
      <c r="B33" s="112" t="s">
        <v>351</v>
      </c>
      <c r="C33" s="129" t="s">
        <v>201</v>
      </c>
      <c r="D33" s="113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2:22" ht="15">
      <c r="B34" s="113">
        <f>B32+1</f>
        <v>18</v>
      </c>
      <c r="C34" s="115" t="s">
        <v>462</v>
      </c>
      <c r="D34" s="113" t="s">
        <v>352</v>
      </c>
      <c r="E34" s="132">
        <f t="shared" ref="E34:V34" si="4">IFERROR((E10+E32)/(E9+E16),0)*10000000</f>
        <v>4280.6430462193593</v>
      </c>
      <c r="F34" s="132">
        <f t="shared" si="4"/>
        <v>4573.0223858364925</v>
      </c>
      <c r="G34" s="132">
        <f t="shared" si="4"/>
        <v>4497.7385075266757</v>
      </c>
      <c r="H34" s="132">
        <f t="shared" si="4"/>
        <v>4664.413365779882</v>
      </c>
      <c r="I34" s="132">
        <f t="shared" si="4"/>
        <v>4657.6605554381449</v>
      </c>
      <c r="J34" s="132">
        <f t="shared" si="4"/>
        <v>4662.4782923138455</v>
      </c>
      <c r="K34" s="132">
        <f t="shared" si="4"/>
        <v>4759.5410784198057</v>
      </c>
      <c r="L34" s="132">
        <f t="shared" si="4"/>
        <v>4764.9405801116091</v>
      </c>
      <c r="M34" s="132">
        <f t="shared" si="4"/>
        <v>4850.6350823996536</v>
      </c>
      <c r="N34" s="132">
        <f t="shared" si="4"/>
        <v>4567.3057610958376</v>
      </c>
      <c r="O34" s="132">
        <f t="shared" si="4"/>
        <v>4567.3057610958367</v>
      </c>
      <c r="P34" s="132">
        <f t="shared" si="4"/>
        <v>3786.3120503920918</v>
      </c>
      <c r="Q34" s="132">
        <f t="shared" si="4"/>
        <v>4348.8844188276889</v>
      </c>
      <c r="R34" s="132">
        <f t="shared" si="4"/>
        <v>4841.1917806604906</v>
      </c>
      <c r="S34" s="132">
        <f t="shared" si="4"/>
        <v>4916.0895972400112</v>
      </c>
      <c r="T34" s="132">
        <f t="shared" si="4"/>
        <v>5155.5076537572932</v>
      </c>
      <c r="U34" s="132">
        <f t="shared" si="4"/>
        <v>5210.8957123475911</v>
      </c>
      <c r="V34" s="132">
        <f t="shared" si="4"/>
        <v>5088.1528451092881</v>
      </c>
    </row>
    <row r="35" spans="2:22">
      <c r="B35" s="113">
        <f>B34+1</f>
        <v>19</v>
      </c>
      <c r="C35" s="115" t="s">
        <v>353</v>
      </c>
      <c r="D35" s="11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2:22" ht="28.5">
      <c r="B36" s="113">
        <f>B35+1</f>
        <v>20</v>
      </c>
      <c r="C36" s="115" t="s">
        <v>463</v>
      </c>
      <c r="D36" s="113" t="s">
        <v>352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2:22" ht="15">
      <c r="B37" s="112" t="s">
        <v>354</v>
      </c>
      <c r="C37" s="129" t="s">
        <v>355</v>
      </c>
      <c r="D37" s="113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2:22" ht="28.5">
      <c r="B38" s="113">
        <f>B36+1</f>
        <v>21</v>
      </c>
      <c r="C38" s="115" t="s">
        <v>464</v>
      </c>
      <c r="D38" s="113" t="s">
        <v>356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2:22" ht="28.5">
      <c r="B39" s="113">
        <f>B38+1</f>
        <v>22</v>
      </c>
      <c r="C39" s="115" t="s">
        <v>465</v>
      </c>
      <c r="D39" s="113" t="s">
        <v>356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2:22" ht="28.5">
      <c r="B40" s="113">
        <f t="shared" ref="B40:B47" si="5">B39+1</f>
        <v>23</v>
      </c>
      <c r="C40" s="115" t="s">
        <v>466</v>
      </c>
      <c r="D40" s="113" t="s">
        <v>356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2:22" ht="28.5">
      <c r="B41" s="113">
        <f t="shared" si="5"/>
        <v>24</v>
      </c>
      <c r="C41" s="115" t="s">
        <v>467</v>
      </c>
      <c r="D41" s="113" t="s">
        <v>356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2:22">
      <c r="B42" s="113">
        <f t="shared" si="5"/>
        <v>25</v>
      </c>
      <c r="C42" s="115" t="s">
        <v>468</v>
      </c>
      <c r="D42" s="113" t="s">
        <v>356</v>
      </c>
      <c r="E42" s="187">
        <v>4429.8331537710683</v>
      </c>
      <c r="F42" s="187">
        <v>4485.7548844906141</v>
      </c>
      <c r="G42" s="187">
        <v>4230.1894584315933</v>
      </c>
      <c r="H42" s="187">
        <v>4449.1233432722402</v>
      </c>
      <c r="I42" s="187">
        <v>4360.7222424175679</v>
      </c>
      <c r="J42" s="187">
        <v>4384.6173071430139</v>
      </c>
      <c r="K42" s="187">
        <v>4357.1411176449556</v>
      </c>
      <c r="L42" s="187">
        <v>4428.6292362164904</v>
      </c>
      <c r="M42" s="187">
        <v>4628.1530549784802</v>
      </c>
      <c r="N42" s="187">
        <v>4478.7766689783375</v>
      </c>
      <c r="O42" s="187">
        <v>0</v>
      </c>
      <c r="P42" s="187">
        <v>3570.7530546056682</v>
      </c>
      <c r="Q42" s="187">
        <v>3974</v>
      </c>
      <c r="R42" s="187">
        <v>4203</v>
      </c>
      <c r="S42" s="187">
        <v>4168</v>
      </c>
      <c r="T42" s="187">
        <v>4340</v>
      </c>
      <c r="U42" s="187">
        <v>4530</v>
      </c>
      <c r="V42" s="187">
        <v>4310</v>
      </c>
    </row>
    <row r="43" spans="2:22" ht="28.5">
      <c r="B43" s="113">
        <f t="shared" si="5"/>
        <v>26</v>
      </c>
      <c r="C43" s="115" t="s">
        <v>469</v>
      </c>
      <c r="D43" s="113" t="s">
        <v>356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2" ht="28.5">
      <c r="B44" s="113">
        <f t="shared" si="5"/>
        <v>27</v>
      </c>
      <c r="C44" s="115" t="s">
        <v>470</v>
      </c>
      <c r="D44" s="113" t="s">
        <v>356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ht="28.5">
      <c r="B45" s="113">
        <f t="shared" si="5"/>
        <v>28</v>
      </c>
      <c r="C45" s="115" t="s">
        <v>471</v>
      </c>
      <c r="D45" s="113" t="s">
        <v>356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2:22" ht="28.5">
      <c r="B46" s="113">
        <f t="shared" si="5"/>
        <v>29</v>
      </c>
      <c r="C46" s="115" t="s">
        <v>471</v>
      </c>
      <c r="D46" s="113" t="s">
        <v>356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2:22" ht="28.5">
      <c r="B47" s="113">
        <f t="shared" si="5"/>
        <v>30</v>
      </c>
      <c r="C47" s="115" t="s">
        <v>472</v>
      </c>
      <c r="D47" s="113" t="s">
        <v>356</v>
      </c>
      <c r="E47" s="187">
        <v>3635</v>
      </c>
      <c r="F47" s="187">
        <v>3711</v>
      </c>
      <c r="G47" s="187">
        <v>3766</v>
      </c>
      <c r="H47" s="187">
        <v>3723</v>
      </c>
      <c r="I47" s="187">
        <v>3632</v>
      </c>
      <c r="J47" s="187">
        <v>3530</v>
      </c>
      <c r="K47" s="187">
        <v>3575</v>
      </c>
      <c r="L47" s="187">
        <v>3639</v>
      </c>
      <c r="M47" s="187">
        <v>3678</v>
      </c>
      <c r="N47" s="187">
        <v>3608</v>
      </c>
      <c r="O47" s="187">
        <v>3670.2</v>
      </c>
      <c r="P47" s="187">
        <v>3625</v>
      </c>
      <c r="Q47" s="187">
        <v>3623</v>
      </c>
      <c r="R47" s="187">
        <v>3619</v>
      </c>
      <c r="S47" s="187">
        <v>3618</v>
      </c>
      <c r="T47" s="187">
        <v>3641</v>
      </c>
      <c r="U47" s="187">
        <v>3693</v>
      </c>
      <c r="V47" s="187">
        <v>3637</v>
      </c>
    </row>
    <row r="49" spans="2:3" ht="15">
      <c r="B49" s="111" t="s">
        <v>270</v>
      </c>
    </row>
    <row r="50" spans="2:3">
      <c r="B50" s="110">
        <v>1</v>
      </c>
      <c r="C50" s="109" t="s">
        <v>357</v>
      </c>
    </row>
    <row r="51" spans="2:3">
      <c r="B51" s="110">
        <f>B50+1</f>
        <v>2</v>
      </c>
      <c r="C51" s="109" t="s">
        <v>358</v>
      </c>
    </row>
    <row r="52" spans="2:3">
      <c r="B52" s="110">
        <f>B51+1</f>
        <v>3</v>
      </c>
      <c r="C52" s="109" t="s">
        <v>359</v>
      </c>
    </row>
    <row r="53" spans="2:3">
      <c r="B53" s="110">
        <f>B52+1</f>
        <v>4</v>
      </c>
      <c r="C53" s="109" t="s">
        <v>360</v>
      </c>
    </row>
  </sheetData>
  <mergeCells count="5">
    <mergeCell ref="B6:B7"/>
    <mergeCell ref="C6:C7"/>
    <mergeCell ref="D6:D7"/>
    <mergeCell ref="E6:P6"/>
    <mergeCell ref="Q6:V6"/>
  </mergeCells>
  <pageMargins left="0.31496062992125984" right="0.19685039370078741" top="0.43307086614173229" bottom="0.39370078740157483" header="0.31496062992125984" footer="0.31496062992125984"/>
  <pageSetup paperSize="9" scale="5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zoomScale="60" zoomScaleNormal="60" workbookViewId="0">
      <selection activeCell="Z19" sqref="Z19"/>
    </sheetView>
  </sheetViews>
  <sheetFormatPr defaultColWidth="9.28515625" defaultRowHeight="14.25"/>
  <cols>
    <col min="1" max="1" width="2.28515625" style="109" customWidth="1"/>
    <col min="2" max="2" width="9.42578125" style="109" bestFit="1" customWidth="1"/>
    <col min="3" max="3" width="52.7109375" style="109" customWidth="1"/>
    <col min="4" max="4" width="12.7109375" style="110" customWidth="1"/>
    <col min="5" max="5" width="9.42578125" style="109" bestFit="1" customWidth="1"/>
    <col min="6" max="8" width="10.5703125" style="109" bestFit="1" customWidth="1"/>
    <col min="9" max="11" width="9.42578125" style="109" bestFit="1" customWidth="1"/>
    <col min="12" max="12" width="10.5703125" style="109" bestFit="1" customWidth="1"/>
    <col min="13" max="20" width="9.42578125" style="109" bestFit="1" customWidth="1"/>
    <col min="21" max="16384" width="9.28515625" style="109"/>
  </cols>
  <sheetData>
    <row r="2" spans="2:22" ht="15">
      <c r="M2" s="39" t="s">
        <v>517</v>
      </c>
    </row>
    <row r="3" spans="2:22" ht="15">
      <c r="M3" s="39" t="s">
        <v>501</v>
      </c>
    </row>
    <row r="4" spans="2:22" ht="15">
      <c r="M4" s="311" t="s">
        <v>545</v>
      </c>
    </row>
    <row r="6" spans="2:22" ht="15">
      <c r="B6" s="374" t="s">
        <v>210</v>
      </c>
      <c r="C6" s="374" t="s">
        <v>18</v>
      </c>
      <c r="D6" s="374" t="s">
        <v>39</v>
      </c>
      <c r="E6" s="374" t="s">
        <v>506</v>
      </c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 t="s">
        <v>507</v>
      </c>
      <c r="R6" s="374"/>
      <c r="S6" s="374"/>
      <c r="T6" s="374"/>
      <c r="U6" s="374"/>
      <c r="V6" s="374"/>
    </row>
    <row r="7" spans="2:22" ht="15">
      <c r="B7" s="374"/>
      <c r="C7" s="374"/>
      <c r="D7" s="374"/>
      <c r="E7" s="112" t="s">
        <v>141</v>
      </c>
      <c r="F7" s="112" t="s">
        <v>142</v>
      </c>
      <c r="G7" s="112" t="s">
        <v>143</v>
      </c>
      <c r="H7" s="112" t="s">
        <v>144</v>
      </c>
      <c r="I7" s="112" t="s">
        <v>145</v>
      </c>
      <c r="J7" s="112" t="s">
        <v>146</v>
      </c>
      <c r="K7" s="112" t="s">
        <v>147</v>
      </c>
      <c r="L7" s="112" t="s">
        <v>148</v>
      </c>
      <c r="M7" s="112" t="s">
        <v>149</v>
      </c>
      <c r="N7" s="112" t="s">
        <v>150</v>
      </c>
      <c r="O7" s="112" t="s">
        <v>151</v>
      </c>
      <c r="P7" s="112" t="s">
        <v>152</v>
      </c>
      <c r="Q7" s="112" t="s">
        <v>141</v>
      </c>
      <c r="R7" s="112" t="s">
        <v>142</v>
      </c>
      <c r="S7" s="112" t="s">
        <v>143</v>
      </c>
      <c r="T7" s="112" t="s">
        <v>144</v>
      </c>
      <c r="U7" s="112" t="s">
        <v>145</v>
      </c>
      <c r="V7" s="112" t="s">
        <v>146</v>
      </c>
    </row>
    <row r="8" spans="2:22" ht="21.75" customHeight="1">
      <c r="B8" s="112" t="s">
        <v>67</v>
      </c>
      <c r="C8" s="114" t="s">
        <v>335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2:22" ht="21.75" customHeight="1">
      <c r="B9" s="113">
        <v>1</v>
      </c>
      <c r="C9" s="34" t="s">
        <v>431</v>
      </c>
      <c r="D9" s="113" t="s">
        <v>503</v>
      </c>
      <c r="E9" s="124">
        <v>175.54799999999989</v>
      </c>
      <c r="F9" s="124">
        <v>167.1389999999999</v>
      </c>
      <c r="G9" s="124">
        <v>210.56999999999988</v>
      </c>
      <c r="H9" s="124">
        <v>215.02899999999988</v>
      </c>
      <c r="I9" s="124">
        <v>219.98699999999991</v>
      </c>
      <c r="J9" s="124">
        <v>237.50399999999991</v>
      </c>
      <c r="K9" s="124">
        <v>224.05499999999989</v>
      </c>
      <c r="L9" s="124">
        <v>252.4549999999999</v>
      </c>
      <c r="M9" s="124">
        <v>231.75999999999993</v>
      </c>
      <c r="N9" s="124">
        <v>225.15799999999993</v>
      </c>
      <c r="O9" s="124">
        <v>203.65599999999995</v>
      </c>
      <c r="P9" s="124">
        <v>140.49299999999997</v>
      </c>
      <c r="Q9" s="124">
        <v>108.16999999999997</v>
      </c>
      <c r="R9" s="124">
        <v>134.77799999999999</v>
      </c>
      <c r="S9" s="124">
        <v>109.75499999999998</v>
      </c>
      <c r="T9" s="124">
        <v>103.90899999999998</v>
      </c>
      <c r="U9" s="124">
        <v>140.607</v>
      </c>
      <c r="V9" s="124">
        <v>106.41</v>
      </c>
    </row>
    <row r="10" spans="2:22" ht="21.75" customHeight="1">
      <c r="B10" s="113">
        <f>B9+1</f>
        <v>2</v>
      </c>
      <c r="C10" s="34" t="s">
        <v>336</v>
      </c>
      <c r="D10" s="190" t="s">
        <v>485</v>
      </c>
      <c r="E10" s="124">
        <v>1.4348443853853969</v>
      </c>
      <c r="F10" s="124">
        <v>1.5671936342544011</v>
      </c>
      <c r="G10" s="124">
        <v>2.0097299925185284</v>
      </c>
      <c r="H10" s="124">
        <v>2.0514265024068954</v>
      </c>
      <c r="I10" s="124">
        <v>2.1980484998727494</v>
      </c>
      <c r="J10" s="124">
        <v>2.2920217617096945</v>
      </c>
      <c r="K10" s="124">
        <v>2.141648286539187</v>
      </c>
      <c r="L10" s="124">
        <v>2.4799126364962647</v>
      </c>
      <c r="M10" s="124">
        <v>2.2527790331215476</v>
      </c>
      <c r="N10" s="124">
        <v>2.0768809940116038</v>
      </c>
      <c r="O10" s="124">
        <v>1.78973542210039</v>
      </c>
      <c r="P10" s="124">
        <v>1.1452419032706453</v>
      </c>
      <c r="Q10" s="124">
        <v>0.83871918500511033</v>
      </c>
      <c r="R10" s="124">
        <v>1.0501561816346567</v>
      </c>
      <c r="S10" s="124">
        <v>0.85638505276381482</v>
      </c>
      <c r="T10" s="124">
        <v>0.83870441688011121</v>
      </c>
      <c r="U10" s="124">
        <v>1.0908950204532315</v>
      </c>
      <c r="V10" s="124">
        <v>0.80929958110599176</v>
      </c>
    </row>
    <row r="11" spans="2:22" ht="21.75" customHeight="1">
      <c r="B11" s="112" t="s">
        <v>71</v>
      </c>
      <c r="C11" s="114" t="s">
        <v>338</v>
      </c>
      <c r="D11" s="11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</row>
    <row r="12" spans="2:22" ht="21.75" customHeight="1">
      <c r="B12" s="113">
        <f>B10+1</f>
        <v>3</v>
      </c>
      <c r="C12" s="34" t="s">
        <v>432</v>
      </c>
      <c r="D12" s="113" t="s">
        <v>503</v>
      </c>
      <c r="E12" s="124">
        <v>256.49299999999999</v>
      </c>
      <c r="F12" s="124">
        <v>113.337</v>
      </c>
      <c r="G12" s="124">
        <v>86.99</v>
      </c>
      <c r="H12" s="124">
        <v>104.85</v>
      </c>
      <c r="I12" s="124">
        <v>44.510000000000005</v>
      </c>
      <c r="J12" s="124">
        <v>20</v>
      </c>
      <c r="K12" s="124">
        <v>40</v>
      </c>
      <c r="L12" s="124">
        <v>20</v>
      </c>
      <c r="M12" s="124">
        <v>84.07</v>
      </c>
      <c r="N12" s="124">
        <v>103.33</v>
      </c>
      <c r="O12" s="124">
        <v>0</v>
      </c>
      <c r="P12" s="124">
        <v>40</v>
      </c>
      <c r="Q12" s="124">
        <v>104.277</v>
      </c>
      <c r="R12" s="124">
        <v>40</v>
      </c>
      <c r="S12" s="124">
        <v>83.662000000000006</v>
      </c>
      <c r="T12" s="124">
        <v>88.009999999999991</v>
      </c>
      <c r="U12" s="124">
        <v>62.078000000000003</v>
      </c>
      <c r="V12" s="124">
        <v>84</v>
      </c>
    </row>
    <row r="13" spans="2:22" ht="21.75" customHeight="1">
      <c r="B13" s="113">
        <f>B12+1</f>
        <v>4</v>
      </c>
      <c r="C13" s="34" t="s">
        <v>433</v>
      </c>
      <c r="D13" s="113" t="s">
        <v>503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2:22" ht="21.75" customHeight="1">
      <c r="B14" s="113">
        <f>B13+1</f>
        <v>5</v>
      </c>
      <c r="C14" s="34" t="s">
        <v>434</v>
      </c>
      <c r="D14" s="113" t="s">
        <v>503</v>
      </c>
      <c r="E14" s="132">
        <f>E12+E13</f>
        <v>256.49299999999999</v>
      </c>
      <c r="F14" s="132">
        <f t="shared" ref="F14:V14" si="0">F12+F13</f>
        <v>113.337</v>
      </c>
      <c r="G14" s="132">
        <f t="shared" si="0"/>
        <v>86.99</v>
      </c>
      <c r="H14" s="132">
        <f t="shared" si="0"/>
        <v>104.85</v>
      </c>
      <c r="I14" s="132">
        <f t="shared" si="0"/>
        <v>44.510000000000005</v>
      </c>
      <c r="J14" s="132">
        <f t="shared" si="0"/>
        <v>20</v>
      </c>
      <c r="K14" s="132">
        <f t="shared" si="0"/>
        <v>40</v>
      </c>
      <c r="L14" s="132">
        <f t="shared" si="0"/>
        <v>20</v>
      </c>
      <c r="M14" s="132">
        <f t="shared" si="0"/>
        <v>84.07</v>
      </c>
      <c r="N14" s="132">
        <f t="shared" si="0"/>
        <v>103.33</v>
      </c>
      <c r="O14" s="132">
        <f t="shared" si="0"/>
        <v>0</v>
      </c>
      <c r="P14" s="132">
        <f t="shared" si="0"/>
        <v>40</v>
      </c>
      <c r="Q14" s="132">
        <f t="shared" si="0"/>
        <v>104.277</v>
      </c>
      <c r="R14" s="132">
        <f t="shared" si="0"/>
        <v>40</v>
      </c>
      <c r="S14" s="132">
        <f t="shared" si="0"/>
        <v>83.662000000000006</v>
      </c>
      <c r="T14" s="132">
        <f t="shared" si="0"/>
        <v>88.009999999999991</v>
      </c>
      <c r="U14" s="132">
        <f t="shared" si="0"/>
        <v>62.078000000000003</v>
      </c>
      <c r="V14" s="132">
        <f t="shared" si="0"/>
        <v>84</v>
      </c>
    </row>
    <row r="15" spans="2:22" ht="21.75" customHeight="1">
      <c r="B15" s="113">
        <f>B14+1</f>
        <v>6</v>
      </c>
      <c r="C15" s="34" t="s">
        <v>339</v>
      </c>
      <c r="D15" s="113" t="s">
        <v>503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2:22" ht="21.75" customHeight="1">
      <c r="B16" s="113">
        <f>B15+1</f>
        <v>7</v>
      </c>
      <c r="C16" s="34" t="s">
        <v>435</v>
      </c>
      <c r="D16" s="113" t="s">
        <v>503</v>
      </c>
      <c r="E16" s="132">
        <f>E14-E15</f>
        <v>256.49299999999999</v>
      </c>
      <c r="F16" s="132">
        <f t="shared" ref="F16:V16" si="1">F14-F15</f>
        <v>113.337</v>
      </c>
      <c r="G16" s="132">
        <f t="shared" si="1"/>
        <v>86.99</v>
      </c>
      <c r="H16" s="132">
        <f t="shared" si="1"/>
        <v>104.85</v>
      </c>
      <c r="I16" s="132">
        <f t="shared" si="1"/>
        <v>44.510000000000005</v>
      </c>
      <c r="J16" s="132">
        <f t="shared" si="1"/>
        <v>20</v>
      </c>
      <c r="K16" s="132">
        <f t="shared" si="1"/>
        <v>40</v>
      </c>
      <c r="L16" s="132">
        <f t="shared" si="1"/>
        <v>20</v>
      </c>
      <c r="M16" s="132">
        <f t="shared" si="1"/>
        <v>84.07</v>
      </c>
      <c r="N16" s="132">
        <f t="shared" si="1"/>
        <v>103.33</v>
      </c>
      <c r="O16" s="132">
        <f t="shared" si="1"/>
        <v>0</v>
      </c>
      <c r="P16" s="132">
        <f t="shared" si="1"/>
        <v>40</v>
      </c>
      <c r="Q16" s="132">
        <f t="shared" si="1"/>
        <v>104.277</v>
      </c>
      <c r="R16" s="132">
        <f t="shared" si="1"/>
        <v>40</v>
      </c>
      <c r="S16" s="132">
        <f t="shared" si="1"/>
        <v>83.662000000000006</v>
      </c>
      <c r="T16" s="132">
        <f t="shared" si="1"/>
        <v>88.009999999999991</v>
      </c>
      <c r="U16" s="132">
        <f t="shared" si="1"/>
        <v>62.078000000000003</v>
      </c>
      <c r="V16" s="132">
        <f t="shared" si="1"/>
        <v>84</v>
      </c>
    </row>
    <row r="17" spans="2:22" ht="21.75" customHeight="1">
      <c r="B17" s="112" t="s">
        <v>72</v>
      </c>
      <c r="C17" s="114" t="s">
        <v>340</v>
      </c>
      <c r="D17" s="113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2:22" ht="21.75" customHeight="1">
      <c r="B18" s="113">
        <f>B16+1</f>
        <v>8</v>
      </c>
      <c r="C18" s="34" t="s">
        <v>436</v>
      </c>
      <c r="D18" s="190" t="s">
        <v>485</v>
      </c>
      <c r="E18" s="124">
        <v>2.7238294289999998</v>
      </c>
      <c r="F18" s="124">
        <v>1.2688732779999998</v>
      </c>
      <c r="G18" s="124">
        <v>1.036911592</v>
      </c>
      <c r="H18" s="124">
        <v>1.2664455999999999</v>
      </c>
      <c r="I18" s="124">
        <v>0.39654104400000001</v>
      </c>
      <c r="J18" s="124">
        <v>0.24354403900000002</v>
      </c>
      <c r="K18" s="124">
        <v>0.46213196900000003</v>
      </c>
      <c r="L18" s="124">
        <v>0.25282791700000001</v>
      </c>
      <c r="M18" s="124">
        <v>0.77723431200000004</v>
      </c>
      <c r="N18" s="124">
        <v>0.98728097699999995</v>
      </c>
      <c r="O18" s="124">
        <v>0</v>
      </c>
      <c r="P18" s="124">
        <v>0.40863898399999998</v>
      </c>
      <c r="Q18" s="124">
        <v>0.93987455799999997</v>
      </c>
      <c r="R18" s="124">
        <v>0.39591788999999999</v>
      </c>
      <c r="S18" s="124">
        <v>0.73021489100000003</v>
      </c>
      <c r="T18" s="124">
        <v>0.67572989100000003</v>
      </c>
      <c r="U18" s="124">
        <v>0.56288959499999991</v>
      </c>
      <c r="V18" s="124">
        <v>0.768871317</v>
      </c>
    </row>
    <row r="19" spans="2:22" ht="21.75" customHeight="1">
      <c r="B19" s="113">
        <f>B18+1</f>
        <v>9</v>
      </c>
      <c r="C19" s="34" t="s">
        <v>437</v>
      </c>
      <c r="D19" s="190" t="s">
        <v>485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2:22" ht="21.75" customHeight="1">
      <c r="B20" s="113">
        <f>B19+1</f>
        <v>10</v>
      </c>
      <c r="C20" s="34" t="s">
        <v>341</v>
      </c>
      <c r="D20" s="190" t="s">
        <v>485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2:22" ht="21.75" customHeight="1">
      <c r="B21" s="113">
        <f>B20+1</f>
        <v>11</v>
      </c>
      <c r="C21" s="34" t="s">
        <v>342</v>
      </c>
      <c r="D21" s="190" t="s">
        <v>485</v>
      </c>
      <c r="E21" s="133">
        <f>E18+E19+E20</f>
        <v>2.7238294289999998</v>
      </c>
      <c r="F21" s="133">
        <f t="shared" ref="F21:V21" si="2">F18+F19+F20</f>
        <v>1.2688732779999998</v>
      </c>
      <c r="G21" s="133">
        <f t="shared" si="2"/>
        <v>1.036911592</v>
      </c>
      <c r="H21" s="133">
        <f t="shared" si="2"/>
        <v>1.2664455999999999</v>
      </c>
      <c r="I21" s="133">
        <f t="shared" si="2"/>
        <v>0.39654104400000001</v>
      </c>
      <c r="J21" s="133">
        <f t="shared" si="2"/>
        <v>0.24354403900000002</v>
      </c>
      <c r="K21" s="133">
        <f t="shared" si="2"/>
        <v>0.46213196900000003</v>
      </c>
      <c r="L21" s="133">
        <f t="shared" si="2"/>
        <v>0.25282791700000001</v>
      </c>
      <c r="M21" s="133">
        <f t="shared" si="2"/>
        <v>0.77723431200000004</v>
      </c>
      <c r="N21" s="133">
        <f t="shared" si="2"/>
        <v>0.98728097699999995</v>
      </c>
      <c r="O21" s="133">
        <f t="shared" si="2"/>
        <v>0</v>
      </c>
      <c r="P21" s="133">
        <f t="shared" si="2"/>
        <v>0.40863898399999998</v>
      </c>
      <c r="Q21" s="133">
        <f t="shared" si="2"/>
        <v>0.93987455799999997</v>
      </c>
      <c r="R21" s="133">
        <f t="shared" si="2"/>
        <v>0.39591788999999999</v>
      </c>
      <c r="S21" s="133">
        <f t="shared" si="2"/>
        <v>0.73021489100000003</v>
      </c>
      <c r="T21" s="133">
        <f t="shared" si="2"/>
        <v>0.67572989100000003</v>
      </c>
      <c r="U21" s="133">
        <f t="shared" si="2"/>
        <v>0.56288959499999991</v>
      </c>
      <c r="V21" s="133">
        <f t="shared" si="2"/>
        <v>0.768871317</v>
      </c>
    </row>
    <row r="22" spans="2:22" ht="21.75" customHeight="1">
      <c r="B22" s="112" t="s">
        <v>343</v>
      </c>
      <c r="C22" s="114" t="s">
        <v>344</v>
      </c>
      <c r="D22" s="11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2:22" ht="21.75" customHeight="1">
      <c r="B23" s="113">
        <f>B21+1</f>
        <v>12</v>
      </c>
      <c r="C23" s="34" t="s">
        <v>345</v>
      </c>
      <c r="D23" s="113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2:22" ht="21.75" customHeight="1">
      <c r="B24" s="113"/>
      <c r="C24" s="34" t="s">
        <v>346</v>
      </c>
      <c r="D24" s="190" t="s">
        <v>485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2:22" ht="27.75" customHeight="1">
      <c r="B25" s="113"/>
      <c r="C25" s="34" t="s">
        <v>347</v>
      </c>
      <c r="D25" s="190" t="s">
        <v>485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2:22" ht="27.75" customHeight="1">
      <c r="B26" s="113"/>
      <c r="C26" s="34" t="s">
        <v>348</v>
      </c>
      <c r="D26" s="190" t="s">
        <v>485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 ht="27.75" customHeight="1">
      <c r="B27" s="113"/>
      <c r="C27" s="34" t="s">
        <v>9</v>
      </c>
      <c r="D27" s="190" t="s">
        <v>485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2:22" ht="27.75" customHeight="1">
      <c r="B28" s="113">
        <f>B23+1</f>
        <v>13</v>
      </c>
      <c r="C28" s="34" t="s">
        <v>438</v>
      </c>
      <c r="D28" s="190" t="s">
        <v>485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2:22" ht="27.75" customHeight="1">
      <c r="B29" s="113">
        <f>B28+1</f>
        <v>14</v>
      </c>
      <c r="C29" s="34" t="s">
        <v>349</v>
      </c>
      <c r="D29" s="190" t="s">
        <v>485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2:22" ht="27.75" customHeight="1">
      <c r="B30" s="113">
        <f>B29+1</f>
        <v>15</v>
      </c>
      <c r="C30" s="115" t="s">
        <v>547</v>
      </c>
      <c r="D30" s="190" t="s">
        <v>485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2:22" ht="27.75" customHeight="1">
      <c r="B31" s="113">
        <f>B30+1</f>
        <v>16</v>
      </c>
      <c r="C31" s="115" t="s">
        <v>350</v>
      </c>
      <c r="D31" s="190" t="s">
        <v>485</v>
      </c>
      <c r="E31" s="132">
        <f>SUM(E24:E30)</f>
        <v>0</v>
      </c>
      <c r="F31" s="132">
        <f t="shared" ref="F31:V31" si="3">SUM(F24:F30)</f>
        <v>0</v>
      </c>
      <c r="G31" s="132">
        <f t="shared" si="3"/>
        <v>0</v>
      </c>
      <c r="H31" s="132">
        <f t="shared" si="3"/>
        <v>0</v>
      </c>
      <c r="I31" s="132">
        <f t="shared" si="3"/>
        <v>0</v>
      </c>
      <c r="J31" s="132">
        <f t="shared" si="3"/>
        <v>0</v>
      </c>
      <c r="K31" s="132">
        <f t="shared" si="3"/>
        <v>0</v>
      </c>
      <c r="L31" s="132">
        <f t="shared" si="3"/>
        <v>0</v>
      </c>
      <c r="M31" s="132">
        <f t="shared" si="3"/>
        <v>0</v>
      </c>
      <c r="N31" s="132">
        <f t="shared" si="3"/>
        <v>0</v>
      </c>
      <c r="O31" s="132">
        <f t="shared" si="3"/>
        <v>0</v>
      </c>
      <c r="P31" s="132">
        <f t="shared" si="3"/>
        <v>0</v>
      </c>
      <c r="Q31" s="132">
        <f t="shared" si="3"/>
        <v>0</v>
      </c>
      <c r="R31" s="132">
        <f t="shared" si="3"/>
        <v>0</v>
      </c>
      <c r="S31" s="132">
        <f t="shared" si="3"/>
        <v>0</v>
      </c>
      <c r="T31" s="132">
        <f t="shared" si="3"/>
        <v>0</v>
      </c>
      <c r="U31" s="132">
        <f t="shared" si="3"/>
        <v>0</v>
      </c>
      <c r="V31" s="132">
        <f t="shared" si="3"/>
        <v>0</v>
      </c>
    </row>
    <row r="32" spans="2:22" ht="27.75" customHeight="1">
      <c r="B32" s="113">
        <f>B31+1</f>
        <v>17</v>
      </c>
      <c r="C32" s="115" t="s">
        <v>439</v>
      </c>
      <c r="D32" s="190" t="s">
        <v>485</v>
      </c>
      <c r="E32" s="133">
        <f>E21+E31</f>
        <v>2.7238294289999998</v>
      </c>
      <c r="F32" s="133">
        <f t="shared" ref="F32:V32" si="4">F21+F31</f>
        <v>1.2688732779999998</v>
      </c>
      <c r="G32" s="133">
        <f t="shared" si="4"/>
        <v>1.036911592</v>
      </c>
      <c r="H32" s="133">
        <f t="shared" si="4"/>
        <v>1.2664455999999999</v>
      </c>
      <c r="I32" s="133">
        <f t="shared" si="4"/>
        <v>0.39654104400000001</v>
      </c>
      <c r="J32" s="133">
        <f t="shared" si="4"/>
        <v>0.24354403900000002</v>
      </c>
      <c r="K32" s="133">
        <f t="shared" si="4"/>
        <v>0.46213196900000003</v>
      </c>
      <c r="L32" s="133">
        <f t="shared" si="4"/>
        <v>0.25282791700000001</v>
      </c>
      <c r="M32" s="133">
        <f t="shared" si="4"/>
        <v>0.77723431200000004</v>
      </c>
      <c r="N32" s="133">
        <f t="shared" si="4"/>
        <v>0.98728097699999995</v>
      </c>
      <c r="O32" s="133">
        <f t="shared" si="4"/>
        <v>0</v>
      </c>
      <c r="P32" s="133">
        <f t="shared" si="4"/>
        <v>0.40863898399999998</v>
      </c>
      <c r="Q32" s="133">
        <f t="shared" si="4"/>
        <v>0.93987455799999997</v>
      </c>
      <c r="R32" s="133">
        <f t="shared" si="4"/>
        <v>0.39591788999999999</v>
      </c>
      <c r="S32" s="133">
        <f t="shared" si="4"/>
        <v>0.73021489100000003</v>
      </c>
      <c r="T32" s="133">
        <f t="shared" si="4"/>
        <v>0.67572989100000003</v>
      </c>
      <c r="U32" s="133">
        <f t="shared" si="4"/>
        <v>0.56288959499999991</v>
      </c>
      <c r="V32" s="133">
        <f t="shared" si="4"/>
        <v>0.768871317</v>
      </c>
    </row>
    <row r="33" spans="2:22" ht="27.75" customHeight="1">
      <c r="B33" s="112" t="s">
        <v>351</v>
      </c>
      <c r="C33" s="114" t="s">
        <v>201</v>
      </c>
      <c r="D33" s="113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2:22" ht="27.75" customHeight="1">
      <c r="B34" s="113">
        <f>B32+1</f>
        <v>18</v>
      </c>
      <c r="C34" s="115" t="s">
        <v>440</v>
      </c>
      <c r="D34" s="113" t="s">
        <v>504</v>
      </c>
      <c r="E34" s="132">
        <f t="shared" ref="E34:V34" si="5">IFERROR((E10+E32)/(E9+E16),0)*10000000</f>
        <v>96256.462103953047</v>
      </c>
      <c r="F34" s="132">
        <f t="shared" si="5"/>
        <v>101116.206458107</v>
      </c>
      <c r="G34" s="132">
        <f t="shared" si="5"/>
        <v>102387.47091405194</v>
      </c>
      <c r="H34" s="132">
        <f t="shared" si="5"/>
        <v>103722.72335498412</v>
      </c>
      <c r="I34" s="132">
        <f t="shared" si="5"/>
        <v>98095.235253055827</v>
      </c>
      <c r="J34" s="132">
        <f t="shared" si="5"/>
        <v>98467.045199674409</v>
      </c>
      <c r="K34" s="132">
        <f t="shared" si="5"/>
        <v>98607.496754054577</v>
      </c>
      <c r="L34" s="132">
        <f t="shared" si="5"/>
        <v>100300.62041424328</v>
      </c>
      <c r="M34" s="132">
        <f t="shared" si="5"/>
        <v>95938.110537996647</v>
      </c>
      <c r="N34" s="132">
        <f t="shared" si="5"/>
        <v>93280.788674520969</v>
      </c>
      <c r="O34" s="132">
        <f t="shared" si="5"/>
        <v>87880.318875966856</v>
      </c>
      <c r="P34" s="132">
        <f t="shared" si="5"/>
        <v>86090.922488442535</v>
      </c>
      <c r="Q34" s="132">
        <f t="shared" si="5"/>
        <v>83719.409688303916</v>
      </c>
      <c r="R34" s="132">
        <f t="shared" si="5"/>
        <v>82737.762855431269</v>
      </c>
      <c r="S34" s="132">
        <f t="shared" si="5"/>
        <v>82030.015136405535</v>
      </c>
      <c r="T34" s="132">
        <f t="shared" si="5"/>
        <v>78910.077057514442</v>
      </c>
      <c r="U34" s="132">
        <f t="shared" si="5"/>
        <v>81593.833557156744</v>
      </c>
      <c r="V34" s="132">
        <f t="shared" si="5"/>
        <v>82882.773914499878</v>
      </c>
    </row>
    <row r="35" spans="2:22" ht="27.75" customHeight="1">
      <c r="B35" s="113">
        <f>B34+1</f>
        <v>19</v>
      </c>
      <c r="C35" s="115" t="s">
        <v>353</v>
      </c>
      <c r="D35" s="113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2:22" ht="27.75" customHeight="1">
      <c r="B36" s="113">
        <f>B35+1</f>
        <v>20</v>
      </c>
      <c r="C36" s="115" t="s">
        <v>441</v>
      </c>
      <c r="D36" s="113" t="s">
        <v>504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2:22" ht="27.75" customHeight="1">
      <c r="B37" s="112" t="s">
        <v>354</v>
      </c>
      <c r="C37" s="114" t="s">
        <v>355</v>
      </c>
      <c r="D37" s="113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2:22" ht="27.75" customHeight="1">
      <c r="B38" s="113">
        <f>B36+1</f>
        <v>21</v>
      </c>
      <c r="C38" s="115" t="s">
        <v>442</v>
      </c>
      <c r="D38" s="113" t="s">
        <v>356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2:22" ht="27.75" customHeight="1">
      <c r="B39" s="113">
        <f>B38+1</f>
        <v>22</v>
      </c>
      <c r="C39" s="115" t="s">
        <v>443</v>
      </c>
      <c r="D39" s="113" t="s">
        <v>356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2:22" ht="27.75" customHeight="1">
      <c r="B40" s="113">
        <f t="shared" ref="B40:B47" si="6">B39+1</f>
        <v>23</v>
      </c>
      <c r="C40" s="115" t="s">
        <v>444</v>
      </c>
      <c r="D40" s="113" t="s">
        <v>356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2:22" ht="27.75" customHeight="1">
      <c r="B41" s="113">
        <f t="shared" si="6"/>
        <v>24</v>
      </c>
      <c r="C41" s="115" t="s">
        <v>445</v>
      </c>
      <c r="D41" s="113" t="s">
        <v>356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2:22" ht="27.75" customHeight="1">
      <c r="B42" s="113">
        <f t="shared" si="6"/>
        <v>25</v>
      </c>
      <c r="C42" s="115" t="s">
        <v>446</v>
      </c>
      <c r="D42" s="113" t="s">
        <v>356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2:22" ht="27.75" customHeight="1">
      <c r="B43" s="113">
        <f t="shared" si="6"/>
        <v>26</v>
      </c>
      <c r="C43" s="115" t="s">
        <v>447</v>
      </c>
      <c r="D43" s="113" t="s">
        <v>356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2" ht="27.75" customHeight="1">
      <c r="B44" s="113">
        <f t="shared" si="6"/>
        <v>27</v>
      </c>
      <c r="C44" s="115" t="s">
        <v>448</v>
      </c>
      <c r="D44" s="113" t="s">
        <v>356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ht="27.75" customHeight="1">
      <c r="B45" s="113">
        <f t="shared" si="6"/>
        <v>28</v>
      </c>
      <c r="C45" s="115" t="s">
        <v>449</v>
      </c>
      <c r="D45" s="113" t="s">
        <v>356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2:22" ht="27.75" customHeight="1">
      <c r="B46" s="113">
        <f t="shared" si="6"/>
        <v>29</v>
      </c>
      <c r="C46" s="115" t="s">
        <v>450</v>
      </c>
      <c r="D46" s="113" t="s">
        <v>356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2:22" ht="27.75" customHeight="1">
      <c r="B47" s="113">
        <f t="shared" si="6"/>
        <v>30</v>
      </c>
      <c r="C47" s="115" t="s">
        <v>451</v>
      </c>
      <c r="D47" s="113" t="s">
        <v>356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9" spans="2:3" ht="15">
      <c r="B49" s="111" t="s">
        <v>270</v>
      </c>
    </row>
    <row r="50" spans="2:3">
      <c r="B50" s="110">
        <v>1</v>
      </c>
      <c r="C50" s="109" t="s">
        <v>357</v>
      </c>
    </row>
    <row r="51" spans="2:3">
      <c r="B51" s="110">
        <f>B50+1</f>
        <v>2</v>
      </c>
      <c r="C51" s="109" t="s">
        <v>358</v>
      </c>
    </row>
    <row r="52" spans="2:3">
      <c r="B52" s="110">
        <f>B51+1</f>
        <v>3</v>
      </c>
      <c r="C52" s="109" t="s">
        <v>359</v>
      </c>
    </row>
    <row r="53" spans="2:3">
      <c r="B53" s="110">
        <f>B52+1</f>
        <v>4</v>
      </c>
      <c r="C53" s="109" t="s">
        <v>360</v>
      </c>
    </row>
  </sheetData>
  <mergeCells count="5">
    <mergeCell ref="E6:P6"/>
    <mergeCell ref="Q6:V6"/>
    <mergeCell ref="B6:B7"/>
    <mergeCell ref="C6:C7"/>
    <mergeCell ref="D6:D7"/>
  </mergeCells>
  <phoneticPr fontId="12" type="noConversion"/>
  <pageMargins left="0" right="0" top="0" bottom="0" header="0" footer="0"/>
  <pageSetup paperSize="9" scale="4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N28"/>
  <sheetViews>
    <sheetView showGridLines="0" zoomScale="80" zoomScaleNormal="80" workbookViewId="0">
      <selection activeCell="H26" sqref="H26"/>
    </sheetView>
  </sheetViews>
  <sheetFormatPr defaultColWidth="9.28515625" defaultRowHeight="15"/>
  <cols>
    <col min="1" max="1" width="2.42578125" style="205" customWidth="1"/>
    <col min="2" max="2" width="36" style="205" customWidth="1"/>
    <col min="3" max="3" width="10.140625" style="205" customWidth="1"/>
    <col min="4" max="4" width="10.85546875" style="205" customWidth="1"/>
    <col min="5" max="5" width="13.140625" style="205" customWidth="1"/>
    <col min="6" max="6" width="10.85546875" style="205" customWidth="1"/>
    <col min="7" max="7" width="15.28515625" style="205" customWidth="1"/>
    <col min="8" max="8" width="13" style="205" customWidth="1"/>
    <col min="9" max="9" width="12.140625" style="205" customWidth="1"/>
    <col min="10" max="10" width="13.85546875" style="205" customWidth="1"/>
    <col min="11" max="11" width="10.28515625" style="205" bestFit="1" customWidth="1"/>
    <col min="12" max="16384" width="9.28515625" style="205"/>
  </cols>
  <sheetData>
    <row r="2" spans="2:14" ht="15.75">
      <c r="B2" s="312" t="s">
        <v>522</v>
      </c>
      <c r="C2" s="312"/>
      <c r="D2" s="312"/>
      <c r="E2" s="312"/>
      <c r="F2" s="312"/>
      <c r="G2" s="312"/>
      <c r="H2" s="312"/>
      <c r="I2" s="312"/>
      <c r="J2" s="312"/>
      <c r="K2" s="306"/>
      <c r="L2" s="306"/>
      <c r="M2" s="306"/>
      <c r="N2" s="306"/>
    </row>
    <row r="3" spans="2:14" ht="15.75">
      <c r="B3" s="312" t="s">
        <v>505</v>
      </c>
      <c r="C3" s="312"/>
      <c r="D3" s="312"/>
      <c r="E3" s="312"/>
      <c r="F3" s="312"/>
      <c r="G3" s="312"/>
      <c r="H3" s="312"/>
      <c r="I3" s="312"/>
      <c r="J3" s="312"/>
      <c r="K3" s="306"/>
      <c r="L3" s="306"/>
      <c r="M3" s="306"/>
      <c r="N3" s="306"/>
    </row>
    <row r="4" spans="2:14" ht="15.75">
      <c r="B4" s="312" t="s">
        <v>546</v>
      </c>
      <c r="C4" s="312"/>
      <c r="D4" s="312"/>
      <c r="E4" s="312"/>
      <c r="F4" s="312"/>
      <c r="G4" s="312"/>
      <c r="H4" s="312"/>
      <c r="I4" s="312"/>
      <c r="J4" s="312"/>
      <c r="K4" s="306"/>
      <c r="L4" s="306"/>
      <c r="M4" s="306"/>
      <c r="N4" s="306"/>
    </row>
    <row r="6" spans="2:14" ht="40.5" customHeight="1">
      <c r="B6" s="377" t="s">
        <v>18</v>
      </c>
      <c r="C6" s="377" t="s">
        <v>227</v>
      </c>
      <c r="D6" s="377" t="s">
        <v>39</v>
      </c>
      <c r="E6" s="364" t="s">
        <v>508</v>
      </c>
      <c r="F6" s="365"/>
      <c r="G6" s="366"/>
      <c r="H6" s="364" t="s">
        <v>519</v>
      </c>
      <c r="I6" s="365"/>
      <c r="J6" s="305" t="s">
        <v>252</v>
      </c>
    </row>
    <row r="7" spans="2:14" ht="31.5">
      <c r="B7" s="377"/>
      <c r="C7" s="377"/>
      <c r="D7" s="377"/>
      <c r="E7" s="206" t="s">
        <v>391</v>
      </c>
      <c r="F7" s="206" t="s">
        <v>268</v>
      </c>
      <c r="G7" s="206" t="s">
        <v>226</v>
      </c>
      <c r="H7" s="206" t="s">
        <v>427</v>
      </c>
      <c r="I7" s="206" t="s">
        <v>267</v>
      </c>
      <c r="J7" s="206" t="s">
        <v>480</v>
      </c>
    </row>
    <row r="8" spans="2:14" ht="15.75">
      <c r="B8" s="377"/>
      <c r="C8" s="377"/>
      <c r="D8" s="377"/>
      <c r="E8" s="206" t="s">
        <v>10</v>
      </c>
      <c r="F8" s="206" t="s">
        <v>12</v>
      </c>
      <c r="G8" s="206" t="s">
        <v>257</v>
      </c>
      <c r="H8" s="206" t="s">
        <v>10</v>
      </c>
      <c r="I8" s="206" t="s">
        <v>5</v>
      </c>
      <c r="J8" s="206" t="s">
        <v>8</v>
      </c>
    </row>
    <row r="9" spans="2:14">
      <c r="B9" s="207" t="s">
        <v>183</v>
      </c>
      <c r="C9" s="208" t="s">
        <v>369</v>
      </c>
      <c r="D9" s="208" t="s">
        <v>42</v>
      </c>
      <c r="E9" s="283">
        <v>10</v>
      </c>
      <c r="F9" s="278">
        <v>14.408237477780345</v>
      </c>
      <c r="G9" s="281">
        <f>F9</f>
        <v>14.408237477780345</v>
      </c>
      <c r="H9" s="281">
        <v>10</v>
      </c>
      <c r="I9" s="278">
        <v>15.38697566295785</v>
      </c>
      <c r="J9" s="277">
        <v>10</v>
      </c>
      <c r="K9" s="296"/>
    </row>
    <row r="10" spans="2:14">
      <c r="B10" s="212" t="s">
        <v>225</v>
      </c>
      <c r="C10" s="213" t="s">
        <v>379</v>
      </c>
      <c r="D10" s="213" t="s">
        <v>49</v>
      </c>
      <c r="E10" s="277">
        <v>3000</v>
      </c>
      <c r="F10" s="285">
        <v>2746.6270640401108</v>
      </c>
      <c r="G10" s="281">
        <f t="shared" ref="G10:G15" si="0">F10</f>
        <v>2746.6270640401108</v>
      </c>
      <c r="H10" s="277">
        <v>3000</v>
      </c>
      <c r="I10" s="285">
        <v>3246.122839921698</v>
      </c>
      <c r="J10" s="211">
        <v>3000</v>
      </c>
      <c r="K10" s="296"/>
    </row>
    <row r="11" spans="2:14">
      <c r="B11" s="207" t="s">
        <v>363</v>
      </c>
      <c r="C11" s="208" t="s">
        <v>370</v>
      </c>
      <c r="D11" s="208" t="s">
        <v>51</v>
      </c>
      <c r="E11" s="277">
        <v>2</v>
      </c>
      <c r="F11" s="277">
        <v>3.4826673442862321</v>
      </c>
      <c r="G11" s="281">
        <f t="shared" si="0"/>
        <v>3.4826673442862321</v>
      </c>
      <c r="H11" s="277">
        <v>2</v>
      </c>
      <c r="I11" s="280">
        <v>4.2586107586075235</v>
      </c>
      <c r="J11" s="211">
        <v>0.5</v>
      </c>
      <c r="K11" s="296"/>
    </row>
    <row r="12" spans="2:14">
      <c r="B12" s="207" t="s">
        <v>364</v>
      </c>
      <c r="C12" s="208" t="s">
        <v>371</v>
      </c>
      <c r="D12" s="208" t="s">
        <v>372</v>
      </c>
      <c r="E12" s="277">
        <v>9381</v>
      </c>
      <c r="F12" s="283">
        <v>9381</v>
      </c>
      <c r="G12" s="281">
        <f t="shared" si="0"/>
        <v>9381</v>
      </c>
      <c r="H12" s="283">
        <v>9381</v>
      </c>
      <c r="I12" s="277">
        <v>9381</v>
      </c>
      <c r="J12" s="211">
        <v>9381</v>
      </c>
      <c r="K12" s="296"/>
    </row>
    <row r="13" spans="2:14">
      <c r="B13" s="207" t="s">
        <v>365</v>
      </c>
      <c r="C13" s="208" t="s">
        <v>373</v>
      </c>
      <c r="D13" s="208" t="s">
        <v>374</v>
      </c>
      <c r="E13" s="281">
        <v>0.1055912170533692</v>
      </c>
      <c r="F13" s="278">
        <v>0.1055912170533692</v>
      </c>
      <c r="G13" s="281">
        <f t="shared" si="0"/>
        <v>0.1055912170533692</v>
      </c>
      <c r="H13" s="281">
        <v>8.3505378183525006E-2</v>
      </c>
      <c r="I13" s="280">
        <f>83505.378183525/1000000</f>
        <v>8.3505378183524992E-2</v>
      </c>
      <c r="J13" s="210">
        <v>8.0478671379786773E-2</v>
      </c>
      <c r="K13" s="296"/>
    </row>
    <row r="14" spans="2:14">
      <c r="B14" s="207" t="s">
        <v>380</v>
      </c>
      <c r="C14" s="208" t="s">
        <v>375</v>
      </c>
      <c r="D14" s="208" t="s">
        <v>356</v>
      </c>
      <c r="E14" s="283">
        <v>3667.1288305084831</v>
      </c>
      <c r="F14" s="285">
        <v>3667.1288305084831</v>
      </c>
      <c r="G14" s="281">
        <f t="shared" si="0"/>
        <v>3667.1288305084831</v>
      </c>
      <c r="H14" s="283">
        <v>3614.7746998776279</v>
      </c>
      <c r="I14" s="284">
        <v>3614.7746998776279</v>
      </c>
      <c r="J14" s="209">
        <v>3577.0956430580054</v>
      </c>
      <c r="K14" s="296"/>
    </row>
    <row r="15" spans="2:14">
      <c r="B15" s="207" t="s">
        <v>366</v>
      </c>
      <c r="C15" s="208" t="s">
        <v>376</v>
      </c>
      <c r="D15" s="208" t="s">
        <v>377</v>
      </c>
      <c r="E15" s="281">
        <v>4.5582088197842294</v>
      </c>
      <c r="F15" s="278">
        <v>4.5582088197842294</v>
      </c>
      <c r="G15" s="281">
        <f t="shared" si="0"/>
        <v>4.5582088197842294</v>
      </c>
      <c r="H15" s="281">
        <v>4.9385873088973593</v>
      </c>
      <c r="I15" s="280">
        <f>4938.58730889736/1000</f>
        <v>4.9385873088973602</v>
      </c>
      <c r="J15" s="210">
        <v>4.9327113380224823</v>
      </c>
      <c r="K15" s="296"/>
    </row>
    <row r="16" spans="2:14">
      <c r="B16" s="207" t="s">
        <v>367</v>
      </c>
      <c r="C16" s="208"/>
      <c r="D16" s="208" t="s">
        <v>378</v>
      </c>
      <c r="E16" s="279">
        <f t="shared" ref="E16:I16" si="1">(E10-(E11*E12/1000))/E14</f>
        <v>0.81296243949701164</v>
      </c>
      <c r="F16" s="280">
        <f t="shared" si="1"/>
        <v>0.74007657955857664</v>
      </c>
      <c r="G16" s="281">
        <f t="shared" si="1"/>
        <v>0.74007657955857664</v>
      </c>
      <c r="H16" s="281">
        <f t="shared" si="1"/>
        <v>0.82473687782005467</v>
      </c>
      <c r="I16" s="280">
        <f t="shared" si="1"/>
        <v>0.88696338737342062</v>
      </c>
      <c r="J16" s="210">
        <f t="shared" ref="J16" si="2">(J10-(J11*J12/1000))/J14</f>
        <v>0.8373579570937485</v>
      </c>
      <c r="K16" s="296"/>
    </row>
    <row r="17" spans="2:11">
      <c r="B17" s="116" t="s">
        <v>511</v>
      </c>
      <c r="C17" s="216"/>
      <c r="D17" s="216" t="s">
        <v>512</v>
      </c>
      <c r="E17" s="279">
        <f t="shared" ref="E17:H17" si="3">IFERROR(((E10-E11*E12/1000)*E15/E14)*100/(100-E9),0)</f>
        <v>4.1173917354095355</v>
      </c>
      <c r="F17" s="279">
        <f t="shared" si="3"/>
        <v>3.9412946910444884</v>
      </c>
      <c r="G17" s="279">
        <f t="shared" si="3"/>
        <v>3.9412946910444884</v>
      </c>
      <c r="H17" s="279">
        <f t="shared" si="3"/>
        <v>4.5255945310908379</v>
      </c>
      <c r="I17" s="279">
        <f>IFERROR(((I10-I11*I12/1000)*I15/I14)*100/(100-I9),0)</f>
        <v>5.1769171030816663</v>
      </c>
      <c r="J17" s="244">
        <f>IFERROR(((J10-J11*J12/1000)*J15/J14)*100/(100-J9),0)</f>
        <v>4.5893834321551958</v>
      </c>
      <c r="K17" s="296"/>
    </row>
    <row r="18" spans="2:11">
      <c r="B18" s="116" t="s">
        <v>513</v>
      </c>
      <c r="C18" s="216"/>
      <c r="D18" s="216" t="s">
        <v>512</v>
      </c>
      <c r="E18" s="279">
        <f t="shared" ref="E18:H18" si="4">(E11*E13)/(100-E9)*100</f>
        <v>0.23464714900748709</v>
      </c>
      <c r="F18" s="279">
        <f t="shared" si="4"/>
        <v>0.42964307853777772</v>
      </c>
      <c r="G18" s="279">
        <f t="shared" si="4"/>
        <v>0.42964307853777772</v>
      </c>
      <c r="H18" s="279">
        <f t="shared" si="4"/>
        <v>0.18556750707450001</v>
      </c>
      <c r="I18" s="279">
        <f t="shared" ref="I18:J18" si="5">(I11*I13)/(100-I9)*100</f>
        <v>0.42028624401535125</v>
      </c>
      <c r="J18" s="244">
        <f t="shared" si="5"/>
        <v>4.4710372988770425E-2</v>
      </c>
      <c r="K18" s="296"/>
    </row>
    <row r="19" spans="2:11" ht="15.75">
      <c r="B19" s="214" t="s">
        <v>368</v>
      </c>
      <c r="C19" s="208"/>
      <c r="D19" s="214" t="s">
        <v>221</v>
      </c>
      <c r="E19" s="282">
        <f t="shared" ref="E19:J19" si="6">IFERROR(((E10-E11*E12/1000)*E15/E14+E11*E13)*100/(100-E9),0)</f>
        <v>4.3520388844170226</v>
      </c>
      <c r="F19" s="282">
        <f t="shared" si="6"/>
        <v>4.370937769582266</v>
      </c>
      <c r="G19" s="282">
        <f t="shared" si="6"/>
        <v>4.370937769582266</v>
      </c>
      <c r="H19" s="282">
        <f t="shared" si="6"/>
        <v>4.7111620381653383</v>
      </c>
      <c r="I19" s="282">
        <f t="shared" si="6"/>
        <v>5.5972033470970173</v>
      </c>
      <c r="J19" s="215">
        <f t="shared" si="6"/>
        <v>4.6340938051439657</v>
      </c>
      <c r="K19" s="296"/>
    </row>
    <row r="20" spans="2:11">
      <c r="E20" s="217"/>
      <c r="I20" s="217"/>
      <c r="J20" s="217"/>
      <c r="K20" s="296"/>
    </row>
    <row r="21" spans="2:11">
      <c r="E21" s="217"/>
      <c r="F21" s="217"/>
      <c r="G21" s="217"/>
      <c r="H21" s="217"/>
      <c r="I21" s="217"/>
      <c r="J21" s="217"/>
    </row>
    <row r="22" spans="2:11" ht="29.25" customHeight="1">
      <c r="B22" s="376" t="s">
        <v>536</v>
      </c>
      <c r="C22" s="376"/>
      <c r="D22" s="376"/>
      <c r="E22" s="376"/>
      <c r="F22" s="376"/>
      <c r="G22" s="376"/>
      <c r="H22" s="376"/>
      <c r="I22" s="376"/>
      <c r="J22" s="376"/>
    </row>
    <row r="24" spans="2:11">
      <c r="J24" s="217"/>
    </row>
    <row r="26" spans="2:11">
      <c r="J26" s="217"/>
    </row>
    <row r="27" spans="2:11">
      <c r="J27" s="217"/>
    </row>
    <row r="28" spans="2:11">
      <c r="J28" s="217"/>
    </row>
  </sheetData>
  <mergeCells count="9">
    <mergeCell ref="B2:J2"/>
    <mergeCell ref="B3:J3"/>
    <mergeCell ref="B4:J4"/>
    <mergeCell ref="B22:J22"/>
    <mergeCell ref="E6:G6"/>
    <mergeCell ref="H6:I6"/>
    <mergeCell ref="B6:B8"/>
    <mergeCell ref="D6:D8"/>
    <mergeCell ref="C6:C8"/>
  </mergeCells>
  <pageMargins left="0.2" right="0.32" top="0.75" bottom="0.75" header="0.3" footer="0.3"/>
  <pageSetup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24"/>
  <sheetViews>
    <sheetView showGridLines="0" view="pageBreakPreview" zoomScale="60" zoomScaleNormal="95" workbookViewId="0">
      <selection activeCell="D32" sqref="D32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6384" width="9.28515625" style="19"/>
  </cols>
  <sheetData>
    <row r="2" spans="2:16" ht="15.75">
      <c r="B2" s="312" t="s">
        <v>522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</row>
    <row r="3" spans="2:16" ht="15.75">
      <c r="B3" s="312" t="s">
        <v>505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</row>
    <row r="4" spans="2:16" s="4" customFormat="1" ht="15.75">
      <c r="B4" s="312" t="s">
        <v>537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7" spans="2:16" ht="12.75" customHeight="1">
      <c r="B7" s="324" t="s">
        <v>210</v>
      </c>
      <c r="C7" s="327" t="s">
        <v>18</v>
      </c>
      <c r="D7" s="321" t="s">
        <v>39</v>
      </c>
      <c r="E7" s="327" t="s">
        <v>1</v>
      </c>
      <c r="F7" s="318" t="s">
        <v>478</v>
      </c>
      <c r="G7" s="319"/>
      <c r="H7" s="320"/>
      <c r="I7" s="318" t="s">
        <v>479</v>
      </c>
      <c r="J7" s="319"/>
      <c r="K7" s="316" t="s">
        <v>252</v>
      </c>
      <c r="L7" s="316"/>
      <c r="M7" s="316"/>
      <c r="N7" s="316"/>
      <c r="O7" s="316"/>
      <c r="P7" s="316" t="s">
        <v>11</v>
      </c>
    </row>
    <row r="8" spans="2:16" ht="30" customHeight="1">
      <c r="B8" s="325"/>
      <c r="C8" s="327"/>
      <c r="D8" s="322"/>
      <c r="E8" s="327"/>
      <c r="F8" s="21" t="s">
        <v>391</v>
      </c>
      <c r="G8" s="21" t="s">
        <v>256</v>
      </c>
      <c r="H8" s="21" t="s">
        <v>226</v>
      </c>
      <c r="I8" s="21" t="s">
        <v>391</v>
      </c>
      <c r="J8" s="21" t="s">
        <v>260</v>
      </c>
      <c r="K8" s="21" t="s">
        <v>480</v>
      </c>
      <c r="L8" s="21" t="s">
        <v>481</v>
      </c>
      <c r="M8" s="21" t="s">
        <v>482</v>
      </c>
      <c r="N8" s="21" t="s">
        <v>483</v>
      </c>
      <c r="O8" s="21" t="s">
        <v>484</v>
      </c>
      <c r="P8" s="316"/>
    </row>
    <row r="9" spans="2:16" ht="15">
      <c r="B9" s="326"/>
      <c r="C9" s="328"/>
      <c r="D9" s="323"/>
      <c r="E9" s="328"/>
      <c r="F9" s="21" t="s">
        <v>10</v>
      </c>
      <c r="G9" s="21" t="s">
        <v>12</v>
      </c>
      <c r="H9" s="21" t="s">
        <v>257</v>
      </c>
      <c r="I9" s="21" t="s">
        <v>10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317"/>
    </row>
    <row r="10" spans="2:16" ht="15">
      <c r="B10" s="28" t="s">
        <v>67</v>
      </c>
      <c r="C10" s="29" t="s">
        <v>263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2:16" ht="15">
      <c r="B11" s="2">
        <v>1</v>
      </c>
      <c r="C11" s="3" t="s">
        <v>36</v>
      </c>
      <c r="D11" s="2" t="s">
        <v>222</v>
      </c>
      <c r="E11" s="23" t="s">
        <v>298</v>
      </c>
      <c r="F11" s="162">
        <f>'F2'!E14</f>
        <v>90.466200000000001</v>
      </c>
      <c r="G11" s="162">
        <f>'F2'!F14</f>
        <v>94.239934761986348</v>
      </c>
      <c r="H11" s="162">
        <f>'F2'!G14</f>
        <v>94.239934761986348</v>
      </c>
      <c r="I11" s="162">
        <f>'F2'!H14</f>
        <v>93.756959999999992</v>
      </c>
      <c r="J11" s="162">
        <f>'F2'!I14</f>
        <v>100.26134508036756</v>
      </c>
      <c r="K11" s="162">
        <f>'F2'!J14</f>
        <v>109.86919292807835</v>
      </c>
      <c r="L11" s="162"/>
      <c r="M11" s="162"/>
      <c r="N11" s="162"/>
      <c r="O11" s="162"/>
      <c r="P11" s="168"/>
    </row>
    <row r="12" spans="2:16" ht="15">
      <c r="B12" s="2">
        <f t="shared" ref="B12:B17" si="0">B11+1</f>
        <v>2</v>
      </c>
      <c r="C12" s="24" t="s">
        <v>176</v>
      </c>
      <c r="D12" s="2" t="s">
        <v>222</v>
      </c>
      <c r="E12" s="23" t="s">
        <v>23</v>
      </c>
      <c r="F12" s="169">
        <v>10.11</v>
      </c>
      <c r="G12" s="169">
        <f>H12</f>
        <v>9.8220000000000027</v>
      </c>
      <c r="H12" s="162">
        <f>'F4'!K21-'F4'!L21</f>
        <v>9.8220000000000027</v>
      </c>
      <c r="I12" s="168">
        <v>10.11</v>
      </c>
      <c r="J12" s="162">
        <f>'F4'!K39-'F4'!L39</f>
        <v>9.822765457649993</v>
      </c>
      <c r="K12" s="162">
        <f>'F4'!K56-'F4'!L56</f>
        <v>9.8555722427999939</v>
      </c>
      <c r="L12" s="162"/>
      <c r="M12" s="162"/>
      <c r="N12" s="162"/>
      <c r="O12" s="162"/>
      <c r="P12" s="168"/>
    </row>
    <row r="13" spans="2:16" ht="15">
      <c r="B13" s="2">
        <f t="shared" si="0"/>
        <v>3</v>
      </c>
      <c r="C13" s="3" t="s">
        <v>261</v>
      </c>
      <c r="D13" s="2" t="s">
        <v>222</v>
      </c>
      <c r="E13" s="22" t="s">
        <v>29</v>
      </c>
      <c r="F13" s="162">
        <f>'F5'!D22</f>
        <v>0</v>
      </c>
      <c r="G13" s="162">
        <f>'F5'!E22</f>
        <v>0.20252152040556443</v>
      </c>
      <c r="H13" s="162">
        <f>'F5'!F22</f>
        <v>0.20252152040556443</v>
      </c>
      <c r="I13" s="162">
        <v>0</v>
      </c>
      <c r="J13" s="162">
        <f>'F5'!H22</f>
        <v>0</v>
      </c>
      <c r="K13" s="162">
        <f>'F5'!I22</f>
        <v>0</v>
      </c>
      <c r="L13" s="162"/>
      <c r="M13" s="162"/>
      <c r="N13" s="162"/>
      <c r="O13" s="162"/>
      <c r="P13" s="168"/>
    </row>
    <row r="14" spans="2:16" ht="15">
      <c r="B14" s="2">
        <f t="shared" si="0"/>
        <v>4</v>
      </c>
      <c r="C14" s="24" t="s">
        <v>37</v>
      </c>
      <c r="D14" s="2" t="s">
        <v>222</v>
      </c>
      <c r="E14" s="22" t="s">
        <v>30</v>
      </c>
      <c r="F14" s="162">
        <f>'F6'!D20</f>
        <v>6.48</v>
      </c>
      <c r="G14" s="162">
        <f ca="1">'F6'!E20</f>
        <v>6.776824461071989</v>
      </c>
      <c r="H14" s="162">
        <f ca="1">'F6'!F20</f>
        <v>6.776824461071989</v>
      </c>
      <c r="I14" s="162">
        <f>'F6'!G20</f>
        <v>6.79</v>
      </c>
      <c r="J14" s="162">
        <f ca="1">'F6'!H20</f>
        <v>8.0587064648637323</v>
      </c>
      <c r="K14" s="162">
        <f ca="1">'F6'!I20</f>
        <v>5.4091674370208125</v>
      </c>
      <c r="L14" s="162"/>
      <c r="M14" s="162"/>
      <c r="N14" s="162"/>
      <c r="O14" s="162"/>
      <c r="P14" s="168"/>
    </row>
    <row r="15" spans="2:16" ht="15">
      <c r="B15" s="2">
        <f t="shared" si="0"/>
        <v>5</v>
      </c>
      <c r="C15" s="3" t="s">
        <v>262</v>
      </c>
      <c r="D15" s="2" t="s">
        <v>222</v>
      </c>
      <c r="E15" s="22" t="s">
        <v>31</v>
      </c>
      <c r="F15" s="162">
        <f>'F7'!D22</f>
        <v>7.16</v>
      </c>
      <c r="G15" s="162">
        <f>'F7'!E22</f>
        <v>7.8942686247734919</v>
      </c>
      <c r="H15" s="162">
        <f>'F7'!F22</f>
        <v>7.8942686247734919</v>
      </c>
      <c r="I15" s="162">
        <f>'F7'!G22</f>
        <v>7.16</v>
      </c>
      <c r="J15" s="162">
        <f>'F7'!H22</f>
        <v>7.89457932073244</v>
      </c>
      <c r="K15" s="162">
        <f>'F7'!I22</f>
        <v>4.6683192866878453</v>
      </c>
      <c r="L15" s="162"/>
      <c r="M15" s="162"/>
      <c r="N15" s="162"/>
      <c r="O15" s="162"/>
      <c r="P15" s="168"/>
    </row>
    <row r="16" spans="2:16" ht="15">
      <c r="B16" s="2">
        <f t="shared" si="0"/>
        <v>6</v>
      </c>
      <c r="C16" s="3" t="s">
        <v>38</v>
      </c>
      <c r="D16" s="2" t="s">
        <v>222</v>
      </c>
      <c r="E16" s="22" t="s">
        <v>32</v>
      </c>
      <c r="F16" s="162"/>
      <c r="G16" s="162">
        <f>'F8'!E22</f>
        <v>2.6222948870396436</v>
      </c>
      <c r="H16" s="162">
        <f>'F8'!F22</f>
        <v>2.6222948870396436</v>
      </c>
      <c r="I16" s="162"/>
      <c r="J16" s="162">
        <f>'F8'!H22</f>
        <v>1.3331431243094383</v>
      </c>
      <c r="K16" s="162">
        <f>'F8'!I22</f>
        <v>1.4894337023476478</v>
      </c>
      <c r="L16" s="162"/>
      <c r="M16" s="162"/>
      <c r="N16" s="162"/>
      <c r="O16" s="162"/>
      <c r="P16" s="168"/>
    </row>
    <row r="17" spans="2:16" ht="15">
      <c r="B17" s="20">
        <f t="shared" si="0"/>
        <v>7</v>
      </c>
      <c r="C17" s="25" t="s">
        <v>263</v>
      </c>
      <c r="D17" s="20" t="s">
        <v>222</v>
      </c>
      <c r="E17" s="22"/>
      <c r="F17" s="162">
        <f>SUM(F11:F16)</f>
        <v>114.2162</v>
      </c>
      <c r="G17" s="162">
        <f ca="1">SUM(G11:G15)-G16</f>
        <v>116.31325448119776</v>
      </c>
      <c r="H17" s="162">
        <f t="shared" ref="H17:K17" ca="1" si="1">SUM(H11:H15)-H16</f>
        <v>116.31325448119776</v>
      </c>
      <c r="I17" s="162">
        <f t="shared" si="1"/>
        <v>117.81695999999999</v>
      </c>
      <c r="J17" s="162">
        <f t="shared" ca="1" si="1"/>
        <v>124.70425319930429</v>
      </c>
      <c r="K17" s="162">
        <f t="shared" ca="1" si="1"/>
        <v>128.31281819223935</v>
      </c>
      <c r="L17" s="162"/>
      <c r="M17" s="162"/>
      <c r="N17" s="162"/>
      <c r="O17" s="162"/>
      <c r="P17" s="168"/>
    </row>
    <row r="18" spans="2:16" ht="15">
      <c r="B18" s="20" t="s">
        <v>71</v>
      </c>
      <c r="C18" s="20" t="s">
        <v>264</v>
      </c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2:16" ht="15">
      <c r="B19" s="2">
        <v>1</v>
      </c>
      <c r="C19" s="22" t="s">
        <v>265</v>
      </c>
      <c r="D19" s="2" t="s">
        <v>221</v>
      </c>
      <c r="E19" s="22" t="s">
        <v>172</v>
      </c>
      <c r="F19" s="162">
        <f>'F12'!E19</f>
        <v>4.3520388844170226</v>
      </c>
      <c r="G19" s="162">
        <f>'F12'!F19</f>
        <v>4.370937769582266</v>
      </c>
      <c r="H19" s="162">
        <f>'F12'!G19</f>
        <v>4.370937769582266</v>
      </c>
      <c r="I19" s="162">
        <f>'F12'!H19</f>
        <v>4.7111620381653383</v>
      </c>
      <c r="J19" s="162">
        <f>'F12'!I19</f>
        <v>5.5972033470970173</v>
      </c>
      <c r="K19" s="162">
        <f>'F12'!J19</f>
        <v>4.6340938051439657</v>
      </c>
      <c r="L19" s="162"/>
      <c r="M19" s="162"/>
      <c r="N19" s="162"/>
      <c r="O19" s="162"/>
      <c r="P19" s="3"/>
    </row>
    <row r="20" spans="2:16" ht="15">
      <c r="B20" s="2">
        <f>B19+1</f>
        <v>2</v>
      </c>
      <c r="C20" s="22" t="s">
        <v>266</v>
      </c>
      <c r="D20" s="2" t="s">
        <v>45</v>
      </c>
      <c r="E20" s="22" t="s">
        <v>34</v>
      </c>
      <c r="F20" s="162">
        <f>'F10'!E23</f>
        <v>232.18</v>
      </c>
      <c r="G20" s="162">
        <f>'F10'!F30</f>
        <v>232.18</v>
      </c>
      <c r="H20" s="162">
        <f>'F10'!G30</f>
        <v>232.18</v>
      </c>
      <c r="I20" s="162">
        <f>J20</f>
        <v>219.0581</v>
      </c>
      <c r="J20" s="162">
        <f>'F10'!I30</f>
        <v>219.0581</v>
      </c>
      <c r="K20" s="162">
        <f>'F10'!J30</f>
        <v>285.79000000000002</v>
      </c>
      <c r="L20" s="162"/>
      <c r="M20" s="162"/>
      <c r="N20" s="162"/>
      <c r="O20" s="162"/>
      <c r="P20" s="3"/>
    </row>
    <row r="21" spans="2:16" ht="15">
      <c r="B21" s="2">
        <f>B20+1</f>
        <v>3</v>
      </c>
      <c r="C21" s="22" t="s">
        <v>264</v>
      </c>
      <c r="D21" s="2" t="s">
        <v>222</v>
      </c>
      <c r="E21" s="22"/>
      <c r="F21" s="162">
        <f>F19*F20/10</f>
        <v>101.04563881839444</v>
      </c>
      <c r="G21" s="162">
        <f t="shared" ref="G21:K21" si="2">G19*G20/10</f>
        <v>101.48443313416105</v>
      </c>
      <c r="H21" s="162">
        <f t="shared" si="2"/>
        <v>101.48443313416105</v>
      </c>
      <c r="I21" s="162">
        <f t="shared" si="2"/>
        <v>103.20182048726265</v>
      </c>
      <c r="J21" s="162">
        <f t="shared" si="2"/>
        <v>122.61127305287133</v>
      </c>
      <c r="K21" s="162">
        <f t="shared" si="2"/>
        <v>132.4377668572094</v>
      </c>
      <c r="L21" s="162"/>
      <c r="M21" s="162"/>
      <c r="N21" s="162"/>
      <c r="O21" s="162"/>
      <c r="P21" s="3"/>
    </row>
    <row r="22" spans="2:16" ht="15">
      <c r="B22" s="20" t="s">
        <v>72</v>
      </c>
      <c r="C22" s="20" t="s">
        <v>426</v>
      </c>
      <c r="D22" s="2" t="s">
        <v>222</v>
      </c>
      <c r="E22" s="3"/>
      <c r="F22" s="162">
        <f>F17+F21</f>
        <v>215.26183881839444</v>
      </c>
      <c r="G22" s="162">
        <f t="shared" ref="G22:K22" ca="1" si="3">G17+G21</f>
        <v>217.79768761535883</v>
      </c>
      <c r="H22" s="162">
        <f t="shared" ca="1" si="3"/>
        <v>217.79768761535883</v>
      </c>
      <c r="I22" s="162">
        <f t="shared" si="3"/>
        <v>221.01878048726263</v>
      </c>
      <c r="J22" s="162">
        <f t="shared" ca="1" si="3"/>
        <v>247.31552625217563</v>
      </c>
      <c r="K22" s="162">
        <f t="shared" ca="1" si="3"/>
        <v>260.75058504944877</v>
      </c>
      <c r="L22" s="162"/>
      <c r="M22" s="162"/>
      <c r="N22" s="162"/>
      <c r="O22" s="162"/>
      <c r="P22" s="3"/>
    </row>
    <row r="23" spans="2:16" hidden="1">
      <c r="F23" s="189">
        <f>SUM(F17+F16)</f>
        <v>114.2162</v>
      </c>
      <c r="G23" s="189">
        <f t="shared" ref="G23:K23" ca="1" si="4">SUM(G17+G16)</f>
        <v>118.9355493682374</v>
      </c>
      <c r="H23" s="189">
        <f t="shared" ca="1" si="4"/>
        <v>118.9355493682374</v>
      </c>
      <c r="I23" s="189">
        <f t="shared" si="4"/>
        <v>117.81695999999999</v>
      </c>
      <c r="J23" s="189">
        <f t="shared" ca="1" si="4"/>
        <v>126.03739632361373</v>
      </c>
      <c r="K23" s="189">
        <f t="shared" ca="1" si="4"/>
        <v>129.80225189458699</v>
      </c>
    </row>
    <row r="24" spans="2:16">
      <c r="G24" s="310"/>
    </row>
  </sheetData>
  <mergeCells count="11">
    <mergeCell ref="P7:P9"/>
    <mergeCell ref="K7:O7"/>
    <mergeCell ref="F7:H7"/>
    <mergeCell ref="I7:J7"/>
    <mergeCell ref="B2:P2"/>
    <mergeCell ref="B3:P3"/>
    <mergeCell ref="B4:P4"/>
    <mergeCell ref="D7:D9"/>
    <mergeCell ref="B7:B9"/>
    <mergeCell ref="C7:C9"/>
    <mergeCell ref="E7:E9"/>
  </mergeCells>
  <pageMargins left="0.23" right="0.23" top="0.92" bottom="1" header="0.5" footer="0.5"/>
  <pageSetup paperSize="9" scale="6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2"/>
  <sheetViews>
    <sheetView showGridLines="0" zoomScale="8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>
      <c r="B1" s="117"/>
    </row>
    <row r="2" spans="1:17" ht="14.25" customHeight="1">
      <c r="B2" s="337" t="s">
        <v>517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</row>
    <row r="3" spans="1:17" ht="14.25" customHeight="1">
      <c r="B3" s="337" t="s">
        <v>501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</row>
    <row r="4" spans="1:17" ht="15">
      <c r="B4" s="335" t="s">
        <v>382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</row>
    <row r="5" spans="1:17" ht="15">
      <c r="B5" s="30" t="s">
        <v>478</v>
      </c>
      <c r="C5" s="93"/>
      <c r="D5" s="93"/>
      <c r="E5" s="93"/>
      <c r="F5" s="93"/>
      <c r="G5" s="93"/>
      <c r="H5" s="93"/>
      <c r="I5" s="41"/>
    </row>
    <row r="6" spans="1:17" ht="15">
      <c r="B6" s="30" t="s">
        <v>12</v>
      </c>
      <c r="C6" s="31"/>
      <c r="D6" s="31"/>
      <c r="O6" s="31" t="s">
        <v>140</v>
      </c>
    </row>
    <row r="7" spans="1:17" s="38" customFormat="1" ht="15" customHeight="1">
      <c r="B7" s="37" t="s">
        <v>383</v>
      </c>
      <c r="C7" s="37" t="s">
        <v>141</v>
      </c>
      <c r="D7" s="37" t="s">
        <v>142</v>
      </c>
      <c r="E7" s="118" t="s">
        <v>143</v>
      </c>
      <c r="F7" s="118" t="s">
        <v>144</v>
      </c>
      <c r="G7" s="118" t="s">
        <v>145</v>
      </c>
      <c r="H7" s="118" t="s">
        <v>146</v>
      </c>
      <c r="I7" s="118" t="s">
        <v>147</v>
      </c>
      <c r="J7" s="118" t="s">
        <v>148</v>
      </c>
      <c r="K7" s="118" t="s">
        <v>149</v>
      </c>
      <c r="L7" s="118" t="s">
        <v>150</v>
      </c>
      <c r="M7" s="118" t="s">
        <v>151</v>
      </c>
      <c r="N7" s="118" t="s">
        <v>152</v>
      </c>
      <c r="O7" s="118" t="s">
        <v>139</v>
      </c>
    </row>
    <row r="8" spans="1:17" s="38" customFormat="1" ht="15">
      <c r="B8" s="91" t="s">
        <v>476</v>
      </c>
      <c r="C8" s="171">
        <v>8.033902415</v>
      </c>
      <c r="D8" s="171">
        <v>20.280140735</v>
      </c>
      <c r="E8" s="171">
        <v>19.097832087500002</v>
      </c>
      <c r="F8" s="171">
        <v>15.4014636075</v>
      </c>
      <c r="G8" s="171">
        <v>19.3881947225</v>
      </c>
      <c r="H8" s="171">
        <v>17.248212155000001</v>
      </c>
      <c r="I8" s="171">
        <v>4.3887990925000002</v>
      </c>
      <c r="J8" s="171">
        <v>12.658715950000001</v>
      </c>
      <c r="K8" s="171">
        <v>7.2901607875000005</v>
      </c>
      <c r="L8" s="171">
        <v>13.179607765</v>
      </c>
      <c r="M8" s="171">
        <v>14.098690834999999</v>
      </c>
      <c r="N8" s="171">
        <v>12.742374140000001</v>
      </c>
      <c r="O8" s="171">
        <f>SUM(C8:N8)</f>
        <v>163.80809429249999</v>
      </c>
    </row>
    <row r="9" spans="1:17" s="38" customFormat="1" ht="15">
      <c r="B9" s="9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</row>
    <row r="10" spans="1:17" s="38" customFormat="1" ht="15">
      <c r="B10" s="91" t="s">
        <v>477</v>
      </c>
      <c r="C10" s="171">
        <v>3.3536275849999999</v>
      </c>
      <c r="D10" s="171">
        <v>8.4656292650000005</v>
      </c>
      <c r="E10" s="171">
        <v>7.9720929124999991</v>
      </c>
      <c r="F10" s="171">
        <v>6.4291013924999998</v>
      </c>
      <c r="G10" s="171">
        <v>8.0933002774999991</v>
      </c>
      <c r="H10" s="171">
        <v>7.1999978449999986</v>
      </c>
      <c r="I10" s="171">
        <v>1.8320359074999999</v>
      </c>
      <c r="J10" s="171">
        <v>5.2841840500000004</v>
      </c>
      <c r="K10" s="171">
        <v>3.0431642124999998</v>
      </c>
      <c r="L10" s="171">
        <v>5.5016222349999993</v>
      </c>
      <c r="M10" s="171">
        <v>5.885279165</v>
      </c>
      <c r="N10" s="171">
        <v>5.3191058599999987</v>
      </c>
      <c r="O10" s="171">
        <f>SUM(C10:N10)</f>
        <v>68.3791407075</v>
      </c>
    </row>
    <row r="11" spans="1:17" s="38" customFormat="1" ht="15">
      <c r="B11" s="43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7" ht="15">
      <c r="B12" s="44" t="s">
        <v>139</v>
      </c>
      <c r="C12" s="139">
        <f>C8+C10</f>
        <v>11.38753</v>
      </c>
      <c r="D12" s="139">
        <f t="shared" ref="D12:O12" si="0">D8+D10</f>
        <v>28.74577</v>
      </c>
      <c r="E12" s="139">
        <f t="shared" si="0"/>
        <v>27.069925000000001</v>
      </c>
      <c r="F12" s="139">
        <f t="shared" si="0"/>
        <v>21.830565</v>
      </c>
      <c r="G12" s="139">
        <f t="shared" si="0"/>
        <v>27.481494999999999</v>
      </c>
      <c r="H12" s="139">
        <f t="shared" si="0"/>
        <v>24.44821</v>
      </c>
      <c r="I12" s="139">
        <f t="shared" si="0"/>
        <v>6.2208350000000001</v>
      </c>
      <c r="J12" s="139">
        <f t="shared" si="0"/>
        <v>17.942900000000002</v>
      </c>
      <c r="K12" s="139">
        <f t="shared" si="0"/>
        <v>10.333325</v>
      </c>
      <c r="L12" s="139">
        <f t="shared" si="0"/>
        <v>18.681229999999999</v>
      </c>
      <c r="M12" s="139">
        <f t="shared" si="0"/>
        <v>19.983969999999999</v>
      </c>
      <c r="N12" s="139">
        <f t="shared" si="0"/>
        <v>18.06148</v>
      </c>
      <c r="O12" s="139">
        <f t="shared" si="0"/>
        <v>232.18723499999999</v>
      </c>
    </row>
    <row r="13" spans="1:17" ht="16.5">
      <c r="B13" s="30"/>
      <c r="C13" s="93"/>
      <c r="D13" s="93"/>
      <c r="E13" s="93"/>
      <c r="F13" s="93"/>
      <c r="G13" s="93"/>
      <c r="H13" s="93"/>
      <c r="I13" s="108"/>
    </row>
    <row r="14" spans="1:17" ht="16.5">
      <c r="B14" s="30" t="s">
        <v>479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41"/>
      <c r="P14" s="108"/>
    </row>
    <row r="15" spans="1:17" ht="16.5">
      <c r="A15" s="5" t="s">
        <v>381</v>
      </c>
      <c r="B15" s="30" t="s">
        <v>5</v>
      </c>
      <c r="C15" s="31"/>
      <c r="D15" s="31"/>
      <c r="O15" s="31" t="s">
        <v>140</v>
      </c>
      <c r="P15" s="108"/>
    </row>
    <row r="16" spans="1:17" ht="18.75" customHeight="1">
      <c r="B16" s="332" t="s">
        <v>383</v>
      </c>
      <c r="C16" s="378" t="s">
        <v>153</v>
      </c>
      <c r="D16" s="379"/>
      <c r="E16" s="379"/>
      <c r="F16" s="379"/>
      <c r="G16" s="379"/>
      <c r="H16" s="380"/>
      <c r="I16" s="378" t="s">
        <v>5</v>
      </c>
      <c r="J16" s="379"/>
      <c r="K16" s="379"/>
      <c r="L16" s="379"/>
      <c r="M16" s="379"/>
      <c r="N16" s="380"/>
      <c r="O16" s="37" t="s">
        <v>154</v>
      </c>
      <c r="P16" s="108"/>
      <c r="Q16" s="108"/>
    </row>
    <row r="17" spans="2:16" ht="15">
      <c r="B17" s="334"/>
      <c r="C17" s="37" t="s">
        <v>141</v>
      </c>
      <c r="D17" s="37" t="s">
        <v>142</v>
      </c>
      <c r="E17" s="118" t="s">
        <v>143</v>
      </c>
      <c r="F17" s="118" t="s">
        <v>144</v>
      </c>
      <c r="G17" s="118" t="s">
        <v>145</v>
      </c>
      <c r="H17" s="118" t="s">
        <v>146</v>
      </c>
      <c r="I17" s="118" t="s">
        <v>147</v>
      </c>
      <c r="J17" s="118" t="s">
        <v>148</v>
      </c>
      <c r="K17" s="118" t="s">
        <v>149</v>
      </c>
      <c r="L17" s="118" t="s">
        <v>150</v>
      </c>
      <c r="M17" s="118" t="s">
        <v>151</v>
      </c>
      <c r="N17" s="118" t="s">
        <v>152</v>
      </c>
      <c r="O17" s="27"/>
    </row>
    <row r="18" spans="2:16" s="38" customFormat="1" ht="15">
      <c r="B18" s="91" t="s">
        <v>476</v>
      </c>
      <c r="C18" s="171">
        <v>13.848965</v>
      </c>
      <c r="D18" s="171">
        <v>17.3553</v>
      </c>
      <c r="E18" s="171">
        <v>15.005985000000001</v>
      </c>
      <c r="F18" s="186">
        <v>17.362355000000001</v>
      </c>
      <c r="G18" s="171">
        <v>16.946110000000001</v>
      </c>
      <c r="H18" s="171">
        <v>2.4480850000000003</v>
      </c>
      <c r="I18" s="171">
        <v>1.21346</v>
      </c>
      <c r="J18" s="171">
        <v>13.15052</v>
      </c>
      <c r="K18" s="171">
        <v>16.212389999999999</v>
      </c>
      <c r="L18" s="171">
        <f>24.74*0.7055</f>
        <v>17.454069999999998</v>
      </c>
      <c r="M18" s="171">
        <f>20.13*0.7055</f>
        <v>14.201715</v>
      </c>
      <c r="N18" s="171">
        <f>13.24263*0.7055</f>
        <v>9.342675465000001</v>
      </c>
      <c r="O18" s="186">
        <f>SUM(C18:N18)</f>
        <v>154.54163046500003</v>
      </c>
    </row>
    <row r="19" spans="2:16" s="38" customFormat="1" ht="15">
      <c r="B19" s="9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86"/>
    </row>
    <row r="20" spans="2:16" s="38" customFormat="1" ht="15">
      <c r="B20" s="91" t="s">
        <v>477</v>
      </c>
      <c r="C20" s="171">
        <v>5.7810349999999993</v>
      </c>
      <c r="D20" s="171">
        <v>7.2447000000000017</v>
      </c>
      <c r="E20" s="171">
        <v>6.2640149999999988</v>
      </c>
      <c r="F20" s="171">
        <v>7.2476449999999986</v>
      </c>
      <c r="G20" s="171">
        <v>7.0738899999999987</v>
      </c>
      <c r="H20" s="171">
        <v>1.0219149999999999</v>
      </c>
      <c r="I20" s="171">
        <v>0.50653999999999999</v>
      </c>
      <c r="J20" s="171">
        <v>5.4894800000000004</v>
      </c>
      <c r="K20" s="171">
        <v>6.7676100000000012</v>
      </c>
      <c r="L20" s="171">
        <f>24.74*0.2945</f>
        <v>7.2859299999999996</v>
      </c>
      <c r="M20" s="171">
        <f>20.13*0.2945</f>
        <v>5.9282849999999998</v>
      </c>
      <c r="N20" s="171">
        <f>13.24263*0.2945</f>
        <v>3.899954535</v>
      </c>
      <c r="O20" s="186">
        <f>SUM(C20:N20)</f>
        <v>64.510999534999996</v>
      </c>
    </row>
    <row r="21" spans="2:16" s="38" customFormat="1" ht="15">
      <c r="B21" s="43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</row>
    <row r="22" spans="2:16" ht="15">
      <c r="B22" s="44" t="s">
        <v>139</v>
      </c>
      <c r="C22" s="139">
        <f>C18+C20</f>
        <v>19.63</v>
      </c>
      <c r="D22" s="139">
        <f t="shared" ref="D22:N22" si="1">D18+D20</f>
        <v>24.6</v>
      </c>
      <c r="E22" s="139">
        <f t="shared" si="1"/>
        <v>21.27</v>
      </c>
      <c r="F22" s="139">
        <f t="shared" si="1"/>
        <v>24.61</v>
      </c>
      <c r="G22" s="139">
        <f t="shared" si="1"/>
        <v>24.02</v>
      </c>
      <c r="H22" s="139">
        <f t="shared" si="1"/>
        <v>3.47</v>
      </c>
      <c r="I22" s="139">
        <f t="shared" si="1"/>
        <v>1.72</v>
      </c>
      <c r="J22" s="139">
        <f t="shared" si="1"/>
        <v>18.64</v>
      </c>
      <c r="K22" s="139">
        <f t="shared" si="1"/>
        <v>22.98</v>
      </c>
      <c r="L22" s="139">
        <f t="shared" si="1"/>
        <v>24.74</v>
      </c>
      <c r="M22" s="139">
        <f t="shared" si="1"/>
        <v>20.13</v>
      </c>
      <c r="N22" s="139">
        <f t="shared" si="1"/>
        <v>13.242630000000002</v>
      </c>
      <c r="O22" s="139">
        <f>O18+O20</f>
        <v>219.05263000000002</v>
      </c>
    </row>
    <row r="24" spans="2:16" ht="16.5">
      <c r="B24" s="30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41"/>
      <c r="P24" s="108"/>
    </row>
    <row r="25" spans="2:16" ht="15">
      <c r="B25" s="30" t="s">
        <v>480</v>
      </c>
      <c r="C25" s="93"/>
      <c r="D25" s="93"/>
      <c r="E25" s="93"/>
      <c r="F25" s="93"/>
      <c r="G25" s="93"/>
      <c r="H25" s="93"/>
      <c r="I25" s="41"/>
    </row>
    <row r="26" spans="2:16" ht="15">
      <c r="B26" s="30" t="s">
        <v>8</v>
      </c>
      <c r="C26" s="31"/>
      <c r="D26" s="31"/>
      <c r="O26" s="31" t="s">
        <v>140</v>
      </c>
    </row>
    <row r="27" spans="2:16" ht="15">
      <c r="B27" s="37" t="s">
        <v>383</v>
      </c>
      <c r="C27" s="37" t="s">
        <v>141</v>
      </c>
      <c r="D27" s="37" t="s">
        <v>142</v>
      </c>
      <c r="E27" s="118" t="s">
        <v>143</v>
      </c>
      <c r="F27" s="118" t="s">
        <v>144</v>
      </c>
      <c r="G27" s="118" t="s">
        <v>145</v>
      </c>
      <c r="H27" s="118" t="s">
        <v>146</v>
      </c>
      <c r="I27" s="118" t="s">
        <v>147</v>
      </c>
      <c r="J27" s="118" t="s">
        <v>148</v>
      </c>
      <c r="K27" s="118" t="s">
        <v>149</v>
      </c>
      <c r="L27" s="118" t="s">
        <v>150</v>
      </c>
      <c r="M27" s="118" t="s">
        <v>151</v>
      </c>
      <c r="N27" s="118" t="s">
        <v>152</v>
      </c>
      <c r="O27" s="118" t="s">
        <v>139</v>
      </c>
    </row>
    <row r="28" spans="2:16" ht="15">
      <c r="B28" s="91" t="s">
        <v>476</v>
      </c>
      <c r="C28" s="171">
        <v>16.572195000000001</v>
      </c>
      <c r="D28" s="171">
        <v>17.122485000000001</v>
      </c>
      <c r="E28" s="171">
        <v>16.572195000000001</v>
      </c>
      <c r="F28" s="171">
        <v>17.122485000000001</v>
      </c>
      <c r="G28" s="171">
        <v>17.122485000000001</v>
      </c>
      <c r="H28" s="171">
        <v>16.572195000000001</v>
      </c>
      <c r="I28" s="171">
        <v>17.122485000000001</v>
      </c>
      <c r="J28" s="171">
        <v>16.572195000000001</v>
      </c>
      <c r="K28" s="171">
        <v>17.122485000000001</v>
      </c>
      <c r="L28" s="171">
        <v>17.122485000000001</v>
      </c>
      <c r="M28" s="171">
        <v>15.464560000000002</v>
      </c>
      <c r="N28" s="171">
        <v>17.122485000000001</v>
      </c>
      <c r="O28" s="171">
        <f>SUM(C28:N28)</f>
        <v>201.61073500000006</v>
      </c>
    </row>
    <row r="29" spans="2:16" ht="15">
      <c r="B29" s="9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</row>
    <row r="30" spans="2:16" ht="15">
      <c r="B30" s="91" t="s">
        <v>477</v>
      </c>
      <c r="C30" s="171">
        <v>6.9178049999999995</v>
      </c>
      <c r="D30" s="171">
        <v>7.1475149999999994</v>
      </c>
      <c r="E30" s="171">
        <v>6.9178049999999995</v>
      </c>
      <c r="F30" s="171">
        <v>7.1475149999999994</v>
      </c>
      <c r="G30" s="171">
        <v>7.1475149999999994</v>
      </c>
      <c r="H30" s="171">
        <v>6.9178049999999995</v>
      </c>
      <c r="I30" s="171">
        <v>7.1475149999999994</v>
      </c>
      <c r="J30" s="171">
        <v>6.9178049999999995</v>
      </c>
      <c r="K30" s="171">
        <v>7.1475149999999994</v>
      </c>
      <c r="L30" s="171">
        <v>7.1475149999999994</v>
      </c>
      <c r="M30" s="171">
        <v>6.4554400000000003</v>
      </c>
      <c r="N30" s="171">
        <v>7.1475149999999994</v>
      </c>
      <c r="O30" s="171">
        <f t="shared" ref="O30" si="2">SUM(C30:N30)</f>
        <v>84.159264999999991</v>
      </c>
    </row>
    <row r="31" spans="2:16" ht="15">
      <c r="B31" s="89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</row>
    <row r="32" spans="2:16" ht="15">
      <c r="B32" s="44" t="s">
        <v>139</v>
      </c>
      <c r="C32" s="139">
        <f>C28+C30</f>
        <v>23.490000000000002</v>
      </c>
      <c r="D32" s="139">
        <f t="shared" ref="D32:N32" si="3">D28+D30</f>
        <v>24.27</v>
      </c>
      <c r="E32" s="139">
        <f t="shared" si="3"/>
        <v>23.490000000000002</v>
      </c>
      <c r="F32" s="139">
        <f t="shared" si="3"/>
        <v>24.27</v>
      </c>
      <c r="G32" s="139">
        <f t="shared" si="3"/>
        <v>24.27</v>
      </c>
      <c r="H32" s="139">
        <f t="shared" si="3"/>
        <v>23.490000000000002</v>
      </c>
      <c r="I32" s="139">
        <f t="shared" si="3"/>
        <v>24.27</v>
      </c>
      <c r="J32" s="139">
        <f t="shared" si="3"/>
        <v>23.490000000000002</v>
      </c>
      <c r="K32" s="139">
        <f t="shared" si="3"/>
        <v>24.27</v>
      </c>
      <c r="L32" s="139">
        <f t="shared" si="3"/>
        <v>24.27</v>
      </c>
      <c r="M32" s="139">
        <f t="shared" si="3"/>
        <v>21.92</v>
      </c>
      <c r="N32" s="139">
        <f t="shared" si="3"/>
        <v>24.27</v>
      </c>
      <c r="O32" s="139">
        <f>O28+O30</f>
        <v>285.77000000000004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1.63" right="1.33" top="1" bottom="0.37" header="0.5" footer="0.5"/>
  <pageSetup paperSize="9" scale="6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7"/>
    </row>
    <row r="2" spans="2:14" s="5" customFormat="1" ht="15" customHeight="1">
      <c r="B2" s="337" t="s">
        <v>517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</row>
    <row r="3" spans="2:14" s="5" customFormat="1" ht="15" customHeight="1">
      <c r="B3" s="337" t="s">
        <v>501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2:14" ht="14.25" customHeight="1">
      <c r="B4" s="335" t="s">
        <v>387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</row>
    <row r="5" spans="2:14" ht="15">
      <c r="B5" s="30" t="s">
        <v>509</v>
      </c>
    </row>
    <row r="6" spans="2:14" ht="15">
      <c r="B6" s="30" t="s">
        <v>12</v>
      </c>
      <c r="N6" s="42" t="s">
        <v>4</v>
      </c>
    </row>
    <row r="7" spans="2:14" s="61" customFormat="1" ht="45.75" customHeight="1">
      <c r="B7" s="327" t="s">
        <v>383</v>
      </c>
      <c r="C7" s="331" t="s">
        <v>155</v>
      </c>
      <c r="D7" s="331"/>
      <c r="E7" s="331"/>
      <c r="F7" s="331"/>
      <c r="G7" s="330" t="s">
        <v>156</v>
      </c>
      <c r="H7" s="330"/>
      <c r="I7" s="330"/>
      <c r="J7" s="330" t="s">
        <v>157</v>
      </c>
      <c r="K7" s="330"/>
      <c r="L7" s="330"/>
      <c r="M7" s="330"/>
      <c r="N7" s="330"/>
    </row>
    <row r="8" spans="2:14" ht="45">
      <c r="B8" s="336"/>
      <c r="C8" s="37" t="s">
        <v>180</v>
      </c>
      <c r="D8" s="37" t="s">
        <v>178</v>
      </c>
      <c r="E8" s="37" t="s">
        <v>248</v>
      </c>
      <c r="F8" s="37" t="s">
        <v>179</v>
      </c>
      <c r="G8" s="37" t="s">
        <v>158</v>
      </c>
      <c r="H8" s="37" t="s">
        <v>249</v>
      </c>
      <c r="I8" s="37" t="s">
        <v>159</v>
      </c>
      <c r="J8" s="37" t="s">
        <v>160</v>
      </c>
      <c r="K8" s="37" t="s">
        <v>161</v>
      </c>
      <c r="L8" s="37" t="s">
        <v>250</v>
      </c>
      <c r="M8" s="37" t="s">
        <v>251</v>
      </c>
      <c r="N8" s="29" t="s">
        <v>139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91" t="s">
        <v>384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9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91" t="s">
        <v>385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91" t="s">
        <v>386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9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91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91" t="s">
        <v>139</v>
      </c>
      <c r="C18" s="138">
        <f>C10+C12+C14</f>
        <v>0</v>
      </c>
      <c r="D18" s="138">
        <f>D10+D12+D14</f>
        <v>0</v>
      </c>
      <c r="E18" s="138">
        <f>E10+E12+E14</f>
        <v>0</v>
      </c>
      <c r="F18" s="138">
        <f>F10+F12+F14</f>
        <v>0</v>
      </c>
      <c r="G18" s="138">
        <f>G10+G12+G14</f>
        <v>0</v>
      </c>
      <c r="H18" s="3"/>
      <c r="I18" s="3"/>
      <c r="J18" s="138">
        <f>J10+J12+J14</f>
        <v>0</v>
      </c>
      <c r="K18" s="138">
        <f>K10+K12+K14</f>
        <v>0</v>
      </c>
      <c r="L18" s="138">
        <f>L10+L12+L14</f>
        <v>0</v>
      </c>
      <c r="M18" s="138">
        <f>M10+M12+M14</f>
        <v>0</v>
      </c>
      <c r="N18" s="138">
        <f>N10+N12+N14</f>
        <v>0</v>
      </c>
    </row>
    <row r="19" spans="2:14" ht="15">
      <c r="B19" s="42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zoomScale="82" zoomScaleNormal="82" workbookViewId="0">
      <selection activeCell="B5" sqref="B5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8.42578125" style="19" customWidth="1"/>
    <col min="13" max="13" width="9.7109375" style="19" customWidth="1"/>
    <col min="14" max="15" width="9" style="19" customWidth="1"/>
    <col min="16" max="16" width="10" style="19" customWidth="1"/>
    <col min="17" max="17" width="14.28515625" style="19" customWidth="1"/>
    <col min="18" max="16384" width="9.28515625" style="19"/>
  </cols>
  <sheetData>
    <row r="1" spans="2:17" s="5" customFormat="1" ht="15">
      <c r="B1" s="117"/>
    </row>
    <row r="2" spans="2:17" s="5" customFormat="1" ht="15" customHeight="1"/>
    <row r="3" spans="2:17" s="5" customFormat="1" ht="15" customHeight="1">
      <c r="B3" s="337" t="s">
        <v>517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2:17" s="5" customFormat="1" ht="15" customHeight="1">
      <c r="B4" s="337" t="s">
        <v>501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</row>
    <row r="5" spans="2:17" ht="15">
      <c r="B5" s="30" t="s">
        <v>509</v>
      </c>
      <c r="I5" s="41" t="s">
        <v>390</v>
      </c>
    </row>
    <row r="6" spans="2:17" ht="15">
      <c r="B6" s="42" t="s">
        <v>12</v>
      </c>
    </row>
    <row r="7" spans="2:17" ht="30">
      <c r="B7" s="119" t="s">
        <v>210</v>
      </c>
      <c r="C7" s="119" t="s">
        <v>18</v>
      </c>
      <c r="D7" s="119" t="s">
        <v>39</v>
      </c>
      <c r="E7" s="37" t="s">
        <v>141</v>
      </c>
      <c r="F7" s="37" t="s">
        <v>142</v>
      </c>
      <c r="G7" s="118" t="s">
        <v>143</v>
      </c>
      <c r="H7" s="118" t="s">
        <v>144</v>
      </c>
      <c r="I7" s="118" t="s">
        <v>145</v>
      </c>
      <c r="J7" s="118" t="s">
        <v>146</v>
      </c>
      <c r="K7" s="118" t="s">
        <v>147</v>
      </c>
      <c r="L7" s="118" t="s">
        <v>148</v>
      </c>
      <c r="M7" s="118" t="s">
        <v>149</v>
      </c>
      <c r="N7" s="118" t="s">
        <v>150</v>
      </c>
      <c r="O7" s="118" t="s">
        <v>151</v>
      </c>
      <c r="P7" s="118" t="s">
        <v>152</v>
      </c>
      <c r="Q7" s="120" t="s">
        <v>139</v>
      </c>
    </row>
    <row r="8" spans="2:17">
      <c r="B8" s="121">
        <v>1</v>
      </c>
      <c r="C8" s="122" t="s">
        <v>184</v>
      </c>
      <c r="D8" s="121" t="s">
        <v>42</v>
      </c>
      <c r="E8" s="123">
        <v>75</v>
      </c>
      <c r="F8" s="123">
        <v>75</v>
      </c>
      <c r="G8" s="123">
        <v>75</v>
      </c>
      <c r="H8" s="123">
        <v>75</v>
      </c>
      <c r="I8" s="123">
        <v>75</v>
      </c>
      <c r="J8" s="123">
        <v>75</v>
      </c>
      <c r="K8" s="123">
        <v>75</v>
      </c>
      <c r="L8" s="123">
        <v>75</v>
      </c>
      <c r="M8" s="123">
        <v>75</v>
      </c>
      <c r="N8" s="123">
        <v>75</v>
      </c>
      <c r="O8" s="123">
        <v>75</v>
      </c>
      <c r="P8" s="123">
        <v>75</v>
      </c>
      <c r="Q8" s="123">
        <v>80</v>
      </c>
    </row>
    <row r="9" spans="2:17">
      <c r="B9" s="121">
        <f>B8+1</f>
        <v>2</v>
      </c>
      <c r="C9" s="122" t="s">
        <v>211</v>
      </c>
      <c r="D9" s="121" t="s">
        <v>42</v>
      </c>
      <c r="E9" s="123">
        <v>29.38</v>
      </c>
      <c r="F9" s="123">
        <v>71</v>
      </c>
      <c r="G9" s="123">
        <v>67.930000000000007</v>
      </c>
      <c r="H9" s="123">
        <v>50.99</v>
      </c>
      <c r="I9" s="123">
        <v>67.760000000000005</v>
      </c>
      <c r="J9" s="123">
        <v>60.65</v>
      </c>
      <c r="K9" s="123">
        <v>82.18</v>
      </c>
      <c r="L9" s="123">
        <v>62.63</v>
      </c>
      <c r="M9" s="123">
        <v>25.93</v>
      </c>
      <c r="N9" s="123">
        <v>44.5</v>
      </c>
      <c r="O9" s="123">
        <v>53.34</v>
      </c>
      <c r="P9" s="123">
        <v>59.26</v>
      </c>
      <c r="Q9" s="124">
        <v>82.26</v>
      </c>
    </row>
    <row r="10" spans="2:17">
      <c r="B10" s="121">
        <f t="shared" ref="B10:B26" si="0">B9+1</f>
        <v>3</v>
      </c>
      <c r="C10" s="122" t="s">
        <v>212</v>
      </c>
      <c r="D10" s="121" t="s">
        <v>42</v>
      </c>
      <c r="E10" s="123">
        <v>29.38</v>
      </c>
      <c r="F10" s="123">
        <v>50.53</v>
      </c>
      <c r="G10" s="123">
        <v>56.27</v>
      </c>
      <c r="H10" s="123">
        <v>54.93</v>
      </c>
      <c r="I10" s="123">
        <v>57.53</v>
      </c>
      <c r="J10" s="123">
        <v>58.04</v>
      </c>
      <c r="K10" s="123">
        <v>61.54</v>
      </c>
      <c r="L10" s="123">
        <v>61.67</v>
      </c>
      <c r="M10" s="123">
        <v>57.64</v>
      </c>
      <c r="N10" s="123">
        <v>56.31</v>
      </c>
      <c r="O10" s="123">
        <v>56.06</v>
      </c>
      <c r="P10" s="123">
        <v>56.33</v>
      </c>
      <c r="Q10" s="123"/>
    </row>
    <row r="11" spans="2:17">
      <c r="B11" s="121">
        <f t="shared" si="0"/>
        <v>4</v>
      </c>
      <c r="C11" s="122" t="s">
        <v>43</v>
      </c>
      <c r="D11" s="121" t="s">
        <v>42</v>
      </c>
      <c r="E11" s="123">
        <v>75</v>
      </c>
      <c r="F11" s="123">
        <v>75</v>
      </c>
      <c r="G11" s="123">
        <v>75</v>
      </c>
      <c r="H11" s="123">
        <v>75</v>
      </c>
      <c r="I11" s="123">
        <v>75</v>
      </c>
      <c r="J11" s="123">
        <v>75</v>
      </c>
      <c r="K11" s="123">
        <v>75</v>
      </c>
      <c r="L11" s="123">
        <v>75</v>
      </c>
      <c r="M11" s="123">
        <v>75</v>
      </c>
      <c r="N11" s="123">
        <v>75</v>
      </c>
      <c r="O11" s="123">
        <v>75</v>
      </c>
      <c r="P11" s="123">
        <v>75</v>
      </c>
      <c r="Q11" s="123">
        <v>80</v>
      </c>
    </row>
    <row r="12" spans="2:17">
      <c r="B12" s="121">
        <f t="shared" si="0"/>
        <v>5</v>
      </c>
      <c r="C12" s="122" t="s">
        <v>213</v>
      </c>
      <c r="D12" s="121" t="s">
        <v>42</v>
      </c>
      <c r="E12" s="123">
        <v>30.34</v>
      </c>
      <c r="F12" s="123">
        <v>70.56</v>
      </c>
      <c r="G12" s="123">
        <v>68.930000000000007</v>
      </c>
      <c r="H12" s="123">
        <v>54.77</v>
      </c>
      <c r="I12" s="123">
        <v>68.739999999999995</v>
      </c>
      <c r="J12" s="123">
        <v>63.32</v>
      </c>
      <c r="K12" s="123">
        <v>17.2</v>
      </c>
      <c r="L12" s="123">
        <v>46.15</v>
      </c>
      <c r="M12" s="123">
        <v>26.18</v>
      </c>
      <c r="N12" s="123">
        <v>47.71</v>
      </c>
      <c r="O12" s="123">
        <v>55.78</v>
      </c>
      <c r="P12" s="123">
        <v>45.84</v>
      </c>
      <c r="Q12" s="123"/>
    </row>
    <row r="13" spans="2:17">
      <c r="B13" s="121">
        <f t="shared" si="0"/>
        <v>6</v>
      </c>
      <c r="C13" s="122" t="s">
        <v>214</v>
      </c>
      <c r="D13" s="121" t="s">
        <v>42</v>
      </c>
      <c r="E13" s="123">
        <v>30.34</v>
      </c>
      <c r="F13" s="123">
        <v>50.78</v>
      </c>
      <c r="G13" s="123">
        <v>56.76</v>
      </c>
      <c r="H13" s="123">
        <v>56.25</v>
      </c>
      <c r="I13" s="123">
        <v>58.78</v>
      </c>
      <c r="J13" s="123">
        <v>59.53</v>
      </c>
      <c r="K13" s="123">
        <v>53.4</v>
      </c>
      <c r="L13" s="123">
        <v>52.5</v>
      </c>
      <c r="M13" s="123">
        <v>49.54</v>
      </c>
      <c r="N13" s="123">
        <v>49.35</v>
      </c>
      <c r="O13" s="123">
        <v>49.89</v>
      </c>
      <c r="P13" s="123">
        <v>49.55</v>
      </c>
      <c r="Q13" s="123"/>
    </row>
    <row r="14" spans="2:17">
      <c r="B14" s="121">
        <f t="shared" si="0"/>
        <v>7</v>
      </c>
      <c r="C14" s="115" t="s">
        <v>215</v>
      </c>
      <c r="D14" s="125" t="s">
        <v>45</v>
      </c>
      <c r="E14" s="123">
        <v>13.651005</v>
      </c>
      <c r="F14" s="123">
        <v>32.809345264000001</v>
      </c>
      <c r="G14" s="123">
        <v>31.018177999999999</v>
      </c>
      <c r="H14" s="123">
        <v>25.466843000000001</v>
      </c>
      <c r="I14" s="123">
        <v>31.962344999999999</v>
      </c>
      <c r="J14" s="123">
        <v>28.492760360999998</v>
      </c>
      <c r="K14" s="123">
        <v>7.9997529089999997</v>
      </c>
      <c r="L14" s="123">
        <v>20.767090885000002</v>
      </c>
      <c r="M14" s="123">
        <v>12.173337760000001</v>
      </c>
      <c r="N14" s="123">
        <v>22.187007999999999</v>
      </c>
      <c r="O14" s="123">
        <v>23.428175186000001</v>
      </c>
      <c r="P14" s="123">
        <v>21.313424417</v>
      </c>
      <c r="Q14" s="124">
        <f>SUM(E14:P14)</f>
        <v>271.26926578199999</v>
      </c>
    </row>
    <row r="15" spans="2:17">
      <c r="B15" s="121">
        <f t="shared" si="0"/>
        <v>8</v>
      </c>
      <c r="C15" s="115" t="s">
        <v>216</v>
      </c>
      <c r="D15" s="125" t="s">
        <v>45</v>
      </c>
      <c r="E15" s="123">
        <v>2.2634750000000001</v>
      </c>
      <c r="F15" s="123">
        <v>4.0635752640000025</v>
      </c>
      <c r="G15" s="123">
        <v>3.9482529999999998</v>
      </c>
      <c r="H15" s="123">
        <v>3.6362779999999999</v>
      </c>
      <c r="I15" s="123">
        <v>4.4808500000000002</v>
      </c>
      <c r="J15" s="123">
        <v>4.044550360999998</v>
      </c>
      <c r="K15" s="123">
        <v>1.7789179089999991</v>
      </c>
      <c r="L15" s="123">
        <v>2.8241908850000015</v>
      </c>
      <c r="M15" s="123">
        <v>1.8400127600000016</v>
      </c>
      <c r="N15" s="123">
        <v>3.5057779999999998</v>
      </c>
      <c r="O15" s="123">
        <v>3.4442051860000005</v>
      </c>
      <c r="P15" s="123">
        <v>3.2519444169999994</v>
      </c>
      <c r="Q15" s="124">
        <f>SUM(E15:P15)</f>
        <v>39.082030781999997</v>
      </c>
    </row>
    <row r="16" spans="2:17" ht="15">
      <c r="B16" s="121">
        <f t="shared" si="0"/>
        <v>9</v>
      </c>
      <c r="C16" s="115" t="s">
        <v>234</v>
      </c>
      <c r="D16" s="125" t="s">
        <v>45</v>
      </c>
      <c r="E16" s="137">
        <f>E14-E15</f>
        <v>11.38753</v>
      </c>
      <c r="F16" s="137">
        <f t="shared" ref="F16:Q16" si="1">F14-F15</f>
        <v>28.74577</v>
      </c>
      <c r="G16" s="137">
        <f t="shared" si="1"/>
        <v>27.069924999999998</v>
      </c>
      <c r="H16" s="137">
        <f t="shared" si="1"/>
        <v>21.830565</v>
      </c>
      <c r="I16" s="137">
        <f t="shared" si="1"/>
        <v>27.481494999999999</v>
      </c>
      <c r="J16" s="137">
        <f t="shared" si="1"/>
        <v>24.44821</v>
      </c>
      <c r="K16" s="137">
        <f t="shared" si="1"/>
        <v>6.220835000000001</v>
      </c>
      <c r="L16" s="137">
        <f t="shared" si="1"/>
        <v>17.942900000000002</v>
      </c>
      <c r="M16" s="137">
        <f t="shared" si="1"/>
        <v>10.333324999999999</v>
      </c>
      <c r="N16" s="137">
        <f t="shared" si="1"/>
        <v>18.681229999999999</v>
      </c>
      <c r="O16" s="137">
        <f t="shared" si="1"/>
        <v>19.983969999999999</v>
      </c>
      <c r="P16" s="137">
        <f t="shared" si="1"/>
        <v>18.06148</v>
      </c>
      <c r="Q16" s="137">
        <f t="shared" si="1"/>
        <v>232.18723499999999</v>
      </c>
    </row>
    <row r="17" spans="2:17" ht="16.5">
      <c r="B17" s="121">
        <f t="shared" si="0"/>
        <v>10</v>
      </c>
      <c r="C17" s="115" t="s">
        <v>235</v>
      </c>
      <c r="D17" s="125" t="s">
        <v>45</v>
      </c>
      <c r="E17" s="183">
        <f>E16-((62.5*1000*24*30*E11%)/1000000)</f>
        <v>-22.362470000000002</v>
      </c>
      <c r="F17" s="183">
        <f>F16-((62.5*1000*24*31*F11%)/1000000)</f>
        <v>-6.1292299999999997</v>
      </c>
      <c r="G17" s="183">
        <f>G16-((62.5*1000*24*30*G11%)/1000000)</f>
        <v>-6.6800750000000022</v>
      </c>
      <c r="H17" s="183">
        <f>H16-((62.5*1000*24*31*H11%)/1000000)</f>
        <v>-13.044435</v>
      </c>
      <c r="I17" s="183">
        <f>I16-((62.5*1000*24*31*I11%)/1000000)</f>
        <v>-7.3935050000000011</v>
      </c>
      <c r="J17" s="183">
        <f>J16-((62.5*1000*24*30*J11%)/1000000)</f>
        <v>-9.3017900000000004</v>
      </c>
      <c r="K17" s="183">
        <f>K16-((62.5*1000*24*31*K11%)/1000000)</f>
        <v>-28.654164999999999</v>
      </c>
      <c r="L17" s="183">
        <f>L16-((62.5*1000*24*30*L11%)/1000000)</f>
        <v>-15.807099999999998</v>
      </c>
      <c r="M17" s="183">
        <f>M16-((62.5*1000*24*31*M11%)/1000000)</f>
        <v>-24.541675000000001</v>
      </c>
      <c r="N17" s="183">
        <f>N16-((62.5*1000*24*31*N11%)/1000000)</f>
        <v>-16.193770000000001</v>
      </c>
      <c r="O17" s="183">
        <f>O16-((62.5*1000*24*28*O11%)/1000000)</f>
        <v>-11.516030000000001</v>
      </c>
      <c r="P17" s="183">
        <f>P16-((62.5*1000*24*31*P11%)/1000000)</f>
        <v>-16.81352</v>
      </c>
      <c r="Q17" s="137">
        <f>SUM(E17:P17)</f>
        <v>-178.43776500000001</v>
      </c>
    </row>
    <row r="18" spans="2:17" ht="16.5">
      <c r="B18" s="121">
        <f t="shared" si="0"/>
        <v>11</v>
      </c>
      <c r="C18" s="115" t="s">
        <v>217</v>
      </c>
      <c r="D18" s="125" t="s">
        <v>221</v>
      </c>
      <c r="E18" s="184">
        <v>2.988</v>
      </c>
      <c r="F18" s="184">
        <v>2.988</v>
      </c>
      <c r="G18" s="184">
        <v>2.988</v>
      </c>
      <c r="H18" s="184">
        <v>2.988</v>
      </c>
      <c r="I18" s="184">
        <v>2.988</v>
      </c>
      <c r="J18" s="184">
        <v>2.988</v>
      </c>
      <c r="K18" s="184">
        <v>2.988</v>
      </c>
      <c r="L18" s="184">
        <v>2.988</v>
      </c>
      <c r="M18" s="184">
        <v>2.988</v>
      </c>
      <c r="N18" s="184">
        <v>2.988</v>
      </c>
      <c r="O18" s="184">
        <v>2.988</v>
      </c>
      <c r="P18" s="184">
        <v>2.988</v>
      </c>
      <c r="Q18" s="184">
        <v>2.6680000000000001</v>
      </c>
    </row>
    <row r="19" spans="2:17" ht="16.5">
      <c r="B19" s="121">
        <f t="shared" si="0"/>
        <v>12</v>
      </c>
      <c r="C19" s="115" t="s">
        <v>236</v>
      </c>
      <c r="D19" s="125" t="s">
        <v>222</v>
      </c>
      <c r="E19" s="185">
        <v>9.4366666666666656</v>
      </c>
      <c r="F19" s="185">
        <v>9.4366666666666656</v>
      </c>
      <c r="G19" s="185">
        <v>9.4366666666666656</v>
      </c>
      <c r="H19" s="185">
        <v>9.4366666666666656</v>
      </c>
      <c r="I19" s="185">
        <v>9.4366666666666656</v>
      </c>
      <c r="J19" s="185">
        <v>9.4366666666666656</v>
      </c>
      <c r="K19" s="185">
        <v>9.4366666666666656</v>
      </c>
      <c r="L19" s="185">
        <v>9.4366666666666656</v>
      </c>
      <c r="M19" s="185">
        <v>9.4366666666666656</v>
      </c>
      <c r="N19" s="185">
        <v>9.4366666666666656</v>
      </c>
      <c r="O19" s="185">
        <v>9.4366666666666656</v>
      </c>
      <c r="P19" s="185">
        <v>9.4366666666666656</v>
      </c>
      <c r="Q19" s="124">
        <f>SUM(E19:P19)</f>
        <v>113.24</v>
      </c>
    </row>
    <row r="20" spans="2:17" ht="16.5">
      <c r="B20" s="121">
        <f t="shared" si="0"/>
        <v>13</v>
      </c>
      <c r="C20" s="115" t="s">
        <v>388</v>
      </c>
      <c r="D20" s="125" t="s">
        <v>221</v>
      </c>
      <c r="E20" s="184">
        <v>4.1178801758581693</v>
      </c>
      <c r="F20" s="184">
        <v>4.3437132395221418</v>
      </c>
      <c r="G20" s="184">
        <v>4.2231463460435474</v>
      </c>
      <c r="H20" s="184">
        <v>4.3973298066612942</v>
      </c>
      <c r="I20" s="184">
        <v>4.4936116014806649</v>
      </c>
      <c r="J20" s="184">
        <v>4.6334693386968828</v>
      </c>
      <c r="K20" s="184">
        <v>4.6387067577373724</v>
      </c>
      <c r="L20" s="184">
        <v>4.598613733369973</v>
      </c>
      <c r="M20" s="184">
        <v>4.6014149364147174</v>
      </c>
      <c r="N20" s="184">
        <v>4.419606822967479</v>
      </c>
      <c r="O20" s="184">
        <v>4.1595179869821459</v>
      </c>
      <c r="P20" s="184">
        <v>3.6782879944153253</v>
      </c>
      <c r="Q20" s="191">
        <v>3.6287570059104328</v>
      </c>
    </row>
    <row r="21" spans="2:17" ht="16.5">
      <c r="B21" s="121">
        <f t="shared" si="0"/>
        <v>14</v>
      </c>
      <c r="C21" s="115" t="s">
        <v>218</v>
      </c>
      <c r="D21" s="125" t="s">
        <v>222</v>
      </c>
      <c r="E21" s="185">
        <v>3.6966568888888882</v>
      </c>
      <c r="F21" s="185">
        <v>9.0189368888888879</v>
      </c>
      <c r="G21" s="185">
        <v>8.524455555555555</v>
      </c>
      <c r="H21" s="185">
        <v>6.4056093333333344</v>
      </c>
      <c r="I21" s="185">
        <v>8.5471035555555552</v>
      </c>
      <c r="J21" s="185">
        <v>7.6235684444444374</v>
      </c>
      <c r="K21" s="185">
        <v>10.385366222222224</v>
      </c>
      <c r="L21" s="185">
        <v>7.8739546999999996</v>
      </c>
      <c r="M21" s="185">
        <v>3.1958844444444452</v>
      </c>
      <c r="N21" s="185">
        <v>5.5789573333333351</v>
      </c>
      <c r="O21" s="185">
        <v>6.7390382222222192</v>
      </c>
      <c r="P21" s="185">
        <v>7.4612577777777593</v>
      </c>
      <c r="Q21" s="124">
        <f>SUM(E21:P21)</f>
        <v>85.050789366666635</v>
      </c>
    </row>
    <row r="22" spans="2:17" ht="16.5">
      <c r="B22" s="121">
        <f t="shared" si="0"/>
        <v>15</v>
      </c>
      <c r="C22" s="115" t="s">
        <v>389</v>
      </c>
      <c r="D22" s="125" t="s">
        <v>222</v>
      </c>
      <c r="E22" s="185">
        <v>3.4025940000000001</v>
      </c>
      <c r="F22" s="185">
        <v>8.5892360760000006</v>
      </c>
      <c r="G22" s="185">
        <v>8.0884935900000006</v>
      </c>
      <c r="H22" s="185">
        <v>6.5229728219999998</v>
      </c>
      <c r="I22" s="185">
        <v>8.2114707060000001</v>
      </c>
      <c r="J22" s="185">
        <v>7.3051251480000001</v>
      </c>
      <c r="K22" s="185">
        <v>1.8587854980000005</v>
      </c>
      <c r="L22" s="185">
        <v>5.3613385200000003</v>
      </c>
      <c r="M22" s="185">
        <v>3.0875975100000002</v>
      </c>
      <c r="N22" s="185">
        <v>5.5819515239999999</v>
      </c>
      <c r="O22" s="185">
        <v>5.9712102360000001</v>
      </c>
      <c r="P22" s="185">
        <v>5.3967702239999999</v>
      </c>
      <c r="Q22" s="124">
        <f t="shared" ref="Q22:Q24" si="2">SUM(E22:P22)</f>
        <v>69.377545854000005</v>
      </c>
    </row>
    <row r="23" spans="2:17" ht="16.5">
      <c r="B23" s="121">
        <f t="shared" si="0"/>
        <v>16</v>
      </c>
      <c r="C23" s="115" t="s">
        <v>237</v>
      </c>
      <c r="D23" s="125" t="s">
        <v>222</v>
      </c>
      <c r="E23" s="185">
        <v>1.2866544398990185</v>
      </c>
      <c r="F23" s="185">
        <v>3.8971020969258383</v>
      </c>
      <c r="G23" s="185">
        <v>3.343531895142287</v>
      </c>
      <c r="H23" s="185">
        <v>3.0766465950756818</v>
      </c>
      <c r="I23" s="185">
        <v>4.1376457698032887</v>
      </c>
      <c r="J23" s="185">
        <v>4.0228779941022532</v>
      </c>
      <c r="K23" s="185">
        <v>1.0268774373269167</v>
      </c>
      <c r="L23" s="185">
        <v>2.8899081156484083</v>
      </c>
      <c r="M23" s="185">
        <v>1.6671940897827617</v>
      </c>
      <c r="N23" s="185">
        <v>2.6744176329424763</v>
      </c>
      <c r="O23" s="185">
        <v>2.3411580306311595</v>
      </c>
      <c r="P23" s="185">
        <v>1.2467622805372507</v>
      </c>
      <c r="Q23" s="124">
        <f t="shared" si="2"/>
        <v>31.610776377817341</v>
      </c>
    </row>
    <row r="24" spans="2:17">
      <c r="B24" s="121">
        <f t="shared" si="0"/>
        <v>17</v>
      </c>
      <c r="C24" s="115" t="s">
        <v>219</v>
      </c>
      <c r="D24" s="125" t="s">
        <v>222</v>
      </c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4">
        <f t="shared" si="2"/>
        <v>0</v>
      </c>
    </row>
    <row r="25" spans="2:17" ht="15">
      <c r="B25" s="121">
        <f t="shared" si="0"/>
        <v>18</v>
      </c>
      <c r="C25" s="127" t="s">
        <v>163</v>
      </c>
      <c r="D25" s="125" t="s">
        <v>222</v>
      </c>
      <c r="E25" s="126">
        <f>E21+E22+E23+E24</f>
        <v>8.3859053287879064</v>
      </c>
      <c r="F25" s="126">
        <f t="shared" ref="F25:P25" si="3">F21+F22+F23+F24</f>
        <v>21.505275061814725</v>
      </c>
      <c r="G25" s="126">
        <f t="shared" si="3"/>
        <v>19.956481040697842</v>
      </c>
      <c r="H25" s="126">
        <f t="shared" si="3"/>
        <v>16.005228750409017</v>
      </c>
      <c r="I25" s="126">
        <f t="shared" si="3"/>
        <v>20.896220031358844</v>
      </c>
      <c r="J25" s="126">
        <f t="shared" si="3"/>
        <v>18.951571586546692</v>
      </c>
      <c r="K25" s="126">
        <f t="shared" si="3"/>
        <v>13.27102915754914</v>
      </c>
      <c r="L25" s="126">
        <f t="shared" si="3"/>
        <v>16.125201335648406</v>
      </c>
      <c r="M25" s="126">
        <f t="shared" si="3"/>
        <v>7.9506760442272073</v>
      </c>
      <c r="N25" s="126">
        <f t="shared" si="3"/>
        <v>13.835326490275811</v>
      </c>
      <c r="O25" s="126">
        <f t="shared" si="3"/>
        <v>15.051406488853379</v>
      </c>
      <c r="P25" s="126">
        <f t="shared" si="3"/>
        <v>14.10479028231501</v>
      </c>
      <c r="Q25" s="128">
        <f>SUM(Q21:Q24)</f>
        <v>186.03911159848397</v>
      </c>
    </row>
    <row r="26" spans="2:17" ht="15">
      <c r="B26" s="121">
        <f t="shared" si="0"/>
        <v>19</v>
      </c>
      <c r="C26" s="129" t="s">
        <v>220</v>
      </c>
      <c r="D26" s="125"/>
      <c r="E26" s="126"/>
      <c r="F26" s="123"/>
      <c r="G26" s="123"/>
      <c r="H26" s="123"/>
      <c r="I26" s="123"/>
      <c r="J26" s="123"/>
      <c r="K26" s="123"/>
      <c r="L26" s="123"/>
      <c r="M26" s="124"/>
      <c r="N26" s="124"/>
      <c r="O26" s="124"/>
      <c r="P26" s="124"/>
      <c r="Q26" s="128"/>
    </row>
    <row r="27" spans="2:17" ht="28.5">
      <c r="B27" s="121"/>
      <c r="C27" s="89" t="s">
        <v>474</v>
      </c>
      <c r="D27" s="125"/>
      <c r="E27" s="126"/>
      <c r="F27" s="123"/>
      <c r="G27" s="123"/>
      <c r="H27" s="123"/>
      <c r="I27" s="123"/>
      <c r="J27" s="123"/>
      <c r="K27" s="123"/>
      <c r="L27" s="123"/>
      <c r="M27" s="124"/>
      <c r="N27" s="124"/>
      <c r="O27" s="124"/>
      <c r="P27" s="124"/>
      <c r="Q27" s="128">
        <v>-0.50086866441452504</v>
      </c>
    </row>
    <row r="28" spans="2:17" ht="15">
      <c r="B28" s="121"/>
      <c r="C28" s="89" t="s">
        <v>475</v>
      </c>
      <c r="D28" s="125"/>
      <c r="E28" s="126"/>
      <c r="F28" s="123"/>
      <c r="G28" s="123"/>
      <c r="H28" s="123"/>
      <c r="I28" s="123"/>
      <c r="J28" s="123"/>
      <c r="K28" s="123"/>
      <c r="L28" s="123"/>
      <c r="M28" s="124"/>
      <c r="N28" s="124"/>
      <c r="O28" s="124"/>
      <c r="P28" s="124"/>
      <c r="Q28" s="128">
        <v>-0.59602399999998923</v>
      </c>
    </row>
    <row r="29" spans="2:17" ht="15">
      <c r="B29" s="121"/>
      <c r="C29" s="115" t="s">
        <v>473</v>
      </c>
      <c r="D29" s="125" t="s">
        <v>222</v>
      </c>
      <c r="E29" s="126"/>
      <c r="F29" s="123"/>
      <c r="G29" s="123"/>
      <c r="H29" s="123"/>
      <c r="I29" s="123"/>
      <c r="J29" s="123"/>
      <c r="K29" s="123"/>
      <c r="L29" s="123"/>
      <c r="M29" s="124"/>
      <c r="N29" s="124"/>
      <c r="O29" s="124"/>
      <c r="P29" s="124"/>
      <c r="Q29" s="128">
        <v>0.158287331</v>
      </c>
    </row>
    <row r="30" spans="2:17" ht="15">
      <c r="B30" s="125">
        <f>B26+1</f>
        <v>20</v>
      </c>
      <c r="C30" s="114" t="s">
        <v>182</v>
      </c>
      <c r="D30" s="125" t="s">
        <v>222</v>
      </c>
      <c r="E30" s="137">
        <f t="shared" ref="E30:P30" si="4">E25+E26</f>
        <v>8.3859053287879064</v>
      </c>
      <c r="F30" s="137">
        <f t="shared" si="4"/>
        <v>21.505275061814725</v>
      </c>
      <c r="G30" s="137">
        <f t="shared" si="4"/>
        <v>19.956481040697842</v>
      </c>
      <c r="H30" s="137">
        <f t="shared" si="4"/>
        <v>16.005228750409017</v>
      </c>
      <c r="I30" s="137">
        <f t="shared" si="4"/>
        <v>20.896220031358844</v>
      </c>
      <c r="J30" s="137">
        <f t="shared" si="4"/>
        <v>18.951571586546692</v>
      </c>
      <c r="K30" s="137">
        <f t="shared" si="4"/>
        <v>13.27102915754914</v>
      </c>
      <c r="L30" s="137">
        <f t="shared" si="4"/>
        <v>16.125201335648406</v>
      </c>
      <c r="M30" s="137">
        <f t="shared" si="4"/>
        <v>7.9506760442272073</v>
      </c>
      <c r="N30" s="137">
        <f t="shared" si="4"/>
        <v>13.835326490275811</v>
      </c>
      <c r="O30" s="137">
        <f t="shared" si="4"/>
        <v>15.051406488853379</v>
      </c>
      <c r="P30" s="137">
        <f t="shared" si="4"/>
        <v>14.10479028231501</v>
      </c>
      <c r="Q30" s="137">
        <f>Q25+Q27+Q28+Q29</f>
        <v>185.10050626506944</v>
      </c>
    </row>
    <row r="31" spans="2:17" ht="15">
      <c r="B31" s="125">
        <f>B30+1</f>
        <v>21</v>
      </c>
      <c r="C31" s="114" t="s">
        <v>223</v>
      </c>
      <c r="D31" s="125" t="s">
        <v>222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30"/>
    </row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6"/>
  <sheetViews>
    <sheetView showGridLines="0" view="pageBreakPreview" zoomScale="80" zoomScaleNormal="96" zoomScaleSheetLayoutView="80" workbookViewId="0">
      <selection activeCell="D32" sqref="D32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6" ht="15">
      <c r="C1" s="42"/>
      <c r="D1" s="42"/>
      <c r="E1" s="42"/>
      <c r="F1" s="42"/>
      <c r="G1" s="42"/>
      <c r="I1" s="39"/>
      <c r="J1" s="42"/>
    </row>
    <row r="2" spans="2:16" s="19" customFormat="1" ht="15.75">
      <c r="B2" s="312" t="s">
        <v>522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5"/>
      <c r="P2" s="5"/>
    </row>
    <row r="3" spans="2:16" s="19" customFormat="1" ht="15.75">
      <c r="B3" s="312" t="s">
        <v>505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5"/>
      <c r="P3" s="5"/>
    </row>
    <row r="4" spans="2:16" ht="15">
      <c r="B4" s="335" t="s">
        <v>398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</row>
    <row r="5" spans="2:16" ht="15">
      <c r="B5" s="41"/>
      <c r="C5" s="41"/>
      <c r="D5" s="41"/>
      <c r="E5" s="41"/>
      <c r="F5" s="41"/>
      <c r="G5" s="41"/>
      <c r="H5" s="41"/>
      <c r="I5" s="41"/>
      <c r="J5" s="41"/>
    </row>
    <row r="6" spans="2:16" ht="15">
      <c r="B6" s="329" t="s">
        <v>68</v>
      </c>
      <c r="C6" s="329"/>
      <c r="D6" s="329"/>
      <c r="E6" s="329"/>
      <c r="F6" s="329"/>
      <c r="G6" s="329"/>
      <c r="H6" s="329"/>
      <c r="I6" s="329"/>
      <c r="J6" s="329"/>
    </row>
    <row r="7" spans="2:16" ht="15">
      <c r="N7" s="32" t="s">
        <v>4</v>
      </c>
    </row>
    <row r="8" spans="2:16" ht="13.9" customHeight="1">
      <c r="B8" s="330" t="s">
        <v>210</v>
      </c>
      <c r="C8" s="330" t="s">
        <v>18</v>
      </c>
      <c r="D8" s="332" t="s">
        <v>1</v>
      </c>
      <c r="E8" s="318" t="s">
        <v>478</v>
      </c>
      <c r="F8" s="319"/>
      <c r="G8" s="320"/>
      <c r="H8" s="318" t="s">
        <v>479</v>
      </c>
      <c r="I8" s="319"/>
      <c r="J8" s="331" t="s">
        <v>252</v>
      </c>
      <c r="K8" s="331"/>
      <c r="L8" s="331"/>
      <c r="M8" s="331"/>
      <c r="N8" s="331"/>
    </row>
    <row r="9" spans="2:16" ht="30">
      <c r="B9" s="330"/>
      <c r="C9" s="330"/>
      <c r="D9" s="333"/>
      <c r="E9" s="21" t="s">
        <v>391</v>
      </c>
      <c r="F9" s="21" t="s">
        <v>268</v>
      </c>
      <c r="G9" s="21" t="s">
        <v>226</v>
      </c>
      <c r="H9" s="21" t="s">
        <v>391</v>
      </c>
      <c r="I9" s="21" t="s">
        <v>267</v>
      </c>
      <c r="J9" s="21" t="s">
        <v>480</v>
      </c>
      <c r="K9" s="21" t="s">
        <v>481</v>
      </c>
      <c r="L9" s="21" t="s">
        <v>482</v>
      </c>
      <c r="M9" s="21" t="s">
        <v>483</v>
      </c>
      <c r="N9" s="21" t="s">
        <v>484</v>
      </c>
    </row>
    <row r="10" spans="2:16" ht="15">
      <c r="B10" s="330"/>
      <c r="C10" s="330"/>
      <c r="D10" s="334"/>
      <c r="E10" s="21" t="s">
        <v>10</v>
      </c>
      <c r="F10" s="21" t="s">
        <v>12</v>
      </c>
      <c r="G10" s="21" t="s">
        <v>257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6">
      <c r="B11" s="26">
        <v>1</v>
      </c>
      <c r="C11" s="35" t="s">
        <v>69</v>
      </c>
      <c r="D11" s="35" t="s">
        <v>24</v>
      </c>
      <c r="E11" s="180">
        <v>75.52</v>
      </c>
      <c r="F11" s="178">
        <f>F2.1!G36</f>
        <v>75.128605854317527</v>
      </c>
      <c r="G11" s="178">
        <f>F11</f>
        <v>75.128605854317527</v>
      </c>
      <c r="H11" s="200">
        <v>78.573999999999998</v>
      </c>
      <c r="I11" s="178">
        <f>F2.1!H36</f>
        <v>85.027629813280171</v>
      </c>
      <c r="J11" s="178">
        <f>F2.1!I36</f>
        <v>91.265571785415204</v>
      </c>
      <c r="K11" s="178"/>
      <c r="L11" s="178"/>
      <c r="M11" s="178"/>
      <c r="N11" s="178"/>
    </row>
    <row r="12" spans="2:16">
      <c r="B12" s="26">
        <f>B11+1</f>
        <v>2</v>
      </c>
      <c r="C12" s="43" t="s">
        <v>269</v>
      </c>
      <c r="D12" s="43" t="s">
        <v>25</v>
      </c>
      <c r="E12" s="180">
        <v>5.98</v>
      </c>
      <c r="F12" s="179">
        <f>F2.2!G40</f>
        <v>10.694202091451029</v>
      </c>
      <c r="G12" s="178">
        <f>F12</f>
        <v>10.694202091451029</v>
      </c>
      <c r="H12" s="199">
        <v>6.11</v>
      </c>
      <c r="I12" s="178">
        <f>F2.2!H40</f>
        <v>6.7638006840560996</v>
      </c>
      <c r="J12" s="178">
        <f>F2.2!I40</f>
        <v>9.8367310274353699</v>
      </c>
      <c r="K12" s="178"/>
      <c r="L12" s="178"/>
      <c r="M12" s="178"/>
      <c r="N12" s="178"/>
    </row>
    <row r="13" spans="2:16">
      <c r="B13" s="26">
        <f>B12+1</f>
        <v>3</v>
      </c>
      <c r="C13" s="35" t="s">
        <v>229</v>
      </c>
      <c r="D13" s="35" t="s">
        <v>299</v>
      </c>
      <c r="E13" s="180">
        <v>9.8800000000000008</v>
      </c>
      <c r="F13" s="178">
        <f>F2.3!G18</f>
        <v>8.4171268162177899</v>
      </c>
      <c r="G13" s="178">
        <f>F13</f>
        <v>8.4171268162177899</v>
      </c>
      <c r="H13" s="181">
        <v>10.02</v>
      </c>
      <c r="I13" s="178">
        <f>F2.3!H18</f>
        <v>8.4699145830313025</v>
      </c>
      <c r="J13" s="178">
        <f>F2.3!I18</f>
        <v>8.7668901152277741</v>
      </c>
      <c r="K13" s="178"/>
      <c r="L13" s="178"/>
      <c r="M13" s="178"/>
      <c r="N13" s="178"/>
    </row>
    <row r="14" spans="2:16" ht="15">
      <c r="B14" s="26">
        <f>B13+1</f>
        <v>4</v>
      </c>
      <c r="C14" s="35" t="s">
        <v>70</v>
      </c>
      <c r="D14" s="35"/>
      <c r="E14" s="136">
        <f>SUM(E11:E13)*0.99</f>
        <v>90.466200000000001</v>
      </c>
      <c r="F14" s="136">
        <f t="shared" ref="F14:I14" si="0">SUM(F11:F13)</f>
        <v>94.239934761986348</v>
      </c>
      <c r="G14" s="136">
        <f>SUM(G11:G13)</f>
        <v>94.239934761986348</v>
      </c>
      <c r="H14" s="136">
        <f>SUM(H11:H13)*0.99</f>
        <v>93.756959999999992</v>
      </c>
      <c r="I14" s="136">
        <f t="shared" si="0"/>
        <v>100.26134508036756</v>
      </c>
      <c r="J14" s="136">
        <f>SUM(J11:J13)</f>
        <v>109.86919292807835</v>
      </c>
      <c r="K14" s="136"/>
      <c r="L14" s="136"/>
      <c r="M14" s="136"/>
      <c r="N14" s="136"/>
    </row>
    <row r="15" spans="2:16">
      <c r="B15" s="55" t="s">
        <v>270</v>
      </c>
      <c r="C15" s="56"/>
      <c r="D15" s="53"/>
      <c r="E15" s="53"/>
      <c r="F15" s="53"/>
      <c r="G15" s="54"/>
      <c r="H15" s="54"/>
      <c r="I15" s="54"/>
      <c r="J15" s="54"/>
      <c r="K15" s="54"/>
      <c r="L15" s="54"/>
      <c r="M15" s="54"/>
      <c r="N15" s="54"/>
    </row>
    <row r="16" spans="2:16">
      <c r="B16" s="57">
        <v>1</v>
      </c>
      <c r="C16" s="56" t="s">
        <v>271</v>
      </c>
    </row>
  </sheetData>
  <mergeCells count="10">
    <mergeCell ref="B2:N2"/>
    <mergeCell ref="B3:N3"/>
    <mergeCell ref="B6:J6"/>
    <mergeCell ref="B8:B10"/>
    <mergeCell ref="C8:C10"/>
    <mergeCell ref="J8:N8"/>
    <mergeCell ref="H8:I8"/>
    <mergeCell ref="E8:G8"/>
    <mergeCell ref="D8:D10"/>
    <mergeCell ref="B4:N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39"/>
  <sheetViews>
    <sheetView showGridLines="0" view="pageBreakPreview" topLeftCell="B1" zoomScale="70" zoomScaleNormal="80" zoomScaleSheetLayoutView="70" workbookViewId="0">
      <selection activeCell="D32" sqref="D32"/>
    </sheetView>
  </sheetViews>
  <sheetFormatPr defaultColWidth="9.28515625" defaultRowHeight="14.25"/>
  <cols>
    <col min="1" max="1" width="6.7109375" style="19" hidden="1" customWidth="1"/>
    <col min="2" max="2" width="7" style="19" customWidth="1"/>
    <col min="3" max="3" width="46.85546875" style="19" customWidth="1"/>
    <col min="4" max="4" width="15.7109375" style="19" customWidth="1"/>
    <col min="5" max="5" width="15.140625" style="19" customWidth="1"/>
    <col min="6" max="6" width="15" style="19" customWidth="1"/>
    <col min="7" max="7" width="14.42578125" style="19" customWidth="1"/>
    <col min="8" max="8" width="15.5703125" style="19" customWidth="1"/>
    <col min="9" max="9" width="14.140625" style="19" customWidth="1"/>
    <col min="10" max="10" width="13.5703125" style="19" customWidth="1"/>
    <col min="11" max="11" width="14.85546875" style="19" customWidth="1"/>
    <col min="12" max="12" width="15.28515625" style="19" customWidth="1"/>
    <col min="13" max="13" width="12.7109375" style="19" customWidth="1"/>
    <col min="14" max="16384" width="9.28515625" style="19"/>
  </cols>
  <sheetData>
    <row r="2" spans="2:16" ht="14.25" customHeight="1">
      <c r="B2" s="337" t="s">
        <v>517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5"/>
      <c r="O2" s="5"/>
      <c r="P2" s="5"/>
    </row>
    <row r="3" spans="2:16" ht="14.25" customHeight="1">
      <c r="B3" s="337" t="s">
        <v>501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5"/>
      <c r="O3" s="5"/>
      <c r="P3" s="5"/>
    </row>
    <row r="4" spans="2:16" s="4" customFormat="1" ht="15.75">
      <c r="B4" s="312" t="s">
        <v>538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</row>
    <row r="5" spans="2:16" s="4" customFormat="1" ht="15">
      <c r="C5" s="46"/>
      <c r="D5" s="46"/>
      <c r="E5" s="46"/>
      <c r="F5" s="46"/>
      <c r="G5" s="47"/>
      <c r="H5" s="47"/>
    </row>
    <row r="6" spans="2:16" ht="15">
      <c r="M6" s="32" t="s">
        <v>4</v>
      </c>
    </row>
    <row r="7" spans="2:16" ht="12.75" customHeight="1">
      <c r="B7" s="327" t="s">
        <v>2</v>
      </c>
      <c r="C7" s="327" t="s">
        <v>18</v>
      </c>
      <c r="D7" s="21" t="s">
        <v>498</v>
      </c>
      <c r="E7" s="21" t="s">
        <v>499</v>
      </c>
      <c r="F7" s="21" t="s">
        <v>500</v>
      </c>
      <c r="G7" s="21" t="s">
        <v>478</v>
      </c>
      <c r="H7" s="21" t="s">
        <v>479</v>
      </c>
      <c r="I7" s="331" t="s">
        <v>252</v>
      </c>
      <c r="J7" s="331"/>
      <c r="K7" s="331"/>
      <c r="L7" s="331"/>
      <c r="M7" s="331"/>
    </row>
    <row r="8" spans="2:16" ht="15">
      <c r="B8" s="327"/>
      <c r="C8" s="327"/>
      <c r="D8" s="21" t="s">
        <v>268</v>
      </c>
      <c r="E8" s="21" t="s">
        <v>268</v>
      </c>
      <c r="F8" s="21" t="s">
        <v>268</v>
      </c>
      <c r="G8" s="21" t="s">
        <v>268</v>
      </c>
      <c r="H8" s="21" t="s">
        <v>267</v>
      </c>
      <c r="I8" s="21" t="s">
        <v>480</v>
      </c>
      <c r="J8" s="21" t="s">
        <v>481</v>
      </c>
      <c r="K8" s="21" t="s">
        <v>482</v>
      </c>
      <c r="L8" s="21" t="s">
        <v>483</v>
      </c>
      <c r="M8" s="21" t="s">
        <v>484</v>
      </c>
    </row>
    <row r="9" spans="2:16" ht="15">
      <c r="B9" s="336"/>
      <c r="C9" s="327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2">
        <v>1</v>
      </c>
      <c r="C10" s="48" t="s">
        <v>73</v>
      </c>
      <c r="D10" s="166"/>
      <c r="E10" s="166"/>
      <c r="F10" s="166"/>
      <c r="G10" s="163">
        <v>44.908542229969697</v>
      </c>
      <c r="H10" s="273">
        <v>46.00979923837464</v>
      </c>
      <c r="I10" s="3"/>
      <c r="J10" s="3"/>
      <c r="K10" s="3"/>
      <c r="L10" s="3"/>
      <c r="M10" s="3"/>
    </row>
    <row r="11" spans="2:16">
      <c r="B11" s="2">
        <v>2</v>
      </c>
      <c r="C11" s="48" t="s">
        <v>74</v>
      </c>
      <c r="D11" s="166"/>
      <c r="E11" s="166"/>
      <c r="F11" s="166"/>
      <c r="G11" s="163">
        <v>1.439044273012829</v>
      </c>
      <c r="H11" s="273">
        <v>4.1304315394390629</v>
      </c>
      <c r="I11" s="3"/>
      <c r="J11" s="3"/>
      <c r="K11" s="3"/>
      <c r="L11" s="3"/>
      <c r="M11" s="3"/>
    </row>
    <row r="12" spans="2:16">
      <c r="B12" s="2">
        <v>3</v>
      </c>
      <c r="C12" s="3" t="s">
        <v>75</v>
      </c>
      <c r="D12" s="163"/>
      <c r="E12" s="163"/>
      <c r="F12" s="163"/>
      <c r="G12" s="163">
        <v>0.58148793580096525</v>
      </c>
      <c r="H12" s="273">
        <v>0.51187429359748104</v>
      </c>
      <c r="I12" s="3"/>
      <c r="J12" s="3"/>
      <c r="K12" s="3"/>
      <c r="L12" s="3"/>
      <c r="M12" s="3"/>
    </row>
    <row r="13" spans="2:16">
      <c r="B13" s="2">
        <v>4</v>
      </c>
      <c r="C13" s="48" t="s">
        <v>76</v>
      </c>
      <c r="D13" s="166"/>
      <c r="E13" s="166"/>
      <c r="F13" s="166"/>
      <c r="G13" s="163">
        <v>0.36853570554638954</v>
      </c>
      <c r="H13" s="273">
        <v>0.35824267095783363</v>
      </c>
      <c r="I13" s="3"/>
      <c r="J13" s="3"/>
      <c r="K13" s="3"/>
      <c r="L13" s="3"/>
      <c r="M13" s="3"/>
    </row>
    <row r="14" spans="2:16">
      <c r="B14" s="2">
        <v>5</v>
      </c>
      <c r="C14" s="48" t="s">
        <v>77</v>
      </c>
      <c r="D14" s="166"/>
      <c r="E14" s="166"/>
      <c r="F14" s="166"/>
      <c r="G14" s="163">
        <v>2.8323670454720675E-5</v>
      </c>
      <c r="H14" s="273">
        <v>4.4803523682936382E-5</v>
      </c>
      <c r="I14" s="3"/>
      <c r="J14" s="3"/>
      <c r="K14" s="3"/>
      <c r="L14" s="3"/>
      <c r="M14" s="3"/>
    </row>
    <row r="15" spans="2:16">
      <c r="B15" s="2">
        <v>6</v>
      </c>
      <c r="C15" s="3" t="s">
        <v>78</v>
      </c>
      <c r="D15" s="163"/>
      <c r="E15" s="163"/>
      <c r="F15" s="163"/>
      <c r="G15" s="163">
        <v>6.4918687984555223</v>
      </c>
      <c r="H15" s="273">
        <v>8.0889507190098779</v>
      </c>
      <c r="I15" s="3"/>
      <c r="J15" s="3"/>
      <c r="K15" s="3"/>
      <c r="L15" s="3"/>
      <c r="M15" s="3"/>
    </row>
    <row r="16" spans="2:16">
      <c r="B16" s="2">
        <v>7</v>
      </c>
      <c r="C16" s="48" t="s">
        <v>79</v>
      </c>
      <c r="D16" s="166"/>
      <c r="E16" s="166"/>
      <c r="F16" s="166"/>
      <c r="G16" s="163">
        <v>9.6938096373549847</v>
      </c>
      <c r="H16" s="273">
        <v>7.8942691694705029</v>
      </c>
      <c r="I16" s="3"/>
      <c r="J16" s="3"/>
      <c r="K16" s="3"/>
      <c r="L16" s="3"/>
      <c r="M16" s="3"/>
    </row>
    <row r="17" spans="2:13">
      <c r="B17" s="2">
        <v>8</v>
      </c>
      <c r="C17" s="48" t="s">
        <v>80</v>
      </c>
      <c r="D17" s="166"/>
      <c r="E17" s="166"/>
      <c r="F17" s="166"/>
      <c r="G17" s="163">
        <v>1.6171230368661433</v>
      </c>
      <c r="H17" s="273">
        <v>1.4459524069109209</v>
      </c>
      <c r="I17" s="3"/>
      <c r="J17" s="3"/>
      <c r="K17" s="3"/>
      <c r="L17" s="3"/>
      <c r="M17" s="3"/>
    </row>
    <row r="18" spans="2:13">
      <c r="B18" s="2">
        <v>9</v>
      </c>
      <c r="C18" s="48" t="s">
        <v>81</v>
      </c>
      <c r="D18" s="166"/>
      <c r="E18" s="166"/>
      <c r="F18" s="166"/>
      <c r="G18" s="163">
        <v>0</v>
      </c>
      <c r="H18" s="273">
        <v>0</v>
      </c>
      <c r="I18" s="3"/>
      <c r="J18" s="3"/>
      <c r="K18" s="3"/>
      <c r="L18" s="3"/>
      <c r="M18" s="3"/>
    </row>
    <row r="19" spans="2:13">
      <c r="B19" s="2">
        <v>10</v>
      </c>
      <c r="C19" s="48" t="s">
        <v>82</v>
      </c>
      <c r="D19" s="166"/>
      <c r="E19" s="166"/>
      <c r="F19" s="166"/>
      <c r="G19" s="166">
        <v>0.14410500000000001</v>
      </c>
      <c r="H19" s="273">
        <v>0</v>
      </c>
      <c r="I19" s="3"/>
      <c r="J19" s="3"/>
      <c r="K19" s="3"/>
      <c r="L19" s="3"/>
      <c r="M19" s="3"/>
    </row>
    <row r="20" spans="2:13">
      <c r="B20" s="2">
        <v>11</v>
      </c>
      <c r="C20" s="48" t="s">
        <v>83</v>
      </c>
      <c r="D20" s="166"/>
      <c r="E20" s="166"/>
      <c r="F20" s="166"/>
      <c r="G20" s="166">
        <v>0</v>
      </c>
      <c r="H20" s="273">
        <v>1.0472980266018633E-4</v>
      </c>
      <c r="I20" s="3"/>
      <c r="J20" s="3"/>
      <c r="K20" s="3"/>
      <c r="L20" s="3"/>
      <c r="M20" s="3"/>
    </row>
    <row r="21" spans="2:13">
      <c r="B21" s="2">
        <v>12</v>
      </c>
      <c r="C21" s="48" t="s">
        <v>84</v>
      </c>
      <c r="D21" s="166"/>
      <c r="E21" s="166"/>
      <c r="F21" s="166"/>
      <c r="G21" s="166">
        <v>0.8529475537472746</v>
      </c>
      <c r="H21" s="273">
        <v>0.75133358767683645</v>
      </c>
      <c r="I21" s="3"/>
      <c r="J21" s="3"/>
      <c r="K21" s="3"/>
      <c r="L21" s="3"/>
      <c r="M21" s="3"/>
    </row>
    <row r="22" spans="2:13">
      <c r="B22" s="2">
        <v>13</v>
      </c>
      <c r="C22" s="48" t="s">
        <v>85</v>
      </c>
      <c r="D22" s="166"/>
      <c r="E22" s="166"/>
      <c r="F22" s="166"/>
      <c r="G22" s="166">
        <v>0</v>
      </c>
      <c r="H22" s="273">
        <v>0</v>
      </c>
      <c r="I22" s="3"/>
      <c r="J22" s="3"/>
      <c r="K22" s="3"/>
      <c r="L22" s="3"/>
      <c r="M22" s="3"/>
    </row>
    <row r="23" spans="2:13">
      <c r="B23" s="2">
        <v>14</v>
      </c>
      <c r="C23" s="48" t="s">
        <v>86</v>
      </c>
      <c r="D23" s="166"/>
      <c r="E23" s="166"/>
      <c r="F23" s="166"/>
      <c r="G23" s="166">
        <v>0</v>
      </c>
      <c r="H23" s="273">
        <v>0</v>
      </c>
      <c r="I23" s="3"/>
      <c r="J23" s="3"/>
      <c r="K23" s="3"/>
      <c r="L23" s="3"/>
      <c r="M23" s="3"/>
    </row>
    <row r="24" spans="2:13">
      <c r="B24" s="2">
        <v>15</v>
      </c>
      <c r="C24" s="48" t="s">
        <v>87</v>
      </c>
      <c r="D24" s="166"/>
      <c r="E24" s="166"/>
      <c r="F24" s="166"/>
      <c r="G24" s="163">
        <v>0</v>
      </c>
      <c r="H24" s="273">
        <v>0</v>
      </c>
      <c r="I24" s="3"/>
      <c r="J24" s="3"/>
      <c r="K24" s="3"/>
      <c r="L24" s="3"/>
      <c r="M24" s="3"/>
    </row>
    <row r="25" spans="2:13">
      <c r="B25" s="2">
        <v>16</v>
      </c>
      <c r="C25" s="48" t="s">
        <v>88</v>
      </c>
      <c r="D25" s="166"/>
      <c r="E25" s="166"/>
      <c r="F25" s="166"/>
      <c r="G25" s="182">
        <v>0</v>
      </c>
      <c r="H25" s="273">
        <v>0</v>
      </c>
      <c r="I25" s="3"/>
      <c r="J25" s="3"/>
      <c r="K25" s="3"/>
      <c r="L25" s="3"/>
      <c r="M25" s="3"/>
    </row>
    <row r="26" spans="2:13" ht="15">
      <c r="B26" s="2">
        <v>17</v>
      </c>
      <c r="C26" s="48" t="s">
        <v>89</v>
      </c>
      <c r="D26" s="166"/>
      <c r="E26" s="166"/>
      <c r="F26" s="166"/>
      <c r="G26" s="182">
        <v>66.097492494424273</v>
      </c>
      <c r="H26" s="274">
        <v>69.191003158763507</v>
      </c>
      <c r="I26" s="3"/>
      <c r="J26" s="3"/>
      <c r="K26" s="3"/>
      <c r="L26" s="3"/>
      <c r="M26" s="3"/>
    </row>
    <row r="27" spans="2:13">
      <c r="B27" s="2">
        <v>18</v>
      </c>
      <c r="C27" s="48" t="s">
        <v>90</v>
      </c>
      <c r="D27" s="166"/>
      <c r="E27" s="166"/>
      <c r="F27" s="166"/>
      <c r="G27" s="182">
        <v>0</v>
      </c>
      <c r="H27" s="273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8" t="s">
        <v>91</v>
      </c>
      <c r="D28" s="166"/>
      <c r="E28" s="166"/>
      <c r="F28" s="166"/>
      <c r="G28" s="182">
        <v>1.5464328098342712</v>
      </c>
      <c r="H28" s="273">
        <v>3.3970861996508019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8" t="s">
        <v>92</v>
      </c>
      <c r="D29" s="166"/>
      <c r="E29" s="166"/>
      <c r="F29" s="166"/>
      <c r="G29" s="182">
        <v>0</v>
      </c>
      <c r="H29" s="273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8" t="s">
        <v>93</v>
      </c>
      <c r="D30" s="166"/>
      <c r="E30" s="166"/>
      <c r="F30" s="166"/>
      <c r="G30" s="182">
        <v>0</v>
      </c>
      <c r="H30" s="273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8" t="s">
        <v>94</v>
      </c>
      <c r="D31" s="166"/>
      <c r="E31" s="166"/>
      <c r="F31" s="166"/>
      <c r="G31" s="163">
        <v>7.4846805500589797</v>
      </c>
      <c r="H31" s="273">
        <v>12.43954045486586</v>
      </c>
      <c r="I31" s="3"/>
      <c r="J31" s="3"/>
      <c r="K31" s="3"/>
      <c r="L31" s="3"/>
      <c r="M31" s="3"/>
    </row>
    <row r="32" spans="2:13">
      <c r="B32" s="2">
        <v>19</v>
      </c>
      <c r="C32" s="52" t="s">
        <v>425</v>
      </c>
      <c r="D32" s="166"/>
      <c r="E32" s="166"/>
      <c r="F32" s="166"/>
      <c r="G32" s="163">
        <v>0</v>
      </c>
      <c r="H32" s="273">
        <v>0</v>
      </c>
      <c r="I32" s="3"/>
      <c r="J32" s="3"/>
      <c r="K32" s="3"/>
      <c r="L32" s="3"/>
      <c r="M32" s="3"/>
    </row>
    <row r="33" spans="2:13">
      <c r="B33" s="2">
        <v>20</v>
      </c>
      <c r="C33" s="48" t="s">
        <v>95</v>
      </c>
      <c r="D33" s="166"/>
      <c r="E33" s="166"/>
      <c r="F33" s="166"/>
      <c r="G33" s="163">
        <v>0</v>
      </c>
      <c r="H33" s="273">
        <v>0</v>
      </c>
      <c r="I33" s="163">
        <v>91.265571785415204</v>
      </c>
      <c r="J33" s="163"/>
      <c r="K33" s="163"/>
      <c r="L33" s="163"/>
      <c r="M33" s="163"/>
    </row>
    <row r="34" spans="2:13" ht="15">
      <c r="B34" s="20">
        <v>21</v>
      </c>
      <c r="C34" s="49" t="s">
        <v>96</v>
      </c>
      <c r="D34" s="165">
        <f>SUM(D26:D33)</f>
        <v>0</v>
      </c>
      <c r="E34" s="165">
        <f t="shared" ref="E34:G34" si="0">SUM(E26:E33)</f>
        <v>0</v>
      </c>
      <c r="F34" s="165">
        <f t="shared" si="0"/>
        <v>0</v>
      </c>
      <c r="G34" s="165">
        <f t="shared" si="0"/>
        <v>75.128605854317527</v>
      </c>
      <c r="H34" s="165">
        <f t="shared" ref="H34" si="1">SUM(H26:H33)</f>
        <v>85.027629813280171</v>
      </c>
      <c r="I34" s="165">
        <f t="shared" ref="I34" si="2">SUM(I10:I33)</f>
        <v>91.265571785415204</v>
      </c>
      <c r="J34" s="165"/>
      <c r="K34" s="165"/>
      <c r="L34" s="165"/>
      <c r="M34" s="165"/>
    </row>
    <row r="35" spans="2:13">
      <c r="B35" s="2">
        <v>22</v>
      </c>
      <c r="C35" s="48" t="s">
        <v>17</v>
      </c>
      <c r="D35" s="166"/>
      <c r="E35" s="166"/>
      <c r="F35" s="166"/>
      <c r="G35" s="163">
        <v>0</v>
      </c>
      <c r="H35" s="163">
        <v>0</v>
      </c>
      <c r="I35" s="163"/>
      <c r="J35" s="163"/>
      <c r="K35" s="163"/>
      <c r="L35" s="163"/>
      <c r="M35" s="163"/>
    </row>
    <row r="36" spans="2:13" ht="15">
      <c r="B36" s="20">
        <v>23</v>
      </c>
      <c r="C36" s="25" t="s">
        <v>97</v>
      </c>
      <c r="D36" s="138">
        <v>74.08</v>
      </c>
      <c r="E36" s="138">
        <v>78.67</v>
      </c>
      <c r="F36" s="138">
        <v>72.41</v>
      </c>
      <c r="G36" s="138">
        <f t="shared" ref="G36:I36" si="3">G34-G35</f>
        <v>75.128605854317527</v>
      </c>
      <c r="H36" s="138">
        <f t="shared" si="3"/>
        <v>85.027629813280171</v>
      </c>
      <c r="I36" s="138">
        <f t="shared" si="3"/>
        <v>91.265571785415204</v>
      </c>
      <c r="J36" s="138"/>
      <c r="K36" s="138"/>
      <c r="L36" s="138"/>
      <c r="M36" s="138"/>
    </row>
    <row r="38" spans="2:13" ht="15">
      <c r="B38" s="50"/>
    </row>
    <row r="39" spans="2:13">
      <c r="B39" s="51"/>
    </row>
  </sheetData>
  <mergeCells count="6">
    <mergeCell ref="I7:M7"/>
    <mergeCell ref="B7:B9"/>
    <mergeCell ref="C7:C9"/>
    <mergeCell ref="B2:M2"/>
    <mergeCell ref="B3:M3"/>
    <mergeCell ref="B4:M4"/>
  </mergeCells>
  <pageMargins left="0.3" right="0.3" top="1" bottom="1" header="0.54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40"/>
  <sheetViews>
    <sheetView showGridLines="0" view="pageBreakPreview" zoomScale="70" zoomScaleNormal="80" zoomScaleSheetLayoutView="70" workbookViewId="0">
      <selection activeCell="D32" sqref="D32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4" ht="15.75">
      <c r="B2" s="312" t="s">
        <v>522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06"/>
    </row>
    <row r="3" spans="2:14" ht="15.75">
      <c r="B3" s="312" t="s">
        <v>505</v>
      </c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06"/>
    </row>
    <row r="4" spans="2:14" s="4" customFormat="1" ht="15.75">
      <c r="B4" s="312" t="s">
        <v>539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06"/>
    </row>
    <row r="6" spans="2:14" ht="15">
      <c r="M6" s="32" t="s">
        <v>4</v>
      </c>
    </row>
    <row r="7" spans="2:14" ht="12.75" customHeight="1">
      <c r="B7" s="316" t="s">
        <v>210</v>
      </c>
      <c r="C7" s="327" t="s">
        <v>18</v>
      </c>
      <c r="D7" s="21" t="s">
        <v>498</v>
      </c>
      <c r="E7" s="21" t="s">
        <v>499</v>
      </c>
      <c r="F7" s="21" t="s">
        <v>500</v>
      </c>
      <c r="G7" s="21" t="s">
        <v>478</v>
      </c>
      <c r="H7" s="21" t="s">
        <v>479</v>
      </c>
      <c r="I7" s="331" t="s">
        <v>252</v>
      </c>
      <c r="J7" s="331"/>
      <c r="K7" s="331"/>
      <c r="L7" s="331"/>
      <c r="M7" s="331"/>
    </row>
    <row r="8" spans="2:14" ht="15">
      <c r="B8" s="316"/>
      <c r="C8" s="327"/>
      <c r="D8" s="21" t="s">
        <v>268</v>
      </c>
      <c r="E8" s="21" t="s">
        <v>268</v>
      </c>
      <c r="F8" s="21" t="s">
        <v>268</v>
      </c>
      <c r="G8" s="21" t="s">
        <v>268</v>
      </c>
      <c r="H8" s="21" t="s">
        <v>267</v>
      </c>
      <c r="I8" s="21" t="s">
        <v>480</v>
      </c>
      <c r="J8" s="21" t="s">
        <v>481</v>
      </c>
      <c r="K8" s="21" t="s">
        <v>482</v>
      </c>
      <c r="L8" s="21" t="s">
        <v>483</v>
      </c>
      <c r="M8" s="21" t="s">
        <v>484</v>
      </c>
    </row>
    <row r="9" spans="2:14" ht="15">
      <c r="B9" s="316"/>
      <c r="C9" s="327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>
      <c r="B10" s="3">
        <v>1</v>
      </c>
      <c r="C10" s="58" t="s">
        <v>98</v>
      </c>
      <c r="D10" s="163">
        <v>0.28862122985625221</v>
      </c>
      <c r="E10" s="163">
        <v>0.34116338525481543</v>
      </c>
      <c r="F10" s="163">
        <v>0.97140675646253261</v>
      </c>
      <c r="G10" s="163">
        <v>-0.1251288885569761</v>
      </c>
      <c r="H10" s="275">
        <v>0.36675678645897924</v>
      </c>
      <c r="I10" s="3"/>
      <c r="J10" s="3"/>
      <c r="K10" s="3"/>
      <c r="L10" s="3"/>
      <c r="M10" s="3"/>
    </row>
    <row r="11" spans="2:14">
      <c r="B11" s="3">
        <v>2</v>
      </c>
      <c r="C11" s="59" t="s">
        <v>99</v>
      </c>
      <c r="D11" s="163">
        <v>7.576901148335892E-2</v>
      </c>
      <c r="E11" s="163">
        <v>8.8450419351078752E-2</v>
      </c>
      <c r="F11" s="163">
        <v>8.116789141355274E-2</v>
      </c>
      <c r="G11" s="163">
        <v>8.0289707081720452E-2</v>
      </c>
      <c r="H11" s="275">
        <v>7.8581661008280318E-2</v>
      </c>
      <c r="I11" s="3"/>
      <c r="J11" s="3"/>
      <c r="K11" s="3"/>
      <c r="L11" s="3"/>
      <c r="M11" s="3"/>
    </row>
    <row r="12" spans="2:14">
      <c r="B12" s="3">
        <v>3</v>
      </c>
      <c r="C12" s="59" t="s">
        <v>100</v>
      </c>
      <c r="D12" s="163">
        <v>3.9352234614248978E-2</v>
      </c>
      <c r="E12" s="163">
        <v>3.3338434301312399E-2</v>
      </c>
      <c r="F12" s="163">
        <v>2.0869783550606851E-2</v>
      </c>
      <c r="G12" s="163">
        <v>2.7970387025199325E-2</v>
      </c>
      <c r="H12" s="275">
        <v>2.5948422080650586E-2</v>
      </c>
      <c r="I12" s="3"/>
      <c r="J12" s="3"/>
      <c r="K12" s="3"/>
      <c r="L12" s="3"/>
      <c r="M12" s="3"/>
    </row>
    <row r="13" spans="2:14">
      <c r="B13" s="3">
        <v>4</v>
      </c>
      <c r="C13" s="59" t="s">
        <v>101</v>
      </c>
      <c r="D13" s="163">
        <v>3.5662131623129159E-2</v>
      </c>
      <c r="E13" s="163">
        <v>1.2292913267430561E-2</v>
      </c>
      <c r="F13" s="163">
        <v>1.0267288489119872E-2</v>
      </c>
      <c r="G13" s="163">
        <v>2.6696272721804977E-2</v>
      </c>
      <c r="H13" s="275">
        <v>1.2807075005473951E-2</v>
      </c>
      <c r="I13" s="3"/>
      <c r="J13" s="3"/>
      <c r="K13" s="3"/>
      <c r="L13" s="3"/>
      <c r="M13" s="3"/>
    </row>
    <row r="14" spans="2:14">
      <c r="B14" s="3">
        <v>5</v>
      </c>
      <c r="C14" s="59" t="s">
        <v>102</v>
      </c>
      <c r="D14" s="163">
        <v>2.2615600197953855E-3</v>
      </c>
      <c r="E14" s="163">
        <v>4.3373340770784816E-3</v>
      </c>
      <c r="F14" s="163">
        <v>6.081651064879786E-3</v>
      </c>
      <c r="G14" s="163">
        <v>6.1291534841848763E-3</v>
      </c>
      <c r="H14" s="275">
        <v>0.30469723326203729</v>
      </c>
      <c r="I14" s="3"/>
      <c r="J14" s="3"/>
      <c r="K14" s="3"/>
      <c r="L14" s="3"/>
      <c r="M14" s="3"/>
    </row>
    <row r="15" spans="2:14">
      <c r="B15" s="3">
        <v>6</v>
      </c>
      <c r="C15" s="59" t="s">
        <v>103</v>
      </c>
      <c r="D15" s="163">
        <v>2.313697910060496E-2</v>
      </c>
      <c r="E15" s="163">
        <v>8.7636488256249701E-3</v>
      </c>
      <c r="F15" s="163">
        <v>1.4162002760513857E-2</v>
      </c>
      <c r="G15" s="163">
        <v>1.6136930612402262E-2</v>
      </c>
      <c r="H15" s="275">
        <v>1.6646714783061897E-2</v>
      </c>
      <c r="I15" s="3"/>
      <c r="J15" s="3"/>
      <c r="K15" s="3"/>
      <c r="L15" s="3"/>
      <c r="M15" s="3"/>
    </row>
    <row r="16" spans="2:14">
      <c r="B16" s="3">
        <v>7</v>
      </c>
      <c r="C16" s="59" t="s">
        <v>104</v>
      </c>
      <c r="D16" s="163">
        <v>1.1522485523467707E-2</v>
      </c>
      <c r="E16" s="163">
        <v>1.8202046847693658</v>
      </c>
      <c r="F16" s="163">
        <v>3.6620246707215887</v>
      </c>
      <c r="G16" s="163">
        <v>1.8691244799808768</v>
      </c>
      <c r="H16" s="275">
        <v>1.9171691001248987</v>
      </c>
      <c r="I16" s="3"/>
      <c r="J16" s="3"/>
      <c r="K16" s="3"/>
      <c r="L16" s="3"/>
      <c r="M16" s="3"/>
    </row>
    <row r="17" spans="2:13">
      <c r="B17" s="3">
        <v>8</v>
      </c>
      <c r="C17" s="59" t="s">
        <v>105</v>
      </c>
      <c r="D17" s="163">
        <v>9.2000831359961518E-4</v>
      </c>
      <c r="E17" s="163">
        <v>1.211339167296393E-3</v>
      </c>
      <c r="F17" s="163">
        <v>4.6574996530080349E-4</v>
      </c>
      <c r="G17" s="163">
        <v>2.4298097905710715E-4</v>
      </c>
      <c r="H17" s="275">
        <v>2.1159025428433092E-4</v>
      </c>
      <c r="I17" s="3"/>
      <c r="J17" s="3"/>
      <c r="K17" s="3"/>
      <c r="L17" s="3"/>
      <c r="M17" s="3"/>
    </row>
    <row r="18" spans="2:13">
      <c r="B18" s="3">
        <v>9</v>
      </c>
      <c r="C18" s="59" t="s">
        <v>106</v>
      </c>
      <c r="D18" s="163">
        <v>4.6258055963479361</v>
      </c>
      <c r="E18" s="163">
        <v>5.1212808627324149</v>
      </c>
      <c r="F18" s="163">
        <v>7.122027425603811</v>
      </c>
      <c r="G18" s="163">
        <v>7.1698264760286072</v>
      </c>
      <c r="H18" s="275">
        <v>3.4584721498422364</v>
      </c>
      <c r="I18" s="3"/>
      <c r="J18" s="3"/>
      <c r="K18" s="3"/>
      <c r="L18" s="3"/>
      <c r="M18" s="3"/>
    </row>
    <row r="19" spans="2:13">
      <c r="B19" s="3">
        <v>10</v>
      </c>
      <c r="C19" s="59" t="s">
        <v>107</v>
      </c>
      <c r="D19" s="163">
        <v>2.9419874937561281E-3</v>
      </c>
      <c r="E19" s="163">
        <v>1.6214853569390682E-2</v>
      </c>
      <c r="F19" s="163">
        <v>2.9321399380041017E-3</v>
      </c>
      <c r="G19" s="163">
        <v>2.3137732677390001E-3</v>
      </c>
      <c r="H19" s="275">
        <v>2.2615650721790645E-3</v>
      </c>
      <c r="I19" s="3"/>
      <c r="J19" s="3"/>
      <c r="K19" s="3"/>
      <c r="L19" s="3"/>
      <c r="M19" s="3"/>
    </row>
    <row r="20" spans="2:13">
      <c r="B20" s="3">
        <v>11</v>
      </c>
      <c r="C20" s="59" t="s">
        <v>108</v>
      </c>
      <c r="D20" s="163">
        <v>7.4240000000000005E-4</v>
      </c>
      <c r="E20" s="163">
        <v>3.2259999999999998E-4</v>
      </c>
      <c r="F20" s="163">
        <v>5.6159999999999999E-4</v>
      </c>
      <c r="G20" s="163">
        <v>4.5392109711148469E-4</v>
      </c>
      <c r="H20" s="275">
        <v>-5.4752074828148757E-4</v>
      </c>
      <c r="I20" s="3"/>
      <c r="J20" s="3"/>
      <c r="K20" s="3"/>
      <c r="L20" s="3"/>
      <c r="M20" s="3"/>
    </row>
    <row r="21" spans="2:13">
      <c r="B21" s="3">
        <v>12</v>
      </c>
      <c r="C21" s="59" t="s">
        <v>109</v>
      </c>
      <c r="D21" s="163">
        <v>0</v>
      </c>
      <c r="E21" s="163">
        <v>0</v>
      </c>
      <c r="F21" s="163">
        <v>0</v>
      </c>
      <c r="G21" s="163">
        <v>0</v>
      </c>
      <c r="H21" s="275">
        <v>0</v>
      </c>
      <c r="I21" s="3"/>
      <c r="J21" s="3"/>
      <c r="K21" s="3"/>
      <c r="L21" s="3"/>
      <c r="M21" s="3"/>
    </row>
    <row r="22" spans="2:13">
      <c r="B22" s="3">
        <v>13</v>
      </c>
      <c r="C22" s="59" t="s">
        <v>110</v>
      </c>
      <c r="D22" s="163">
        <v>3.6572000740199432E-3</v>
      </c>
      <c r="E22" s="163">
        <v>3.1665542649167988E-3</v>
      </c>
      <c r="F22" s="163">
        <v>8.8545046373548417E-3</v>
      </c>
      <c r="G22" s="163">
        <v>6.2596107985133315E-3</v>
      </c>
      <c r="H22" s="275">
        <v>3.429422177732273E-3</v>
      </c>
      <c r="I22" s="3"/>
      <c r="J22" s="3"/>
      <c r="K22" s="3"/>
      <c r="L22" s="3"/>
      <c r="M22" s="3"/>
    </row>
    <row r="23" spans="2:13">
      <c r="B23" s="3">
        <v>14</v>
      </c>
      <c r="C23" s="59" t="s">
        <v>111</v>
      </c>
      <c r="D23" s="163">
        <v>8.680682854096905E-2</v>
      </c>
      <c r="E23" s="163">
        <v>1.4960049223324029E-2</v>
      </c>
      <c r="F23" s="163">
        <v>1.5659265180805945E-2</v>
      </c>
      <c r="G23" s="163">
        <v>1.5945311779220581E-2</v>
      </c>
      <c r="H23" s="275">
        <v>1.4925854362276917E-2</v>
      </c>
      <c r="I23" s="3"/>
      <c r="J23" s="3"/>
      <c r="K23" s="3"/>
      <c r="L23" s="3"/>
      <c r="M23" s="3"/>
    </row>
    <row r="24" spans="2:13">
      <c r="B24" s="3">
        <v>15</v>
      </c>
      <c r="C24" s="59" t="s">
        <v>112</v>
      </c>
      <c r="D24" s="163">
        <v>0</v>
      </c>
      <c r="E24" s="163">
        <v>0</v>
      </c>
      <c r="F24" s="163">
        <v>0</v>
      </c>
      <c r="G24" s="163">
        <v>0</v>
      </c>
      <c r="H24" s="275">
        <v>0</v>
      </c>
      <c r="I24" s="3"/>
      <c r="J24" s="3"/>
      <c r="K24" s="3"/>
      <c r="L24" s="3"/>
      <c r="M24" s="3"/>
    </row>
    <row r="25" spans="2:13">
      <c r="B25" s="3">
        <v>16</v>
      </c>
      <c r="C25" s="58" t="s">
        <v>113</v>
      </c>
      <c r="D25" s="163">
        <v>0</v>
      </c>
      <c r="E25" s="163">
        <v>0</v>
      </c>
      <c r="F25" s="163">
        <v>0</v>
      </c>
      <c r="G25" s="163">
        <v>0</v>
      </c>
      <c r="H25" s="275">
        <v>0</v>
      </c>
      <c r="I25" s="3"/>
      <c r="J25" s="3"/>
      <c r="K25" s="3"/>
      <c r="L25" s="3"/>
      <c r="M25" s="3"/>
    </row>
    <row r="26" spans="2:13">
      <c r="B26" s="3">
        <v>17</v>
      </c>
      <c r="C26" s="58" t="s">
        <v>114</v>
      </c>
      <c r="D26" s="163">
        <v>0</v>
      </c>
      <c r="E26" s="163">
        <v>0</v>
      </c>
      <c r="F26" s="163">
        <v>0</v>
      </c>
      <c r="G26" s="163">
        <v>0</v>
      </c>
      <c r="H26" s="275">
        <v>0</v>
      </c>
      <c r="I26" s="3"/>
      <c r="J26" s="3"/>
      <c r="K26" s="3"/>
      <c r="L26" s="3"/>
      <c r="M26" s="3"/>
    </row>
    <row r="27" spans="2:13">
      <c r="B27" s="3">
        <v>18</v>
      </c>
      <c r="C27" s="59" t="s">
        <v>115</v>
      </c>
      <c r="D27" s="163">
        <v>3.5798521821175512E-3</v>
      </c>
      <c r="E27" s="163">
        <v>1.8883207902163684E-3</v>
      </c>
      <c r="F27" s="163">
        <v>2.4905197457705535E-3</v>
      </c>
      <c r="G27" s="163">
        <v>3.3287810268648891E-3</v>
      </c>
      <c r="H27" s="275">
        <v>3.6450075825795727E-3</v>
      </c>
      <c r="I27" s="3"/>
      <c r="J27" s="3"/>
      <c r="K27" s="3"/>
      <c r="L27" s="3"/>
      <c r="M27" s="3"/>
    </row>
    <row r="28" spans="2:13">
      <c r="B28" s="3">
        <v>19</v>
      </c>
      <c r="C28" s="59" t="s">
        <v>116</v>
      </c>
      <c r="D28" s="163">
        <v>0.4318229664157216</v>
      </c>
      <c r="E28" s="163">
        <v>0.34849658149971469</v>
      </c>
      <c r="F28" s="163">
        <v>0.47312283439831593</v>
      </c>
      <c r="G28" s="163">
        <v>0.33825632185972271</v>
      </c>
      <c r="H28" s="275">
        <v>0.55365919081743842</v>
      </c>
      <c r="I28" s="3"/>
      <c r="J28" s="3"/>
      <c r="K28" s="3"/>
      <c r="L28" s="3"/>
      <c r="M28" s="3"/>
    </row>
    <row r="29" spans="2:13">
      <c r="B29" s="3">
        <v>20</v>
      </c>
      <c r="C29" s="59" t="s">
        <v>117</v>
      </c>
      <c r="D29" s="163">
        <v>0</v>
      </c>
      <c r="E29" s="163">
        <v>0</v>
      </c>
      <c r="F29" s="163">
        <v>0</v>
      </c>
      <c r="G29" s="163">
        <v>0</v>
      </c>
      <c r="H29" s="275">
        <v>0</v>
      </c>
      <c r="I29" s="3"/>
      <c r="J29" s="3"/>
      <c r="K29" s="3"/>
      <c r="L29" s="3"/>
      <c r="M29" s="3"/>
    </row>
    <row r="30" spans="2:13">
      <c r="B30" s="3">
        <v>21</v>
      </c>
      <c r="C30" s="59" t="s">
        <v>118</v>
      </c>
      <c r="D30" s="163">
        <v>0</v>
      </c>
      <c r="E30" s="163">
        <v>0</v>
      </c>
      <c r="F30" s="163">
        <v>0</v>
      </c>
      <c r="G30" s="163">
        <v>0</v>
      </c>
      <c r="H30" s="275">
        <v>0</v>
      </c>
      <c r="I30" s="3"/>
      <c r="J30" s="3"/>
      <c r="K30" s="3"/>
      <c r="L30" s="3"/>
      <c r="M30" s="3"/>
    </row>
    <row r="31" spans="2:13">
      <c r="B31" s="3">
        <v>22</v>
      </c>
      <c r="C31" s="59" t="s">
        <v>119</v>
      </c>
      <c r="D31" s="163">
        <v>0</v>
      </c>
      <c r="E31" s="163">
        <v>0</v>
      </c>
      <c r="F31" s="163">
        <v>0</v>
      </c>
      <c r="G31" s="163">
        <v>0</v>
      </c>
      <c r="H31" s="275">
        <v>0</v>
      </c>
      <c r="I31" s="3"/>
      <c r="J31" s="3"/>
      <c r="K31" s="3"/>
      <c r="L31" s="3"/>
      <c r="M31" s="3"/>
    </row>
    <row r="32" spans="2:13">
      <c r="B32" s="3">
        <v>23</v>
      </c>
      <c r="C32" s="59" t="s">
        <v>120</v>
      </c>
      <c r="D32" s="163">
        <v>0</v>
      </c>
      <c r="E32" s="163">
        <v>0</v>
      </c>
      <c r="F32" s="163">
        <v>0</v>
      </c>
      <c r="G32" s="163">
        <v>0</v>
      </c>
      <c r="H32" s="275">
        <v>0</v>
      </c>
      <c r="I32" s="3"/>
      <c r="J32" s="3"/>
      <c r="K32" s="3"/>
      <c r="L32" s="3"/>
      <c r="M32" s="3"/>
    </row>
    <row r="33" spans="2:13">
      <c r="B33" s="3">
        <v>24</v>
      </c>
      <c r="C33" s="59" t="s">
        <v>121</v>
      </c>
      <c r="D33" s="163">
        <v>4.9522041098551423E-3</v>
      </c>
      <c r="E33" s="163">
        <v>1.01833656871212E-3</v>
      </c>
      <c r="F33" s="163">
        <v>5.486062846028099E-3</v>
      </c>
      <c r="G33" s="163">
        <v>2.8857729824344953E-3</v>
      </c>
      <c r="H33" s="275">
        <v>5.1364319722725068E-3</v>
      </c>
      <c r="I33" s="3"/>
      <c r="J33" s="3"/>
      <c r="K33" s="3"/>
      <c r="L33" s="3"/>
      <c r="M33" s="3"/>
    </row>
    <row r="34" spans="2:13">
      <c r="B34" s="3">
        <v>25</v>
      </c>
      <c r="C34" s="59" t="s">
        <v>122</v>
      </c>
      <c r="D34" s="163">
        <v>0</v>
      </c>
      <c r="E34" s="163">
        <v>0</v>
      </c>
      <c r="F34" s="163">
        <v>0</v>
      </c>
      <c r="G34" s="163">
        <v>0</v>
      </c>
      <c r="H34" s="275">
        <v>0</v>
      </c>
      <c r="I34" s="3"/>
      <c r="J34" s="3"/>
      <c r="K34" s="3"/>
      <c r="L34" s="3"/>
      <c r="M34" s="3"/>
    </row>
    <row r="35" spans="2:13">
      <c r="B35" s="3">
        <v>26</v>
      </c>
      <c r="C35" s="59" t="s">
        <v>123</v>
      </c>
      <c r="D35" s="163">
        <v>0</v>
      </c>
      <c r="E35" s="163">
        <v>0</v>
      </c>
      <c r="F35" s="163">
        <v>0</v>
      </c>
      <c r="G35" s="163">
        <v>0</v>
      </c>
      <c r="H35" s="275">
        <v>0</v>
      </c>
      <c r="I35" s="3"/>
      <c r="J35" s="3"/>
      <c r="K35" s="3"/>
      <c r="L35" s="3"/>
      <c r="M35" s="3"/>
    </row>
    <row r="36" spans="2:13">
      <c r="B36" s="3">
        <v>27</v>
      </c>
      <c r="C36" s="59" t="s">
        <v>124</v>
      </c>
      <c r="D36" s="163">
        <v>1.420871100142453E-2</v>
      </c>
      <c r="E36" s="163">
        <v>1.5506486706321423E-2</v>
      </c>
      <c r="F36" s="163">
        <v>1.0182534767052727E-2</v>
      </c>
      <c r="G36" s="163">
        <v>3.1658845900868248E-3</v>
      </c>
      <c r="H36" s="275">
        <v>0</v>
      </c>
      <c r="I36" s="163"/>
      <c r="J36" s="163"/>
      <c r="K36" s="163"/>
      <c r="L36" s="163"/>
      <c r="M36" s="163"/>
    </row>
    <row r="37" spans="2:13">
      <c r="B37" s="3">
        <v>28</v>
      </c>
      <c r="C37" s="59" t="s">
        <v>95</v>
      </c>
      <c r="D37" s="163">
        <v>-0.52531804743892097</v>
      </c>
      <c r="E37" s="163">
        <v>0.12580227380690281</v>
      </c>
      <c r="F37" s="163">
        <v>-0.34231720176287345</v>
      </c>
      <c r="G37" s="163">
        <v>1.2503052146924571</v>
      </c>
      <c r="H37" s="275">
        <v>0</v>
      </c>
      <c r="I37" s="163">
        <v>9.8367310274353699</v>
      </c>
      <c r="J37" s="163"/>
      <c r="K37" s="163"/>
      <c r="L37" s="163"/>
      <c r="M37" s="163"/>
    </row>
    <row r="38" spans="2:13" ht="15">
      <c r="B38" s="3">
        <v>29</v>
      </c>
      <c r="C38" s="60" t="s">
        <v>125</v>
      </c>
      <c r="D38" s="138">
        <f>SUM(D10:D37)</f>
        <v>5.1264453392613376</v>
      </c>
      <c r="E38" s="138">
        <f t="shared" ref="E38:G38" si="0">SUM(E10:E37)</f>
        <v>7.9584190781759174</v>
      </c>
      <c r="F38" s="138">
        <f t="shared" si="0"/>
        <v>12.065445479782364</v>
      </c>
      <c r="G38" s="138">
        <f t="shared" si="0"/>
        <v>10.694202091451029</v>
      </c>
      <c r="H38" s="138">
        <f t="shared" ref="H38" si="1">SUM(H10:H37)</f>
        <v>6.7638006840560996</v>
      </c>
      <c r="I38" s="138">
        <f t="shared" ref="I38" si="2">SUM(I10:I37)</f>
        <v>9.8367310274353699</v>
      </c>
      <c r="J38" s="138"/>
      <c r="K38" s="138"/>
      <c r="L38" s="138"/>
      <c r="M38" s="138"/>
    </row>
    <row r="39" spans="2:13">
      <c r="B39" s="3">
        <v>30</v>
      </c>
      <c r="C39" s="48" t="s">
        <v>17</v>
      </c>
      <c r="D39" s="163">
        <v>0</v>
      </c>
      <c r="E39" s="163">
        <v>0</v>
      </c>
      <c r="F39" s="163">
        <v>0</v>
      </c>
      <c r="G39" s="163">
        <v>0</v>
      </c>
      <c r="H39" s="163">
        <v>0</v>
      </c>
      <c r="I39" s="163"/>
      <c r="J39" s="163"/>
      <c r="K39" s="163"/>
      <c r="L39" s="163"/>
      <c r="M39" s="163"/>
    </row>
    <row r="40" spans="2:13" ht="15">
      <c r="B40" s="3">
        <v>31</v>
      </c>
      <c r="C40" s="25" t="s">
        <v>126</v>
      </c>
      <c r="D40" s="138">
        <f>D38-D39</f>
        <v>5.1264453392613376</v>
      </c>
      <c r="E40" s="138">
        <f t="shared" ref="E40:G40" si="3">E38-E39</f>
        <v>7.9584190781759174</v>
      </c>
      <c r="F40" s="138">
        <f t="shared" si="3"/>
        <v>12.065445479782364</v>
      </c>
      <c r="G40" s="138">
        <f t="shared" si="3"/>
        <v>10.694202091451029</v>
      </c>
      <c r="H40" s="138">
        <f t="shared" ref="H40" si="4">H38-H39</f>
        <v>6.7638006840560996</v>
      </c>
      <c r="I40" s="138">
        <f t="shared" ref="I40" si="5">I38-I39</f>
        <v>9.8367310274353699</v>
      </c>
      <c r="J40" s="138"/>
      <c r="K40" s="138"/>
      <c r="L40" s="138"/>
      <c r="M40" s="138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2"/>
  <sheetViews>
    <sheetView showGridLines="0" view="pageBreakPreview" zoomScale="90" zoomScaleNormal="80" zoomScaleSheetLayoutView="90" workbookViewId="0">
      <selection activeCell="K25" sqref="K25"/>
    </sheetView>
  </sheetViews>
  <sheetFormatPr defaultColWidth="9.28515625" defaultRowHeight="14.25"/>
  <cols>
    <col min="1" max="1" width="4.5703125" style="19" customWidth="1"/>
    <col min="2" max="2" width="8.7109375" style="61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4" ht="15">
      <c r="B2" s="337" t="s">
        <v>516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42"/>
    </row>
    <row r="3" spans="2:14" ht="15">
      <c r="B3" s="337" t="s">
        <v>501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42"/>
    </row>
    <row r="4" spans="2:14" s="4" customFormat="1" ht="15">
      <c r="B4" s="335" t="s">
        <v>523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8"/>
    </row>
    <row r="6" spans="2:14" ht="15">
      <c r="M6" s="32" t="s">
        <v>4</v>
      </c>
    </row>
    <row r="7" spans="2:14" ht="12.75" customHeight="1">
      <c r="B7" s="316" t="s">
        <v>210</v>
      </c>
      <c r="C7" s="327" t="s">
        <v>18</v>
      </c>
      <c r="D7" s="21" t="s">
        <v>498</v>
      </c>
      <c r="E7" s="21" t="s">
        <v>499</v>
      </c>
      <c r="F7" s="21" t="s">
        <v>500</v>
      </c>
      <c r="G7" s="21" t="s">
        <v>478</v>
      </c>
      <c r="H7" s="21" t="s">
        <v>479</v>
      </c>
      <c r="I7" s="331" t="s">
        <v>252</v>
      </c>
      <c r="J7" s="331"/>
      <c r="K7" s="331"/>
      <c r="L7" s="331"/>
      <c r="M7" s="331"/>
    </row>
    <row r="8" spans="2:14" ht="15">
      <c r="B8" s="316"/>
      <c r="C8" s="327"/>
      <c r="D8" s="21" t="s">
        <v>268</v>
      </c>
      <c r="E8" s="21" t="s">
        <v>268</v>
      </c>
      <c r="F8" s="21" t="s">
        <v>268</v>
      </c>
      <c r="G8" s="21" t="s">
        <v>268</v>
      </c>
      <c r="H8" s="21" t="s">
        <v>267</v>
      </c>
      <c r="I8" s="21" t="s">
        <v>480</v>
      </c>
      <c r="J8" s="21" t="s">
        <v>481</v>
      </c>
      <c r="K8" s="21" t="s">
        <v>482</v>
      </c>
      <c r="L8" s="21" t="s">
        <v>483</v>
      </c>
      <c r="M8" s="21" t="s">
        <v>484</v>
      </c>
    </row>
    <row r="9" spans="2:14" ht="15">
      <c r="B9" s="316"/>
      <c r="C9" s="327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>
      <c r="B10" s="2">
        <v>1</v>
      </c>
      <c r="C10" s="59" t="s">
        <v>127</v>
      </c>
      <c r="D10" s="163">
        <v>4.2534196444597274</v>
      </c>
      <c r="E10" s="163">
        <v>5.8638058480653132</v>
      </c>
      <c r="F10" s="163">
        <v>7.5549289553392187</v>
      </c>
      <c r="G10" s="163">
        <v>7.1594111568133032</v>
      </c>
      <c r="H10" s="275">
        <v>6.8854178233339454</v>
      </c>
      <c r="I10" s="3"/>
      <c r="J10" s="3"/>
      <c r="K10" s="3"/>
      <c r="L10" s="3"/>
      <c r="M10" s="3"/>
    </row>
    <row r="11" spans="2:14">
      <c r="B11" s="2">
        <v>2</v>
      </c>
      <c r="C11" s="59" t="s">
        <v>128</v>
      </c>
      <c r="D11" s="163">
        <v>1.7690944E-2</v>
      </c>
      <c r="E11" s="163">
        <v>1.0584540842141789E-2</v>
      </c>
      <c r="F11" s="163">
        <v>2.7324216999999998E-2</v>
      </c>
      <c r="G11" s="163">
        <v>0.12661010656807983</v>
      </c>
      <c r="H11" s="275">
        <v>0</v>
      </c>
      <c r="I11" s="3"/>
      <c r="J11" s="3"/>
      <c r="K11" s="3"/>
      <c r="L11" s="3"/>
      <c r="M11" s="3"/>
    </row>
    <row r="12" spans="2:14">
      <c r="B12" s="2">
        <v>3</v>
      </c>
      <c r="C12" s="59" t="s">
        <v>129</v>
      </c>
      <c r="D12" s="163">
        <v>0.54558490805408655</v>
      </c>
      <c r="E12" s="163">
        <v>0.47289740552522247</v>
      </c>
      <c r="F12" s="163">
        <v>0.97787951156203445</v>
      </c>
      <c r="G12" s="163">
        <v>0.38608380802970249</v>
      </c>
      <c r="H12" s="275">
        <v>1.0655131665006061</v>
      </c>
      <c r="I12" s="3"/>
      <c r="J12" s="3"/>
      <c r="K12" s="3"/>
      <c r="L12" s="3"/>
      <c r="M12" s="3"/>
    </row>
    <row r="13" spans="2:14">
      <c r="B13" s="2">
        <v>4</v>
      </c>
      <c r="C13" s="59" t="s">
        <v>130</v>
      </c>
      <c r="D13" s="163">
        <v>7.0765800000000004E-2</v>
      </c>
      <c r="E13" s="163">
        <v>1.16337E-2</v>
      </c>
      <c r="F13" s="163">
        <v>5.8993222999999997E-2</v>
      </c>
      <c r="G13" s="163">
        <v>0.148877027</v>
      </c>
      <c r="H13" s="275">
        <v>9.2688300000000005E-3</v>
      </c>
      <c r="I13" s="3"/>
      <c r="J13" s="3"/>
      <c r="K13" s="3"/>
      <c r="L13" s="3"/>
      <c r="M13" s="3"/>
    </row>
    <row r="14" spans="2:14">
      <c r="B14" s="2">
        <v>5</v>
      </c>
      <c r="C14" s="59" t="s">
        <v>131</v>
      </c>
      <c r="D14" s="163">
        <v>0.27359492433508503</v>
      </c>
      <c r="E14" s="163">
        <v>0.34769804287580774</v>
      </c>
      <c r="F14" s="163">
        <v>0.43692554876803974</v>
      </c>
      <c r="G14" s="163">
        <v>0.50727457600800396</v>
      </c>
      <c r="H14" s="275">
        <v>0.45443399980270338</v>
      </c>
      <c r="I14" s="3"/>
      <c r="J14" s="3"/>
      <c r="K14" s="3"/>
      <c r="L14" s="3"/>
      <c r="M14" s="3"/>
    </row>
    <row r="15" spans="2:14">
      <c r="B15" s="2">
        <v>6</v>
      </c>
      <c r="C15" s="59" t="s">
        <v>132</v>
      </c>
      <c r="D15" s="163">
        <v>2.0492000000000002E-3</v>
      </c>
      <c r="E15" s="163">
        <v>1.3880000000000001E-4</v>
      </c>
      <c r="F15" s="163">
        <v>7.8390000000000003E-4</v>
      </c>
      <c r="G15" s="163">
        <v>4.5504591999999996E-2</v>
      </c>
      <c r="H15" s="275">
        <v>9.2350572297795314E-4</v>
      </c>
      <c r="I15" s="3"/>
      <c r="J15" s="3"/>
      <c r="K15" s="3"/>
      <c r="L15" s="3"/>
      <c r="M15" s="3"/>
    </row>
    <row r="16" spans="2:14">
      <c r="B16" s="2">
        <v>7</v>
      </c>
      <c r="C16" s="59" t="s">
        <v>133</v>
      </c>
      <c r="D16" s="163">
        <v>1.3401365579260958E-5</v>
      </c>
      <c r="E16" s="163">
        <v>6.2680243048594288E-5</v>
      </c>
      <c r="F16" s="163">
        <v>0</v>
      </c>
      <c r="G16" s="163">
        <v>0</v>
      </c>
      <c r="H16" s="275">
        <v>0</v>
      </c>
      <c r="I16" s="3"/>
      <c r="J16" s="3"/>
      <c r="K16" s="3"/>
      <c r="L16" s="3"/>
      <c r="M16" s="3"/>
    </row>
    <row r="17" spans="2:13">
      <c r="B17" s="2">
        <v>8</v>
      </c>
      <c r="C17" s="59" t="s">
        <v>134</v>
      </c>
      <c r="D17" s="163">
        <v>2.6303254795884759E-2</v>
      </c>
      <c r="E17" s="163">
        <v>6.2981246574726646E-2</v>
      </c>
      <c r="F17" s="163">
        <v>6.0297917831223111E-2</v>
      </c>
      <c r="G17" s="163">
        <v>4.3365549798698388E-2</v>
      </c>
      <c r="H17" s="275">
        <v>5.435725767106947E-2</v>
      </c>
      <c r="I17" s="163">
        <v>8.7668901152277741</v>
      </c>
      <c r="J17" s="163"/>
      <c r="K17" s="163"/>
      <c r="L17" s="163"/>
      <c r="M17" s="163"/>
    </row>
    <row r="18" spans="2:13" ht="15">
      <c r="B18" s="2">
        <v>9</v>
      </c>
      <c r="C18" s="60" t="s">
        <v>135</v>
      </c>
      <c r="D18" s="138">
        <f>SUM(D10:D17)</f>
        <v>5.189422077010363</v>
      </c>
      <c r="E18" s="138">
        <f t="shared" ref="E18:I18" si="0">SUM(E10:E17)</f>
        <v>6.7698022641262607</v>
      </c>
      <c r="F18" s="138">
        <f t="shared" si="0"/>
        <v>9.1171332735005155</v>
      </c>
      <c r="G18" s="138">
        <f t="shared" si="0"/>
        <v>8.4171268162177899</v>
      </c>
      <c r="H18" s="138">
        <f t="shared" si="0"/>
        <v>8.4699145830313025</v>
      </c>
      <c r="I18" s="138">
        <f t="shared" si="0"/>
        <v>8.7668901152277741</v>
      </c>
      <c r="J18" s="138"/>
      <c r="K18" s="138"/>
      <c r="L18" s="138"/>
      <c r="M18" s="138"/>
    </row>
    <row r="19" spans="2:13">
      <c r="B19" s="2"/>
      <c r="C19" s="58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2" t="s">
        <v>136</v>
      </c>
      <c r="D20" s="163">
        <v>127.04</v>
      </c>
      <c r="E20" s="3">
        <v>127.04</v>
      </c>
      <c r="F20" s="3">
        <v>127.04</v>
      </c>
      <c r="G20" s="138">
        <f>'F4'!F21</f>
        <v>127.04170101699999</v>
      </c>
      <c r="H20" s="138">
        <f>'F4'!F39</f>
        <v>127.04170101699999</v>
      </c>
      <c r="I20" s="138">
        <f>'F4'!F56</f>
        <v>127.079003509</v>
      </c>
      <c r="J20" s="138"/>
      <c r="K20" s="138"/>
      <c r="L20" s="138"/>
      <c r="M20" s="138"/>
    </row>
    <row r="21" spans="2:13" ht="28.5">
      <c r="B21" s="2">
        <v>11</v>
      </c>
      <c r="C21" s="62" t="s">
        <v>137</v>
      </c>
      <c r="D21" s="164">
        <f>IFERROR(D18/D20,0)</f>
        <v>4.0848725417273003E-2</v>
      </c>
      <c r="E21" s="164">
        <f t="shared" ref="E21:I21" si="1">IFERROR(E18/E20,0)</f>
        <v>5.3288745781850284E-2</v>
      </c>
      <c r="F21" s="164">
        <f t="shared" si="1"/>
        <v>7.1765847555891965E-2</v>
      </c>
      <c r="G21" s="164">
        <f t="shared" si="1"/>
        <v>6.6254834033523044E-2</v>
      </c>
      <c r="H21" s="164">
        <f t="shared" si="1"/>
        <v>6.6670349304421755E-2</v>
      </c>
      <c r="I21" s="164">
        <f t="shared" si="1"/>
        <v>6.8987715304258623E-2</v>
      </c>
      <c r="J21" s="164"/>
      <c r="K21" s="164"/>
      <c r="L21" s="164"/>
      <c r="M21" s="164"/>
    </row>
    <row r="22" spans="2:13">
      <c r="B22" s="2"/>
      <c r="C22" s="58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view="pageBreakPreview" zoomScale="90" zoomScaleNormal="90" zoomScaleSheetLayoutView="90" workbookViewId="0">
      <selection activeCell="G16" sqref="G16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4" ht="15">
      <c r="B1" s="63"/>
    </row>
    <row r="2" spans="2:14">
      <c r="C2" s="5"/>
      <c r="D2" s="5"/>
      <c r="E2" s="5"/>
      <c r="F2" s="5"/>
      <c r="G2" s="5"/>
      <c r="H2" s="5"/>
      <c r="I2" s="5"/>
      <c r="J2" s="5"/>
      <c r="K2" s="5"/>
    </row>
    <row r="3" spans="2:14" ht="15">
      <c r="B3" s="337" t="s">
        <v>516</v>
      </c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42"/>
    </row>
    <row r="4" spans="2:14" ht="15">
      <c r="B4" s="337" t="s">
        <v>501</v>
      </c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42"/>
    </row>
    <row r="5" spans="2:14" ht="15">
      <c r="B5" s="335" t="s">
        <v>524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8"/>
    </row>
    <row r="6" spans="2:14" ht="15">
      <c r="M6" s="32" t="s">
        <v>4</v>
      </c>
    </row>
    <row r="7" spans="2:14" s="19" customFormat="1" ht="15" customHeight="1">
      <c r="B7" s="324" t="s">
        <v>210</v>
      </c>
      <c r="C7" s="327" t="s">
        <v>18</v>
      </c>
      <c r="D7" s="318" t="s">
        <v>478</v>
      </c>
      <c r="E7" s="319"/>
      <c r="F7" s="320"/>
      <c r="G7" s="318" t="s">
        <v>479</v>
      </c>
      <c r="H7" s="319"/>
      <c r="I7" s="331" t="s">
        <v>252</v>
      </c>
      <c r="J7" s="331"/>
      <c r="K7" s="331"/>
      <c r="L7" s="331"/>
      <c r="M7" s="331"/>
    </row>
    <row r="8" spans="2:14" s="19" customFormat="1" ht="45">
      <c r="B8" s="325"/>
      <c r="C8" s="327"/>
      <c r="D8" s="21" t="s">
        <v>391</v>
      </c>
      <c r="E8" s="21" t="s">
        <v>268</v>
      </c>
      <c r="F8" s="21" t="s">
        <v>226</v>
      </c>
      <c r="G8" s="21" t="s">
        <v>391</v>
      </c>
      <c r="H8" s="21" t="s">
        <v>267</v>
      </c>
      <c r="I8" s="21" t="s">
        <v>480</v>
      </c>
      <c r="J8" s="21" t="s">
        <v>481</v>
      </c>
      <c r="K8" s="21" t="s">
        <v>482</v>
      </c>
      <c r="L8" s="21" t="s">
        <v>483</v>
      </c>
      <c r="M8" s="21" t="s">
        <v>484</v>
      </c>
    </row>
    <row r="9" spans="2:14" s="19" customFormat="1" ht="15">
      <c r="B9" s="326"/>
      <c r="C9" s="328"/>
      <c r="D9" s="21" t="s">
        <v>10</v>
      </c>
      <c r="E9" s="21" t="s">
        <v>12</v>
      </c>
      <c r="F9" s="21" t="s">
        <v>257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 s="5" customFormat="1">
      <c r="B10" s="66">
        <v>1</v>
      </c>
      <c r="C10" s="33" t="s">
        <v>272</v>
      </c>
      <c r="D10" s="161"/>
      <c r="E10" s="160"/>
      <c r="F10" s="160"/>
      <c r="G10" s="135"/>
      <c r="H10" s="135"/>
      <c r="I10" s="135"/>
      <c r="J10" s="135"/>
      <c r="K10" s="135"/>
      <c r="L10" s="135"/>
      <c r="M10" s="135"/>
    </row>
    <row r="11" spans="2:14" s="5" customFormat="1">
      <c r="B11" s="26">
        <v>2</v>
      </c>
      <c r="C11" s="33" t="s">
        <v>302</v>
      </c>
      <c r="D11" s="2"/>
      <c r="E11" s="131">
        <f>F3.1!G11</f>
        <v>0</v>
      </c>
      <c r="F11" s="131">
        <f>E11</f>
        <v>0</v>
      </c>
      <c r="G11" s="27"/>
      <c r="H11" s="135">
        <f>F3.1!G17</f>
        <v>0.04</v>
      </c>
      <c r="I11" s="135">
        <f>F3.1!G23</f>
        <v>0</v>
      </c>
      <c r="J11" s="135"/>
      <c r="K11" s="135"/>
      <c r="L11" s="135"/>
      <c r="M11" s="135"/>
    </row>
    <row r="12" spans="2:14" s="5" customFormat="1" ht="15">
      <c r="B12" s="26">
        <v>3</v>
      </c>
      <c r="C12" s="35" t="s">
        <v>243</v>
      </c>
      <c r="D12" s="161"/>
      <c r="E12" s="168">
        <f>F3.1!H11</f>
        <v>0</v>
      </c>
      <c r="F12" s="168">
        <f>E12</f>
        <v>0</v>
      </c>
      <c r="G12" s="161"/>
      <c r="H12" s="134">
        <f>F3.1!H17</f>
        <v>0.04</v>
      </c>
      <c r="I12" s="134">
        <f>F3.1!H23</f>
        <v>0</v>
      </c>
      <c r="J12" s="134"/>
      <c r="K12" s="134"/>
      <c r="L12" s="134"/>
      <c r="M12" s="134"/>
    </row>
    <row r="13" spans="2:14" s="5" customFormat="1" ht="15">
      <c r="B13" s="26">
        <v>4</v>
      </c>
      <c r="C13" s="33" t="s">
        <v>273</v>
      </c>
      <c r="D13" s="162">
        <f>D10+D11-D12</f>
        <v>0</v>
      </c>
      <c r="E13" s="162">
        <f>E10+E11-E12</f>
        <v>0</v>
      </c>
      <c r="F13" s="162">
        <f t="shared" ref="F13:I13" si="0">F10+F11-F12</f>
        <v>0</v>
      </c>
      <c r="G13" s="162">
        <f t="shared" si="0"/>
        <v>0</v>
      </c>
      <c r="H13" s="162">
        <f t="shared" si="0"/>
        <v>0</v>
      </c>
      <c r="I13" s="162">
        <f t="shared" si="0"/>
        <v>0</v>
      </c>
      <c r="J13" s="162"/>
      <c r="K13" s="162"/>
      <c r="L13" s="162"/>
      <c r="M13" s="162"/>
    </row>
    <row r="14" spans="2:14" s="38" customFormat="1" ht="15">
      <c r="B14" s="67"/>
      <c r="C14" s="55"/>
      <c r="D14" s="64"/>
      <c r="E14" s="64"/>
      <c r="F14" s="64"/>
      <c r="G14" s="65"/>
      <c r="H14" s="30"/>
      <c r="I14" s="30"/>
      <c r="J14" s="30"/>
      <c r="K14" s="30"/>
    </row>
    <row r="16" spans="2:14">
      <c r="B16" s="68"/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48"/>
  <sheetViews>
    <sheetView showGridLines="0" view="pageBreakPreview" topLeftCell="A22" zoomScale="90" zoomScaleNormal="80" zoomScaleSheetLayoutView="90" workbookViewId="0">
      <selection activeCell="F21" sqref="F21"/>
    </sheetView>
  </sheetViews>
  <sheetFormatPr defaultColWidth="9.28515625" defaultRowHeight="1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38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>
      <c r="B1" s="30"/>
    </row>
    <row r="2" spans="2:17">
      <c r="H2" s="39" t="s">
        <v>517</v>
      </c>
      <c r="I2" s="39"/>
    </row>
    <row r="3" spans="2:17">
      <c r="H3" s="39" t="s">
        <v>501</v>
      </c>
      <c r="I3" s="39"/>
    </row>
    <row r="4" spans="2:17">
      <c r="H4" s="41" t="s">
        <v>300</v>
      </c>
      <c r="I4" s="41"/>
    </row>
    <row r="5" spans="2:17">
      <c r="K5" s="41"/>
    </row>
    <row r="6" spans="2:17" ht="60">
      <c r="B6" s="21" t="s">
        <v>210</v>
      </c>
      <c r="C6" s="29" t="s">
        <v>274</v>
      </c>
      <c r="D6" s="37" t="s">
        <v>276</v>
      </c>
      <c r="E6" s="29" t="s">
        <v>275</v>
      </c>
      <c r="F6" s="37" t="s">
        <v>279</v>
      </c>
      <c r="G6" s="37" t="s">
        <v>282</v>
      </c>
      <c r="H6" s="37" t="s">
        <v>283</v>
      </c>
      <c r="I6" s="37" t="s">
        <v>296</v>
      </c>
      <c r="J6" s="29" t="s">
        <v>277</v>
      </c>
      <c r="K6" s="37" t="s">
        <v>284</v>
      </c>
      <c r="L6" s="37" t="s">
        <v>198</v>
      </c>
      <c r="M6" s="31"/>
      <c r="N6" s="31"/>
      <c r="O6" s="31"/>
      <c r="P6" s="31"/>
    </row>
    <row r="7" spans="2:17" s="38" customFormat="1">
      <c r="B7" s="26"/>
      <c r="C7" s="37" t="s">
        <v>255</v>
      </c>
      <c r="D7" s="44" t="s">
        <v>486</v>
      </c>
      <c r="E7" s="36"/>
      <c r="F7" s="36"/>
      <c r="G7" s="36"/>
      <c r="H7" s="36"/>
      <c r="I7" s="36"/>
      <c r="J7" s="36"/>
      <c r="K7" s="37"/>
      <c r="L7" s="308"/>
      <c r="M7" s="30"/>
      <c r="N7" s="30"/>
      <c r="O7" s="30"/>
      <c r="P7" s="30"/>
      <c r="Q7" s="30"/>
    </row>
    <row r="8" spans="2:17">
      <c r="B8" s="26"/>
      <c r="C8" s="26"/>
      <c r="D8" s="44"/>
      <c r="E8" s="33"/>
      <c r="F8" s="33"/>
      <c r="G8" s="33"/>
      <c r="H8" s="33"/>
      <c r="I8" s="33"/>
      <c r="J8" s="33"/>
      <c r="K8" s="33"/>
      <c r="L8" s="33"/>
    </row>
    <row r="9" spans="2:17">
      <c r="B9" s="26"/>
      <c r="C9" s="26"/>
      <c r="E9" s="33"/>
      <c r="F9" s="33"/>
      <c r="G9" s="33"/>
      <c r="H9" s="33"/>
      <c r="I9" s="33"/>
      <c r="J9" s="33"/>
      <c r="K9" s="33"/>
      <c r="L9" s="33"/>
    </row>
    <row r="10" spans="2:17">
      <c r="B10" s="33"/>
      <c r="C10" s="33" t="s">
        <v>9</v>
      </c>
      <c r="D10" s="44"/>
      <c r="E10" s="33"/>
      <c r="F10" s="160"/>
      <c r="G10" s="160"/>
      <c r="H10" s="33"/>
      <c r="I10" s="33"/>
      <c r="J10" s="33"/>
      <c r="K10" s="33"/>
      <c r="L10" s="33"/>
    </row>
    <row r="11" spans="2:17">
      <c r="B11" s="33"/>
      <c r="C11" s="29" t="s">
        <v>139</v>
      </c>
      <c r="D11" s="171"/>
      <c r="E11" s="160"/>
      <c r="F11" s="139">
        <f>F10</f>
        <v>0</v>
      </c>
      <c r="G11" s="139">
        <f>G10</f>
        <v>0</v>
      </c>
      <c r="H11" s="139">
        <f>H10</f>
        <v>0</v>
      </c>
      <c r="I11" s="33"/>
      <c r="J11" s="33"/>
      <c r="K11" s="33"/>
      <c r="L11" s="33"/>
    </row>
    <row r="12" spans="2:17">
      <c r="B12" s="26"/>
      <c r="C12" s="37" t="s">
        <v>254</v>
      </c>
      <c r="D12" s="171" t="s">
        <v>487</v>
      </c>
      <c r="E12" s="160"/>
      <c r="F12" s="160"/>
      <c r="J12" s="33"/>
      <c r="K12" s="33"/>
      <c r="L12" s="33"/>
    </row>
    <row r="13" spans="2:17">
      <c r="B13" s="26"/>
      <c r="C13" s="26"/>
      <c r="D13" s="171"/>
      <c r="E13" s="33"/>
      <c r="F13" s="160"/>
      <c r="G13" s="160"/>
      <c r="H13" s="160"/>
      <c r="I13" s="33"/>
      <c r="J13" s="33"/>
      <c r="K13" s="33"/>
      <c r="L13" s="33"/>
    </row>
    <row r="14" spans="2:17">
      <c r="B14" s="26"/>
      <c r="C14" s="26"/>
      <c r="D14" s="171"/>
      <c r="E14" s="33" t="s">
        <v>525</v>
      </c>
      <c r="F14" s="160"/>
      <c r="G14" s="160"/>
      <c r="H14" s="160">
        <v>0.03</v>
      </c>
      <c r="I14" s="33"/>
      <c r="J14" s="33"/>
      <c r="K14" s="33"/>
      <c r="L14" s="33"/>
    </row>
    <row r="15" spans="2:17">
      <c r="B15" s="26">
        <v>3</v>
      </c>
      <c r="C15" s="26"/>
      <c r="D15" s="171"/>
      <c r="E15" s="160" t="s">
        <v>526</v>
      </c>
      <c r="F15" s="160"/>
      <c r="G15" s="160"/>
      <c r="H15" s="160">
        <v>0.01</v>
      </c>
      <c r="I15" s="33"/>
      <c r="J15" s="33"/>
      <c r="K15" s="33"/>
      <c r="L15" s="33"/>
    </row>
    <row r="16" spans="2:17">
      <c r="B16" s="33"/>
      <c r="C16" s="33" t="s">
        <v>9</v>
      </c>
      <c r="D16" s="171"/>
      <c r="E16" s="309" t="s">
        <v>527</v>
      </c>
      <c r="F16" s="160"/>
      <c r="G16" s="160">
        <v>0.04</v>
      </c>
      <c r="H16" s="160">
        <v>0.04</v>
      </c>
      <c r="I16" s="33"/>
      <c r="J16" s="33"/>
      <c r="K16" s="33"/>
      <c r="L16" s="33"/>
    </row>
    <row r="17" spans="2:12">
      <c r="B17" s="33"/>
      <c r="C17" s="29" t="s">
        <v>139</v>
      </c>
      <c r="D17" s="171"/>
      <c r="E17" s="160"/>
      <c r="F17" s="139">
        <f>F16</f>
        <v>0</v>
      </c>
      <c r="G17" s="139">
        <f>G16</f>
        <v>0.04</v>
      </c>
      <c r="H17" s="139">
        <f>H16</f>
        <v>0.04</v>
      </c>
      <c r="I17" s="33"/>
      <c r="J17" s="33"/>
      <c r="K17" s="33"/>
      <c r="L17" s="33"/>
    </row>
    <row r="18" spans="2:12">
      <c r="B18" s="26"/>
      <c r="C18" s="37" t="s">
        <v>278</v>
      </c>
      <c r="D18" s="171" t="s">
        <v>488</v>
      </c>
      <c r="E18" s="160"/>
      <c r="F18" s="160"/>
      <c r="G18" s="160"/>
      <c r="H18" s="160"/>
      <c r="I18" s="33"/>
      <c r="J18" s="33"/>
      <c r="K18" s="33"/>
      <c r="L18" s="33"/>
    </row>
    <row r="19" spans="2:12">
      <c r="B19" s="26">
        <v>1</v>
      </c>
      <c r="C19" s="26"/>
      <c r="D19" s="171"/>
      <c r="E19" s="160"/>
      <c r="F19" s="160"/>
      <c r="G19" s="160"/>
      <c r="H19" s="160"/>
      <c r="I19" s="33"/>
      <c r="J19" s="33"/>
      <c r="K19" s="33"/>
      <c r="L19" s="33"/>
    </row>
    <row r="20" spans="2:12">
      <c r="B20" s="26">
        <v>2</v>
      </c>
      <c r="C20" s="26"/>
      <c r="D20" s="171"/>
      <c r="E20" s="160"/>
      <c r="F20" s="160"/>
      <c r="G20" s="160"/>
      <c r="H20" s="160"/>
      <c r="I20" s="33"/>
      <c r="J20" s="33"/>
      <c r="K20" s="33"/>
      <c r="L20" s="33"/>
    </row>
    <row r="21" spans="2:12">
      <c r="B21" s="26">
        <v>3</v>
      </c>
      <c r="C21" s="26"/>
      <c r="D21" s="171"/>
      <c r="E21" s="160"/>
      <c r="F21" s="160"/>
      <c r="G21" s="160"/>
      <c r="H21" s="160"/>
      <c r="I21" s="33"/>
      <c r="J21" s="33"/>
      <c r="K21" s="33"/>
      <c r="L21" s="33"/>
    </row>
    <row r="22" spans="2:12">
      <c r="B22" s="33"/>
      <c r="C22" s="33"/>
      <c r="D22" s="171"/>
      <c r="E22" s="160"/>
      <c r="F22" s="160"/>
      <c r="G22" s="160"/>
      <c r="H22" s="160"/>
      <c r="I22" s="33"/>
      <c r="J22" s="33"/>
      <c r="K22" s="33"/>
      <c r="L22" s="33"/>
    </row>
    <row r="23" spans="2:12">
      <c r="B23" s="33"/>
      <c r="C23" s="29" t="s">
        <v>139</v>
      </c>
      <c r="D23" s="171"/>
      <c r="E23" s="160"/>
      <c r="F23" s="139">
        <f>F22</f>
        <v>0</v>
      </c>
      <c r="G23" s="139">
        <f>G22</f>
        <v>0</v>
      </c>
      <c r="H23" s="139">
        <f>H22</f>
        <v>0</v>
      </c>
      <c r="I23" s="33"/>
      <c r="J23" s="33"/>
      <c r="K23" s="33"/>
      <c r="L23" s="33"/>
    </row>
    <row r="24" spans="2:12">
      <c r="B24" s="26"/>
      <c r="C24" s="37" t="s">
        <v>528</v>
      </c>
      <c r="D24" s="171" t="s">
        <v>529</v>
      </c>
      <c r="E24" s="160"/>
      <c r="F24" s="160"/>
      <c r="G24" s="160"/>
      <c r="H24" s="160"/>
      <c r="I24" s="33"/>
      <c r="J24" s="33"/>
      <c r="K24" s="33"/>
      <c r="L24" s="33"/>
    </row>
    <row r="25" spans="2:12">
      <c r="B25" s="26">
        <v>1</v>
      </c>
      <c r="C25" s="26"/>
      <c r="D25" s="171"/>
      <c r="E25" s="160"/>
      <c r="F25" s="160"/>
      <c r="G25" s="160"/>
      <c r="H25" s="160"/>
      <c r="I25" s="33"/>
      <c r="J25" s="33"/>
      <c r="K25" s="33"/>
      <c r="L25" s="33"/>
    </row>
    <row r="26" spans="2:12">
      <c r="B26" s="26">
        <v>2</v>
      </c>
      <c r="C26" s="26"/>
      <c r="D26" s="171"/>
      <c r="E26" s="160"/>
      <c r="F26" s="160"/>
      <c r="G26" s="160"/>
      <c r="H26" s="160"/>
      <c r="I26" s="33"/>
      <c r="J26" s="33"/>
      <c r="K26" s="33"/>
      <c r="L26" s="33"/>
    </row>
    <row r="27" spans="2:12">
      <c r="B27" s="26">
        <v>3</v>
      </c>
      <c r="C27" s="26"/>
      <c r="D27" s="171"/>
      <c r="E27" s="160"/>
      <c r="F27" s="160"/>
      <c r="G27" s="160"/>
      <c r="H27" s="160"/>
      <c r="I27" s="33"/>
      <c r="J27" s="33"/>
      <c r="K27" s="33"/>
      <c r="L27" s="33"/>
    </row>
    <row r="28" spans="2:12">
      <c r="B28" s="33"/>
      <c r="C28" s="33"/>
      <c r="D28" s="171"/>
      <c r="E28" s="160"/>
      <c r="F28" s="160"/>
      <c r="G28" s="160"/>
      <c r="H28" s="160"/>
      <c r="I28" s="33"/>
      <c r="J28" s="33"/>
      <c r="K28" s="33"/>
      <c r="L28" s="33"/>
    </row>
    <row r="29" spans="2:12">
      <c r="B29" s="33"/>
      <c r="C29" s="29" t="s">
        <v>139</v>
      </c>
      <c r="D29" s="171"/>
      <c r="E29" s="160"/>
      <c r="F29" s="139">
        <f>F28</f>
        <v>0</v>
      </c>
      <c r="G29" s="139">
        <f>G28</f>
        <v>0</v>
      </c>
      <c r="H29" s="139">
        <f>H28</f>
        <v>0</v>
      </c>
      <c r="I29" s="33"/>
      <c r="J29" s="33"/>
      <c r="K29" s="33"/>
      <c r="L29" s="33"/>
    </row>
    <row r="30" spans="2:12">
      <c r="B30" s="26"/>
      <c r="C30" s="37" t="s">
        <v>530</v>
      </c>
      <c r="D30" s="171" t="s">
        <v>531</v>
      </c>
      <c r="E30" s="160"/>
      <c r="F30" s="160"/>
      <c r="G30" s="160"/>
      <c r="H30" s="160"/>
      <c r="I30" s="33"/>
      <c r="J30" s="33"/>
      <c r="K30" s="33"/>
      <c r="L30" s="33"/>
    </row>
    <row r="31" spans="2:12">
      <c r="B31" s="26">
        <v>1</v>
      </c>
      <c r="C31" s="26"/>
      <c r="D31" s="171"/>
      <c r="E31" s="160"/>
      <c r="F31" s="160"/>
      <c r="G31" s="160"/>
      <c r="H31" s="160"/>
      <c r="I31" s="33"/>
      <c r="J31" s="33"/>
      <c r="K31" s="33"/>
      <c r="L31" s="33"/>
    </row>
    <row r="32" spans="2:12">
      <c r="B32" s="26">
        <v>2</v>
      </c>
      <c r="C32" s="26"/>
      <c r="D32" s="171"/>
      <c r="E32" s="160"/>
      <c r="F32" s="160"/>
      <c r="G32" s="160"/>
      <c r="H32" s="160"/>
      <c r="I32" s="33"/>
      <c r="J32" s="33"/>
      <c r="K32" s="33"/>
      <c r="L32" s="33"/>
    </row>
    <row r="33" spans="2:12">
      <c r="B33" s="26">
        <v>3</v>
      </c>
      <c r="C33" s="26"/>
      <c r="D33" s="171"/>
      <c r="E33" s="160"/>
      <c r="F33" s="160"/>
      <c r="G33" s="160"/>
      <c r="H33" s="160"/>
      <c r="I33" s="33"/>
      <c r="J33" s="33"/>
      <c r="K33" s="33"/>
      <c r="L33" s="33"/>
    </row>
    <row r="34" spans="2:12">
      <c r="B34" s="33"/>
      <c r="C34" s="33"/>
      <c r="D34" s="171"/>
      <c r="E34" s="160"/>
      <c r="F34" s="160"/>
      <c r="G34" s="160"/>
      <c r="H34" s="160"/>
      <c r="I34" s="33"/>
      <c r="J34" s="33"/>
      <c r="K34" s="33"/>
      <c r="L34" s="33"/>
    </row>
    <row r="35" spans="2:12">
      <c r="B35" s="33"/>
      <c r="C35" s="29" t="s">
        <v>139</v>
      </c>
      <c r="D35" s="171"/>
      <c r="E35" s="160"/>
      <c r="F35" s="139">
        <f>F34</f>
        <v>0</v>
      </c>
      <c r="G35" s="139">
        <f>G34</f>
        <v>0</v>
      </c>
      <c r="H35" s="139">
        <f>H34</f>
        <v>0</v>
      </c>
      <c r="I35" s="33"/>
      <c r="J35" s="33"/>
      <c r="K35" s="33"/>
      <c r="L35" s="33"/>
    </row>
    <row r="36" spans="2:12">
      <c r="B36" s="26"/>
      <c r="C36" s="37" t="s">
        <v>532</v>
      </c>
      <c r="D36" s="171" t="s">
        <v>533</v>
      </c>
      <c r="E36" s="160"/>
      <c r="F36" s="160"/>
      <c r="G36" s="160"/>
      <c r="H36" s="160"/>
      <c r="I36" s="33"/>
      <c r="J36" s="33"/>
      <c r="K36" s="33"/>
      <c r="L36" s="33"/>
    </row>
    <row r="37" spans="2:12">
      <c r="B37" s="26">
        <v>1</v>
      </c>
      <c r="C37" s="26"/>
      <c r="D37" s="171"/>
      <c r="E37" s="160"/>
      <c r="F37" s="160"/>
      <c r="G37" s="160"/>
      <c r="H37" s="160"/>
      <c r="I37" s="33"/>
      <c r="J37" s="33"/>
      <c r="K37" s="33"/>
      <c r="L37" s="33"/>
    </row>
    <row r="38" spans="2:12">
      <c r="B38" s="26">
        <v>2</v>
      </c>
      <c r="C38" s="26"/>
      <c r="D38" s="171"/>
      <c r="E38" s="160"/>
      <c r="F38" s="160"/>
      <c r="G38" s="160"/>
      <c r="H38" s="160"/>
      <c r="I38" s="33"/>
      <c r="J38" s="33"/>
      <c r="K38" s="33"/>
      <c r="L38" s="33"/>
    </row>
    <row r="39" spans="2:12">
      <c r="B39" s="26">
        <v>3</v>
      </c>
      <c r="C39" s="26"/>
      <c r="D39" s="171"/>
      <c r="E39" s="160"/>
      <c r="F39" s="160"/>
      <c r="G39" s="160"/>
      <c r="H39" s="160"/>
      <c r="I39" s="33"/>
      <c r="J39" s="33"/>
      <c r="K39" s="33"/>
      <c r="L39" s="33"/>
    </row>
    <row r="40" spans="2:12">
      <c r="B40" s="33"/>
      <c r="C40" s="33" t="s">
        <v>9</v>
      </c>
      <c r="D40" s="171"/>
      <c r="E40" s="160"/>
      <c r="F40" s="160"/>
      <c r="G40" s="160"/>
      <c r="H40" s="160"/>
      <c r="I40" s="33"/>
      <c r="J40" s="33"/>
      <c r="K40" s="33"/>
      <c r="L40" s="33"/>
    </row>
    <row r="41" spans="2:12">
      <c r="B41" s="33"/>
      <c r="C41" s="29" t="s">
        <v>139</v>
      </c>
      <c r="D41" s="171"/>
      <c r="E41" s="160"/>
      <c r="F41" s="139">
        <f>F40</f>
        <v>0</v>
      </c>
      <c r="G41" s="139">
        <f>G40</f>
        <v>0</v>
      </c>
      <c r="H41" s="139">
        <f>H40</f>
        <v>0</v>
      </c>
      <c r="I41" s="33"/>
      <c r="J41" s="33"/>
      <c r="K41" s="33"/>
      <c r="L41" s="33"/>
    </row>
    <row r="42" spans="2:12">
      <c r="B42" s="26"/>
      <c r="C42" s="37" t="s">
        <v>534</v>
      </c>
      <c r="D42" s="171" t="s">
        <v>535</v>
      </c>
      <c r="E42" s="160"/>
      <c r="F42" s="160"/>
      <c r="G42" s="160"/>
      <c r="H42" s="160"/>
      <c r="I42" s="33"/>
      <c r="J42" s="33"/>
      <c r="K42" s="33"/>
      <c r="L42" s="33"/>
    </row>
    <row r="43" spans="2:12">
      <c r="B43" s="26">
        <v>1</v>
      </c>
      <c r="C43" s="26"/>
      <c r="D43" s="171"/>
      <c r="E43" s="160"/>
      <c r="F43" s="160"/>
      <c r="G43" s="160"/>
      <c r="H43" s="160"/>
      <c r="I43" s="33"/>
      <c r="J43" s="33"/>
      <c r="K43" s="33"/>
      <c r="L43" s="33"/>
    </row>
    <row r="44" spans="2:12">
      <c r="B44" s="26">
        <v>2</v>
      </c>
      <c r="C44" s="26"/>
      <c r="D44" s="171"/>
      <c r="E44" s="160"/>
      <c r="F44" s="160"/>
      <c r="G44" s="160"/>
      <c r="H44" s="160"/>
      <c r="I44" s="33"/>
      <c r="J44" s="33"/>
      <c r="K44" s="33"/>
      <c r="L44" s="33"/>
    </row>
    <row r="45" spans="2:12">
      <c r="B45" s="26">
        <v>3</v>
      </c>
      <c r="C45" s="26"/>
      <c r="D45" s="171"/>
      <c r="E45" s="160"/>
      <c r="F45" s="160"/>
      <c r="G45" s="160"/>
      <c r="H45" s="160"/>
      <c r="I45" s="33"/>
      <c r="J45" s="33"/>
      <c r="K45" s="33"/>
      <c r="L45" s="33"/>
    </row>
    <row r="46" spans="2:12">
      <c r="B46" s="33"/>
      <c r="C46" s="33"/>
      <c r="D46" s="171"/>
      <c r="E46" s="160"/>
      <c r="F46" s="160"/>
      <c r="G46" s="160"/>
      <c r="H46" s="160"/>
      <c r="I46" s="33"/>
      <c r="J46" s="33"/>
      <c r="K46" s="33"/>
      <c r="L46" s="33"/>
    </row>
    <row r="47" spans="2:12">
      <c r="B47" s="33"/>
      <c r="C47" s="29" t="s">
        <v>139</v>
      </c>
      <c r="D47" s="139">
        <f>SUM(D43:D46)</f>
        <v>0</v>
      </c>
      <c r="E47" s="160"/>
      <c r="F47" s="139">
        <f>F46</f>
        <v>0</v>
      </c>
      <c r="G47" s="139">
        <f>G46</f>
        <v>0</v>
      </c>
      <c r="H47" s="139">
        <f>H46</f>
        <v>0</v>
      </c>
      <c r="I47" s="33"/>
      <c r="J47" s="33"/>
      <c r="K47" s="33"/>
      <c r="L47" s="33"/>
    </row>
    <row r="48" spans="2:12">
      <c r="B48" s="67" t="s">
        <v>280</v>
      </c>
      <c r="C48" s="56" t="s">
        <v>281</v>
      </c>
    </row>
  </sheetData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F21"/>
  <sheetViews>
    <sheetView showGridLines="0" view="pageBreakPreview" zoomScale="60" zoomScaleNormal="80" workbookViewId="0">
      <selection activeCell="B4" sqref="B4:F4"/>
    </sheetView>
  </sheetViews>
  <sheetFormatPr defaultColWidth="9.28515625" defaultRowHeight="14.25"/>
  <cols>
    <col min="1" max="1" width="1.5703125" style="109" customWidth="1"/>
    <col min="2" max="2" width="9.28515625" style="109"/>
    <col min="3" max="3" width="22.42578125" style="109" customWidth="1"/>
    <col min="4" max="4" width="12.42578125" style="109" customWidth="1"/>
    <col min="5" max="5" width="12.5703125" style="109" customWidth="1"/>
    <col min="6" max="6" width="16.28515625" style="109" customWidth="1"/>
    <col min="7" max="16384" width="9.28515625" style="109"/>
  </cols>
  <sheetData>
    <row r="2" spans="2:6" ht="14.25" customHeight="1">
      <c r="B2" s="337" t="s">
        <v>517</v>
      </c>
      <c r="C2" s="337"/>
      <c r="D2" s="337"/>
      <c r="E2" s="337"/>
      <c r="F2" s="337"/>
    </row>
    <row r="3" spans="2:6" ht="14.25" customHeight="1">
      <c r="B3" s="337" t="s">
        <v>501</v>
      </c>
      <c r="C3" s="337"/>
      <c r="D3" s="337"/>
      <c r="E3" s="337"/>
      <c r="F3" s="337"/>
    </row>
    <row r="4" spans="2:6" ht="14.25" customHeight="1">
      <c r="B4" s="335" t="s">
        <v>331</v>
      </c>
      <c r="C4" s="335"/>
      <c r="D4" s="335"/>
      <c r="E4" s="335"/>
      <c r="F4" s="335"/>
    </row>
    <row r="6" spans="2:6" ht="15" customHeight="1">
      <c r="B6" s="316" t="s">
        <v>210</v>
      </c>
      <c r="C6" s="331" t="s">
        <v>18</v>
      </c>
      <c r="D6" s="316" t="s">
        <v>478</v>
      </c>
      <c r="E6" s="286" t="s">
        <v>479</v>
      </c>
      <c r="F6" s="21" t="s">
        <v>252</v>
      </c>
    </row>
    <row r="7" spans="2:6" ht="15">
      <c r="B7" s="316"/>
      <c r="C7" s="331"/>
      <c r="D7" s="316"/>
      <c r="E7" s="21" t="s">
        <v>267</v>
      </c>
      <c r="F7" s="21" t="s">
        <v>480</v>
      </c>
    </row>
    <row r="8" spans="2:6" ht="15">
      <c r="B8" s="316"/>
      <c r="C8" s="331"/>
      <c r="D8" s="112" t="s">
        <v>3</v>
      </c>
      <c r="E8" s="21" t="s">
        <v>5</v>
      </c>
      <c r="F8" s="21" t="s">
        <v>8</v>
      </c>
    </row>
    <row r="9" spans="2:6" ht="15">
      <c r="B9" s="113">
        <v>1</v>
      </c>
      <c r="C9" s="34" t="s">
        <v>332</v>
      </c>
      <c r="D9" s="133">
        <f>F3.1!H11</f>
        <v>0</v>
      </c>
      <c r="E9" s="133">
        <f>F3.1!H17</f>
        <v>0.04</v>
      </c>
      <c r="F9" s="133">
        <f>F3.1!H23</f>
        <v>0</v>
      </c>
    </row>
    <row r="10" spans="2:6">
      <c r="B10" s="34"/>
      <c r="C10" s="34"/>
      <c r="D10" s="124"/>
      <c r="E10" s="124"/>
      <c r="F10" s="124"/>
    </row>
    <row r="11" spans="2:6" ht="15">
      <c r="B11" s="113">
        <v>2</v>
      </c>
      <c r="C11" s="114" t="s">
        <v>199</v>
      </c>
      <c r="D11" s="124"/>
      <c r="E11" s="124"/>
      <c r="F11" s="124"/>
    </row>
    <row r="12" spans="2:6">
      <c r="B12" s="34"/>
      <c r="C12" s="34" t="s">
        <v>209</v>
      </c>
      <c r="D12" s="124">
        <f>D9*0.7</f>
        <v>0</v>
      </c>
      <c r="E12" s="124">
        <f t="shared" ref="E12" si="0">E9*0.7</f>
        <v>2.7999999999999997E-2</v>
      </c>
      <c r="F12" s="124">
        <f>F9*0.7</f>
        <v>0</v>
      </c>
    </row>
    <row r="13" spans="2:6">
      <c r="B13" s="34"/>
      <c r="C13" s="34" t="s">
        <v>208</v>
      </c>
      <c r="D13" s="124"/>
      <c r="E13" s="124"/>
      <c r="F13" s="124"/>
    </row>
    <row r="14" spans="2:6">
      <c r="B14" s="34"/>
      <c r="C14" s="34" t="s">
        <v>9</v>
      </c>
      <c r="D14" s="124"/>
      <c r="E14" s="124"/>
      <c r="F14" s="124"/>
    </row>
    <row r="15" spans="2:6" ht="15">
      <c r="B15" s="34"/>
      <c r="C15" s="114" t="s">
        <v>197</v>
      </c>
      <c r="D15" s="133">
        <f>SUM(D12:D14)</f>
        <v>0</v>
      </c>
      <c r="E15" s="133">
        <f>SUM(E12:E14)</f>
        <v>2.7999999999999997E-2</v>
      </c>
      <c r="F15" s="133">
        <f t="shared" ref="F15" si="1">SUM(F12:F14)</f>
        <v>0</v>
      </c>
    </row>
    <row r="16" spans="2:6">
      <c r="B16" s="34"/>
      <c r="C16" s="34"/>
      <c r="D16" s="124"/>
      <c r="E16" s="124"/>
      <c r="F16" s="124"/>
    </row>
    <row r="17" spans="2:6">
      <c r="B17" s="113">
        <v>3</v>
      </c>
      <c r="C17" s="34" t="s">
        <v>0</v>
      </c>
      <c r="D17" s="124">
        <f>D9*0.3</f>
        <v>0</v>
      </c>
      <c r="E17" s="124">
        <f t="shared" ref="E17:F17" si="2">E9*0.3</f>
        <v>1.2E-2</v>
      </c>
      <c r="F17" s="124">
        <f t="shared" si="2"/>
        <v>0</v>
      </c>
    </row>
    <row r="18" spans="2:6">
      <c r="B18" s="113">
        <v>4</v>
      </c>
      <c r="C18" s="34" t="s">
        <v>200</v>
      </c>
      <c r="D18" s="124"/>
      <c r="E18" s="124"/>
      <c r="F18" s="124"/>
    </row>
    <row r="19" spans="2:6">
      <c r="B19" s="113">
        <v>5</v>
      </c>
      <c r="C19" s="34" t="s">
        <v>333</v>
      </c>
      <c r="D19" s="124"/>
      <c r="E19" s="124"/>
      <c r="F19" s="124"/>
    </row>
    <row r="20" spans="2:6" ht="15">
      <c r="B20" s="34"/>
      <c r="C20" s="34"/>
      <c r="D20" s="128"/>
      <c r="E20" s="128"/>
      <c r="F20" s="128"/>
    </row>
    <row r="21" spans="2:6" ht="15">
      <c r="B21" s="113">
        <v>6</v>
      </c>
      <c r="C21" s="114" t="s">
        <v>334</v>
      </c>
      <c r="D21" s="133">
        <f>D15+D17+D18+D19</f>
        <v>0</v>
      </c>
      <c r="E21" s="133">
        <f>E15+E17+E18+E19</f>
        <v>3.9999999999999994E-2</v>
      </c>
      <c r="F21" s="133">
        <f t="shared" ref="F21" si="3">F15+F17+F18+F19</f>
        <v>0</v>
      </c>
    </row>
  </sheetData>
  <mergeCells count="6">
    <mergeCell ref="D6:D7"/>
    <mergeCell ref="B6:B8"/>
    <mergeCell ref="C6:C8"/>
    <mergeCell ref="B2:F2"/>
    <mergeCell ref="B3:F3"/>
    <mergeCell ref="B4:F4"/>
  </mergeCells>
  <pageMargins left="0.42" right="0.7" top="0.75" bottom="0.75" header="0.36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</vt:i4>
      </vt:variant>
    </vt:vector>
  </HeadingPairs>
  <TitlesOfParts>
    <vt:vector size="24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F14</vt:lpstr>
      <vt:lpstr>F15</vt:lpstr>
      <vt:lpstr>Checklist!Print_Area</vt:lpstr>
      <vt:lpstr>'F4'!Print_Area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2024-09-22T12:16:26Z</cp:lastPrinted>
  <dcterms:created xsi:type="dcterms:W3CDTF">2004-07-28T05:30:50Z</dcterms:created>
  <dcterms:modified xsi:type="dcterms:W3CDTF">2024-09-22T12:16:30Z</dcterms:modified>
</cp:coreProperties>
</file>