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10140" yWindow="0" windowWidth="10455" windowHeight="10905" tabRatio="612" firstSheet="1" activeTab="9"/>
  </bookViews>
  <sheets>
    <sheet name="Title" sheetId="112" r:id="rId1"/>
    <sheet name="Checklist" sheetId="57" r:id="rId2"/>
    <sheet name="F1" sheetId="58" r:id="rId3"/>
    <sheet name="F2" sheetId="66" r:id="rId4"/>
    <sheet name="F2.1" sheetId="67" r:id="rId5"/>
    <sheet name="F2.2" sheetId="68" r:id="rId6"/>
    <sheet name="F2.3" sheetId="69" r:id="rId7"/>
    <sheet name="F3" sheetId="93" r:id="rId8"/>
    <sheet name="F3.1" sheetId="101" r:id="rId9"/>
    <sheet name="F3.2" sheetId="109" r:id="rId10"/>
    <sheet name="F4" sheetId="102" r:id="rId11"/>
    <sheet name="F5" sheetId="103" r:id="rId12"/>
    <sheet name="F6" sheetId="104" r:id="rId13"/>
    <sheet name="F7" sheetId="105" r:id="rId14"/>
    <sheet name="F8" sheetId="106" r:id="rId15"/>
    <sheet name="F9" sheetId="64" r:id="rId16"/>
    <sheet name="F13" sheetId="71" r:id="rId17"/>
    <sheet name="F14" sheetId="72" r:id="rId18"/>
    <sheet name="F15" sheetId="91" r:id="rId19"/>
  </sheets>
  <externalReferences>
    <externalReference r:id="rId20"/>
    <externalReference r:id="rId21"/>
    <externalReference r:id="rId22"/>
  </externalReferences>
  <definedNames>
    <definedName name="__123Graph_A" localSheetId="7" hidden="1">[1]CE!#REF!</definedName>
    <definedName name="__123Graph_A" localSheetId="8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localSheetId="14" hidden="1">[1]CE!#REF!</definedName>
    <definedName name="__123Graph_ASTNPLF" localSheetId="7" hidden="1">[1]CE!#REF!</definedName>
    <definedName name="__123Graph_ASTNPLF" localSheetId="8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localSheetId="14" hidden="1">[1]CE!#REF!</definedName>
    <definedName name="__123Graph_B" localSheetId="7" hidden="1">[1]CE!#REF!</definedName>
    <definedName name="__123Graph_B" localSheetId="8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localSheetId="14" hidden="1">[1]CE!#REF!</definedName>
    <definedName name="__123Graph_BSTNPLF" localSheetId="7" hidden="1">[1]CE!#REF!</definedName>
    <definedName name="__123Graph_BSTNPLF" localSheetId="8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localSheetId="14" hidden="1">[1]CE!#REF!</definedName>
    <definedName name="__123Graph_C" localSheetId="7" hidden="1">[1]CE!#REF!</definedName>
    <definedName name="__123Graph_C" localSheetId="8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localSheetId="14" hidden="1">[1]CE!#REF!</definedName>
    <definedName name="__123Graph_CSTNPLF" localSheetId="7" hidden="1">[1]CE!#REF!</definedName>
    <definedName name="__123Graph_CSTNPLF" localSheetId="8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localSheetId="14" hidden="1">[1]CE!#REF!</definedName>
    <definedName name="__123Graph_X" localSheetId="7" hidden="1">[1]CE!#REF!</definedName>
    <definedName name="__123Graph_X" localSheetId="8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localSheetId="14" hidden="1">[1]CE!#REF!</definedName>
    <definedName name="__123Graph_XSTNPLF" localSheetId="7" hidden="1">[1]CE!#REF!</definedName>
    <definedName name="__123Graph_XSTNPLF" localSheetId="8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localSheetId="14" hidden="1">[1]CE!#REF!</definedName>
    <definedName name="_Fill" localSheetId="7" hidden="1">#REF!</definedName>
    <definedName name="_Fill" localSheetId="8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Order1" hidden="1">255</definedName>
    <definedName name="new" localSheetId="7" hidden="1">[2]CE!#REF!</definedName>
    <definedName name="new" localSheetId="8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localSheetId="14" hidden="1">[2]CE!#REF!</definedName>
    <definedName name="_xlnm.Print_Area" localSheetId="1">Checklist!$A$1:$E$41</definedName>
    <definedName name="xxxx" localSheetId="7" hidden="1">[3]CE!#REF!</definedName>
    <definedName name="xxxx" localSheetId="8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localSheetId="14" hidden="1">[3]CE!#REF!</definedName>
  </definedNames>
  <calcPr calcId="125725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09"/>
  <c r="G24" i="101"/>
  <c r="E14" i="66"/>
  <c r="H50" i="101"/>
  <c r="G50"/>
  <c r="M11" i="93" s="1"/>
  <c r="F50" i="101"/>
  <c r="D50"/>
  <c r="H44"/>
  <c r="G44"/>
  <c r="L11" i="93" s="1"/>
  <c r="F44" i="101"/>
  <c r="H38"/>
  <c r="G38"/>
  <c r="K11" i="93" s="1"/>
  <c r="F38" i="101"/>
  <c r="H32"/>
  <c r="G32"/>
  <c r="J11" i="93" s="1"/>
  <c r="F32" i="101"/>
  <c r="H26"/>
  <c r="G26"/>
  <c r="F26"/>
  <c r="H18"/>
  <c r="G18"/>
  <c r="F18"/>
  <c r="H12"/>
  <c r="G12"/>
  <c r="F12"/>
  <c r="I11" i="105" l="1"/>
  <c r="I12" s="1"/>
  <c r="I12" i="93"/>
  <c r="J12"/>
  <c r="J11" i="105"/>
  <c r="J12" s="1"/>
  <c r="K12" i="93"/>
  <c r="K11" i="105"/>
  <c r="K12" s="1"/>
  <c r="L12" i="93"/>
  <c r="L11" i="105"/>
  <c r="L12" s="1"/>
  <c r="M11"/>
  <c r="M12" s="1"/>
  <c r="M12" i="93"/>
  <c r="D72" i="71"/>
  <c r="E72"/>
  <c r="F72"/>
  <c r="G72"/>
  <c r="H72"/>
  <c r="I72"/>
  <c r="J72"/>
  <c r="K72"/>
  <c r="L72"/>
  <c r="M72"/>
  <c r="N72"/>
  <c r="C72"/>
  <c r="D62"/>
  <c r="E62"/>
  <c r="F62"/>
  <c r="G62"/>
  <c r="H62"/>
  <c r="I62"/>
  <c r="J62"/>
  <c r="K62"/>
  <c r="L62"/>
  <c r="M62"/>
  <c r="N62"/>
  <c r="C62"/>
  <c r="D52"/>
  <c r="E52"/>
  <c r="F52"/>
  <c r="G52"/>
  <c r="H52"/>
  <c r="I52"/>
  <c r="J52"/>
  <c r="K52"/>
  <c r="L52"/>
  <c r="M52"/>
  <c r="N52"/>
  <c r="C52"/>
  <c r="D42"/>
  <c r="E42"/>
  <c r="F42"/>
  <c r="G42"/>
  <c r="H42"/>
  <c r="I42"/>
  <c r="J42"/>
  <c r="K42"/>
  <c r="L42"/>
  <c r="M42"/>
  <c r="N42"/>
  <c r="C42"/>
  <c r="D32"/>
  <c r="E32"/>
  <c r="F32"/>
  <c r="G32"/>
  <c r="H32"/>
  <c r="I32"/>
  <c r="J32"/>
  <c r="K32"/>
  <c r="L32"/>
  <c r="M32"/>
  <c r="N32"/>
  <c r="C32"/>
  <c r="D22"/>
  <c r="E22"/>
  <c r="F22"/>
  <c r="G22"/>
  <c r="H22"/>
  <c r="K22"/>
  <c r="C22"/>
  <c r="D12"/>
  <c r="E12"/>
  <c r="F12"/>
  <c r="G12"/>
  <c r="H12"/>
  <c r="I12"/>
  <c r="J12"/>
  <c r="K12"/>
  <c r="L12"/>
  <c r="M12"/>
  <c r="N12"/>
  <c r="C12"/>
  <c r="J9" i="109" l="1"/>
  <c r="O14" i="103"/>
  <c r="I9" i="109"/>
  <c r="N14" i="103"/>
  <c r="H9" i="109"/>
  <c r="M14" i="103"/>
  <c r="G9" i="109"/>
  <c r="G18" s="1"/>
  <c r="L14" i="103"/>
  <c r="F9" i="109"/>
  <c r="K14" i="103"/>
  <c r="I14" i="58"/>
  <c r="F14"/>
  <c r="N20" i="71"/>
  <c r="M20"/>
  <c r="L20"/>
  <c r="J20"/>
  <c r="I20"/>
  <c r="N18"/>
  <c r="M18"/>
  <c r="L18"/>
  <c r="J18"/>
  <c r="I18"/>
  <c r="J12" i="102"/>
  <c r="O70" i="71"/>
  <c r="O68"/>
  <c r="O60"/>
  <c r="O58"/>
  <c r="O50"/>
  <c r="O48"/>
  <c r="O40"/>
  <c r="O38"/>
  <c r="O30"/>
  <c r="O28"/>
  <c r="O10"/>
  <c r="O8"/>
  <c r="O62" l="1"/>
  <c r="O52"/>
  <c r="O72"/>
  <c r="J22"/>
  <c r="O32"/>
  <c r="O42"/>
  <c r="I22"/>
  <c r="M22"/>
  <c r="N22"/>
  <c r="L22"/>
  <c r="O12"/>
  <c r="O20"/>
  <c r="O18"/>
  <c r="O22" l="1"/>
  <c r="H14" i="66"/>
  <c r="I11" i="58" s="1"/>
  <c r="F12" i="102"/>
  <c r="F15" i="58" l="1"/>
  <c r="M19" i="104" l="1"/>
  <c r="L19"/>
  <c r="K19"/>
  <c r="J19"/>
  <c r="D10" i="103" l="1"/>
  <c r="E10" l="1"/>
  <c r="F10" s="1"/>
  <c r="H38" i="102"/>
  <c r="L38"/>
  <c r="F21" l="1"/>
  <c r="G13" i="93"/>
  <c r="D13"/>
  <c r="L21" i="102"/>
  <c r="J21"/>
  <c r="H21"/>
  <c r="N11"/>
  <c r="I11"/>
  <c r="N10"/>
  <c r="I10"/>
  <c r="N9"/>
  <c r="I9"/>
  <c r="N16"/>
  <c r="I16"/>
  <c r="K16" s="1"/>
  <c r="N15"/>
  <c r="I15"/>
  <c r="K15" s="1"/>
  <c r="N14"/>
  <c r="I14"/>
  <c r="K14" s="1"/>
  <c r="N13"/>
  <c r="I13"/>
  <c r="K13" s="1"/>
  <c r="E34" i="67"/>
  <c r="F34"/>
  <c r="G34"/>
  <c r="H34"/>
  <c r="D34"/>
  <c r="F26" i="102" l="1"/>
  <c r="I26" s="1"/>
  <c r="K9"/>
  <c r="F27"/>
  <c r="I27" s="1"/>
  <c r="K10"/>
  <c r="M10" s="1"/>
  <c r="J27" s="1"/>
  <c r="N27" s="1"/>
  <c r="F28"/>
  <c r="K11"/>
  <c r="M11" s="1"/>
  <c r="E11" i="103"/>
  <c r="F11" s="1"/>
  <c r="E10" i="105"/>
  <c r="F10" s="1"/>
  <c r="N21" i="102"/>
  <c r="D10" i="105"/>
  <c r="J28" i="102"/>
  <c r="M13"/>
  <c r="F30"/>
  <c r="M15"/>
  <c r="O15" s="1"/>
  <c r="F32"/>
  <c r="M14"/>
  <c r="F31"/>
  <c r="M16"/>
  <c r="F33"/>
  <c r="N28"/>
  <c r="I28"/>
  <c r="N12"/>
  <c r="I12"/>
  <c r="K12" s="1"/>
  <c r="O10"/>
  <c r="O11"/>
  <c r="Q15" i="91"/>
  <c r="Q14"/>
  <c r="K28" i="102" l="1"/>
  <c r="M28" s="1"/>
  <c r="O28" s="1"/>
  <c r="K27"/>
  <c r="M27" s="1"/>
  <c r="O27" s="1"/>
  <c r="M9"/>
  <c r="K26"/>
  <c r="J32"/>
  <c r="N32" s="1"/>
  <c r="J33"/>
  <c r="N33" s="1"/>
  <c r="J31"/>
  <c r="J30"/>
  <c r="N30" s="1"/>
  <c r="O16"/>
  <c r="O13"/>
  <c r="O14"/>
  <c r="I32"/>
  <c r="K32" s="1"/>
  <c r="M12"/>
  <c r="F29"/>
  <c r="I33"/>
  <c r="K33" s="1"/>
  <c r="I30"/>
  <c r="K30" s="1"/>
  <c r="I31"/>
  <c r="N31"/>
  <c r="P25" i="91"/>
  <c r="O25"/>
  <c r="N25"/>
  <c r="M25"/>
  <c r="L25"/>
  <c r="K25"/>
  <c r="J25"/>
  <c r="I25"/>
  <c r="H25"/>
  <c r="G25"/>
  <c r="F25"/>
  <c r="E25"/>
  <c r="Q21"/>
  <c r="Q25" s="1"/>
  <c r="Q30" s="1"/>
  <c r="Q19"/>
  <c r="K31" i="102" l="1"/>
  <c r="M31" s="1"/>
  <c r="O31" s="1"/>
  <c r="J26"/>
  <c r="O9"/>
  <c r="J29"/>
  <c r="N29" s="1"/>
  <c r="M30"/>
  <c r="M33"/>
  <c r="M32"/>
  <c r="O32" s="1"/>
  <c r="O30"/>
  <c r="O33"/>
  <c r="O12"/>
  <c r="I29"/>
  <c r="K29" s="1"/>
  <c r="G12" i="105"/>
  <c r="D12"/>
  <c r="N26" i="102" l="1"/>
  <c r="M26"/>
  <c r="O26" s="1"/>
  <c r="M29"/>
  <c r="O29" s="1"/>
  <c r="D38" i="68" l="1"/>
  <c r="D40" s="1"/>
  <c r="D18" i="69"/>
  <c r="D21" s="1"/>
  <c r="D15" i="109"/>
  <c r="D54" i="103"/>
  <c r="G15"/>
  <c r="D15"/>
  <c r="D14" i="105"/>
  <c r="N17" i="102"/>
  <c r="I17"/>
  <c r="D22" i="106"/>
  <c r="N18" i="72"/>
  <c r="J18"/>
  <c r="G18"/>
  <c r="C18"/>
  <c r="E30" i="91"/>
  <c r="E16"/>
  <c r="F34" i="102" l="1"/>
  <c r="K17"/>
  <c r="M17" l="1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E11" i="93"/>
  <c r="H11"/>
  <c r="J15" i="109"/>
  <c r="J21" s="1"/>
  <c r="I15"/>
  <c r="I21" s="1"/>
  <c r="H15"/>
  <c r="H21" s="1"/>
  <c r="G15"/>
  <c r="G21" s="1"/>
  <c r="F15"/>
  <c r="L61" i="103"/>
  <c r="K61"/>
  <c r="J61"/>
  <c r="I61"/>
  <c r="H61"/>
  <c r="G61"/>
  <c r="F61"/>
  <c r="E61"/>
  <c r="D61"/>
  <c r="L56"/>
  <c r="K56"/>
  <c r="J56"/>
  <c r="I56"/>
  <c r="H56"/>
  <c r="G56"/>
  <c r="F56"/>
  <c r="E56"/>
  <c r="D56"/>
  <c r="L55"/>
  <c r="K55"/>
  <c r="J55"/>
  <c r="I55"/>
  <c r="H55"/>
  <c r="G55"/>
  <c r="F55"/>
  <c r="E55"/>
  <c r="D55"/>
  <c r="L54"/>
  <c r="K54"/>
  <c r="J54"/>
  <c r="I54"/>
  <c r="H54"/>
  <c r="G54"/>
  <c r="F54"/>
  <c r="E54"/>
  <c r="L46"/>
  <c r="L47" s="1"/>
  <c r="L49" s="1"/>
  <c r="L51" s="1"/>
  <c r="K46"/>
  <c r="K47" s="1"/>
  <c r="K49" s="1"/>
  <c r="K51" s="1"/>
  <c r="J46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E46"/>
  <c r="E47" s="1"/>
  <c r="E49" s="1"/>
  <c r="E51" s="1"/>
  <c r="D46"/>
  <c r="L36"/>
  <c r="L37" s="1"/>
  <c r="L39" s="1"/>
  <c r="K36"/>
  <c r="K37" s="1"/>
  <c r="K39" s="1"/>
  <c r="J36"/>
  <c r="J37" s="1"/>
  <c r="J39" s="1"/>
  <c r="I36"/>
  <c r="I37" s="1"/>
  <c r="I39" s="1"/>
  <c r="H36"/>
  <c r="H37" s="1"/>
  <c r="H39" s="1"/>
  <c r="G36"/>
  <c r="G37" s="1"/>
  <c r="G39" s="1"/>
  <c r="F36"/>
  <c r="F37" s="1"/>
  <c r="F39" s="1"/>
  <c r="E36"/>
  <c r="E37" s="1"/>
  <c r="E39" s="1"/>
  <c r="D36"/>
  <c r="D37" s="1"/>
  <c r="D39" s="1"/>
  <c r="D41" s="1"/>
  <c r="F12"/>
  <c r="E12"/>
  <c r="D18" i="105"/>
  <c r="M18"/>
  <c r="L18"/>
  <c r="K18"/>
  <c r="J18"/>
  <c r="I18"/>
  <c r="H18"/>
  <c r="G18"/>
  <c r="F18"/>
  <c r="E18"/>
  <c r="L83" i="102"/>
  <c r="H83"/>
  <c r="L74"/>
  <c r="H74"/>
  <c r="L65"/>
  <c r="H65"/>
  <c r="L56"/>
  <c r="H56"/>
  <c r="L47"/>
  <c r="H47"/>
  <c r="N20"/>
  <c r="I20"/>
  <c r="N19"/>
  <c r="I19"/>
  <c r="K19" s="1"/>
  <c r="N18"/>
  <c r="I18"/>
  <c r="K18" s="1"/>
  <c r="K20" l="1"/>
  <c r="G56"/>
  <c r="G65"/>
  <c r="G74"/>
  <c r="G83"/>
  <c r="J34"/>
  <c r="O17"/>
  <c r="H12" i="93"/>
  <c r="F11"/>
  <c r="E14" i="103"/>
  <c r="H10" s="1"/>
  <c r="E12" i="93"/>
  <c r="D13" i="104"/>
  <c r="F11" i="58"/>
  <c r="G13" i="104"/>
  <c r="M18" i="102"/>
  <c r="I21"/>
  <c r="F35"/>
  <c r="L14" i="66"/>
  <c r="K13" i="104" s="1"/>
  <c r="I14" i="66"/>
  <c r="H13" i="104" s="1"/>
  <c r="D47" i="103"/>
  <c r="D49" s="1"/>
  <c r="J57"/>
  <c r="D9" i="109"/>
  <c r="D18" s="1"/>
  <c r="D21" s="1"/>
  <c r="E11" i="105"/>
  <c r="E12" s="1"/>
  <c r="F14" i="66"/>
  <c r="E57" i="103"/>
  <c r="I57"/>
  <c r="I58" s="1"/>
  <c r="F18" i="109"/>
  <c r="F21" s="1"/>
  <c r="D20" i="105"/>
  <c r="D21" s="1"/>
  <c r="E9" i="109"/>
  <c r="E18" s="1"/>
  <c r="H11" i="105"/>
  <c r="H12" s="1"/>
  <c r="M12" i="66"/>
  <c r="M14" s="1"/>
  <c r="G14"/>
  <c r="F13" i="104" s="1"/>
  <c r="J14" i="66"/>
  <c r="I13" i="104" s="1"/>
  <c r="N14" i="66"/>
  <c r="M13" i="104" s="1"/>
  <c r="K14" i="66"/>
  <c r="J13" i="104" s="1"/>
  <c r="K57" i="103"/>
  <c r="K58" s="1"/>
  <c r="F36" i="102"/>
  <c r="J58" i="103"/>
  <c r="M19" i="102"/>
  <c r="J36" s="1"/>
  <c r="G57" i="103"/>
  <c r="G58" s="1"/>
  <c r="F37" i="102"/>
  <c r="F57" i="103"/>
  <c r="F58" s="1"/>
  <c r="G20" i="69"/>
  <c r="J60" i="103"/>
  <c r="J59" s="1"/>
  <c r="J41"/>
  <c r="G41"/>
  <c r="G60"/>
  <c r="K41"/>
  <c r="K60"/>
  <c r="L60"/>
  <c r="L41"/>
  <c r="F60"/>
  <c r="F41"/>
  <c r="H60"/>
  <c r="H41"/>
  <c r="E41"/>
  <c r="E60"/>
  <c r="I41"/>
  <c r="I60"/>
  <c r="D57"/>
  <c r="D58" s="1"/>
  <c r="H57"/>
  <c r="H58" s="1"/>
  <c r="L57"/>
  <c r="L58" s="1"/>
  <c r="E58"/>
  <c r="F13" i="58"/>
  <c r="E20" i="105"/>
  <c r="F20"/>
  <c r="N34" i="102"/>
  <c r="I34"/>
  <c r="K34" s="1"/>
  <c r="I37" l="1"/>
  <c r="K37" s="1"/>
  <c r="K21"/>
  <c r="M21" s="1"/>
  <c r="J38" s="1"/>
  <c r="M20"/>
  <c r="J14" i="103"/>
  <c r="G38" i="102"/>
  <c r="G47"/>
  <c r="J11" i="58"/>
  <c r="H14" i="104" s="1"/>
  <c r="E21" i="109"/>
  <c r="I59" i="103"/>
  <c r="E13" i="104"/>
  <c r="G11" i="58"/>
  <c r="E14" i="104" s="1"/>
  <c r="F38" i="102"/>
  <c r="O21"/>
  <c r="D14" i="104"/>
  <c r="F12" i="93"/>
  <c r="G21" i="102" s="1"/>
  <c r="D14" i="103"/>
  <c r="E13" i="93"/>
  <c r="H10" s="1"/>
  <c r="H13" s="1"/>
  <c r="I10" s="1"/>
  <c r="H12" i="103"/>
  <c r="J35" i="102"/>
  <c r="N35" s="1"/>
  <c r="G14" i="104"/>
  <c r="O18" i="102"/>
  <c r="I35"/>
  <c r="K35" s="1"/>
  <c r="I36"/>
  <c r="N36"/>
  <c r="O19"/>
  <c r="D11" i="103"/>
  <c r="D12" s="1"/>
  <c r="M11" i="58"/>
  <c r="H11"/>
  <c r="F14" i="104" s="1"/>
  <c r="L13"/>
  <c r="N11" i="58"/>
  <c r="D51" i="103"/>
  <c r="D60"/>
  <c r="D59" s="1"/>
  <c r="F19" s="1"/>
  <c r="G19" s="1"/>
  <c r="H19" s="1"/>
  <c r="I19" s="1"/>
  <c r="J19" s="1"/>
  <c r="K19" s="1"/>
  <c r="L19" s="1"/>
  <c r="M19" s="1"/>
  <c r="N19" s="1"/>
  <c r="O19" s="1"/>
  <c r="H20" i="69"/>
  <c r="H21" s="1"/>
  <c r="F14" i="103"/>
  <c r="I10" s="1"/>
  <c r="H59"/>
  <c r="G59"/>
  <c r="E14" i="105"/>
  <c r="E21" s="1"/>
  <c r="E22" s="1"/>
  <c r="G15" i="58" s="1"/>
  <c r="F11" i="105"/>
  <c r="E59" i="103"/>
  <c r="L59"/>
  <c r="F59"/>
  <c r="K59"/>
  <c r="G21" i="69"/>
  <c r="L11" i="58"/>
  <c r="K11"/>
  <c r="M34" i="102"/>
  <c r="O11" i="58"/>
  <c r="F62" i="103"/>
  <c r="I62"/>
  <c r="H62"/>
  <c r="K62"/>
  <c r="G62"/>
  <c r="L62"/>
  <c r="E62"/>
  <c r="J62"/>
  <c r="I11" i="93" l="1"/>
  <c r="I13" s="1"/>
  <c r="J10" s="1"/>
  <c r="J13" s="1"/>
  <c r="K10" s="1"/>
  <c r="K13" s="1"/>
  <c r="L10" s="1"/>
  <c r="L13" s="1"/>
  <c r="M10" s="1"/>
  <c r="M13" s="1"/>
  <c r="F54" i="102"/>
  <c r="I54" s="1"/>
  <c r="F63" s="1"/>
  <c r="N63" s="1"/>
  <c r="K36"/>
  <c r="K38" s="1"/>
  <c r="M38" s="1"/>
  <c r="J37"/>
  <c r="N37" s="1"/>
  <c r="O20"/>
  <c r="F13" i="93"/>
  <c r="D16" i="103"/>
  <c r="D18" s="1"/>
  <c r="D20" s="1"/>
  <c r="F12" i="105"/>
  <c r="F14" s="1"/>
  <c r="H10" s="1"/>
  <c r="H20" i="103"/>
  <c r="H22" s="1"/>
  <c r="G10"/>
  <c r="D17"/>
  <c r="I38" i="102"/>
  <c r="N38"/>
  <c r="G10" i="105"/>
  <c r="M35" i="102"/>
  <c r="O35" s="1"/>
  <c r="I12" i="103"/>
  <c r="I20" s="1"/>
  <c r="I22" s="1"/>
  <c r="O34" i="102"/>
  <c r="M36"/>
  <c r="O36" s="1"/>
  <c r="D62" i="103"/>
  <c r="E21" i="102"/>
  <c r="H12" i="58"/>
  <c r="F53" i="102"/>
  <c r="M37"/>
  <c r="O37" s="1"/>
  <c r="F21" i="105" l="1"/>
  <c r="F22" s="1"/>
  <c r="H15" i="58" s="1"/>
  <c r="O38" i="102"/>
  <c r="N54"/>
  <c r="I63"/>
  <c r="F72" s="1"/>
  <c r="K54"/>
  <c r="M54" s="1"/>
  <c r="O54" s="1"/>
  <c r="F47"/>
  <c r="I47" s="1"/>
  <c r="F15" i="103"/>
  <c r="F16" s="1"/>
  <c r="F18" s="1"/>
  <c r="F20" s="1"/>
  <c r="F22" s="1"/>
  <c r="H13" i="58" s="1"/>
  <c r="G12"/>
  <c r="E15" i="103" s="1"/>
  <c r="G14" i="105"/>
  <c r="G20"/>
  <c r="J10" i="103"/>
  <c r="K10" s="1"/>
  <c r="L10" s="1"/>
  <c r="M10" s="1"/>
  <c r="N10" s="1"/>
  <c r="O10" s="1"/>
  <c r="G17"/>
  <c r="G11"/>
  <c r="G12" s="1"/>
  <c r="G16" s="1"/>
  <c r="G18" s="1"/>
  <c r="G20" s="1"/>
  <c r="I13" i="58" s="1"/>
  <c r="H20" i="105"/>
  <c r="H14"/>
  <c r="I10" s="1"/>
  <c r="K63" i="102"/>
  <c r="M63" s="1"/>
  <c r="O63" s="1"/>
  <c r="J12" i="58"/>
  <c r="F52" i="102"/>
  <c r="N53"/>
  <c r="I53"/>
  <c r="F62" s="1"/>
  <c r="G21" i="105" l="1"/>
  <c r="I15" i="58" s="1"/>
  <c r="N72" i="102"/>
  <c r="I72"/>
  <c r="F17" i="103"/>
  <c r="H21" i="105"/>
  <c r="H22" s="1"/>
  <c r="J15" i="58" s="1"/>
  <c r="E17" i="103"/>
  <c r="E16"/>
  <c r="E18" s="1"/>
  <c r="E20" s="1"/>
  <c r="E22" s="1"/>
  <c r="G13" i="58" s="1"/>
  <c r="F56" i="102"/>
  <c r="J47"/>
  <c r="K11" i="103" s="1"/>
  <c r="J15"/>
  <c r="J17" s="1"/>
  <c r="J11"/>
  <c r="J12" s="1"/>
  <c r="I20" i="105"/>
  <c r="I14"/>
  <c r="J10" s="1"/>
  <c r="E38" i="102"/>
  <c r="I14" i="104"/>
  <c r="I20" i="69"/>
  <c r="I21" s="1"/>
  <c r="K53" i="102"/>
  <c r="M53" s="1"/>
  <c r="O53" s="1"/>
  <c r="N62"/>
  <c r="I62"/>
  <c r="N52"/>
  <c r="I52"/>
  <c r="K52" s="1"/>
  <c r="F55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F81" i="102" l="1"/>
  <c r="K72"/>
  <c r="M72" s="1"/>
  <c r="O72" s="1"/>
  <c r="J16" i="103"/>
  <c r="J18" s="1"/>
  <c r="J20" s="1"/>
  <c r="J22" s="1"/>
  <c r="J13" i="58" s="1"/>
  <c r="M47" i="102"/>
  <c r="O47" s="1"/>
  <c r="N47"/>
  <c r="I56"/>
  <c r="J20" i="105"/>
  <c r="J14"/>
  <c r="K10" s="1"/>
  <c r="I21"/>
  <c r="I22" s="1"/>
  <c r="K15" i="58" s="1"/>
  <c r="J14" i="104"/>
  <c r="J20" i="69"/>
  <c r="J21" s="1"/>
  <c r="D17" i="104"/>
  <c r="M52" i="102"/>
  <c r="O52" s="1"/>
  <c r="K62"/>
  <c r="M62" s="1"/>
  <c r="O62" s="1"/>
  <c r="F71"/>
  <c r="N55"/>
  <c r="I55"/>
  <c r="F64" s="1"/>
  <c r="F61"/>
  <c r="N81" l="1"/>
  <c r="I81"/>
  <c r="K81" s="1"/>
  <c r="M81" s="1"/>
  <c r="O81" s="1"/>
  <c r="K12" i="103"/>
  <c r="J56" i="102"/>
  <c r="L11" i="103" s="1"/>
  <c r="F65" i="102"/>
  <c r="K20" i="105"/>
  <c r="K14"/>
  <c r="L10" s="1"/>
  <c r="J21"/>
  <c r="J22" s="1"/>
  <c r="L15" i="58" s="1"/>
  <c r="E47" i="102"/>
  <c r="K12" i="58"/>
  <c r="K15" i="103" s="1"/>
  <c r="K55" i="102"/>
  <c r="M55" s="1"/>
  <c r="O55" s="1"/>
  <c r="I61"/>
  <c r="N61"/>
  <c r="N64"/>
  <c r="I64"/>
  <c r="F73" s="1"/>
  <c r="I71"/>
  <c r="F80" s="1"/>
  <c r="N71"/>
  <c r="M56" l="1"/>
  <c r="N56"/>
  <c r="I65"/>
  <c r="K21" i="105"/>
  <c r="K22" s="1"/>
  <c r="M15" i="58" s="1"/>
  <c r="L14" i="105"/>
  <c r="M10" s="1"/>
  <c r="L20"/>
  <c r="K71" i="102"/>
  <c r="M71" s="1"/>
  <c r="O71" s="1"/>
  <c r="L12" i="58"/>
  <c r="L15" i="103" s="1"/>
  <c r="K16"/>
  <c r="K18" s="1"/>
  <c r="K20" s="1"/>
  <c r="K22" s="1"/>
  <c r="K13" i="58" s="1"/>
  <c r="K17" i="103"/>
  <c r="K14" i="104"/>
  <c r="K20" i="69"/>
  <c r="K21" s="1"/>
  <c r="E56" i="102"/>
  <c r="I73"/>
  <c r="N73"/>
  <c r="F70"/>
  <c r="N80"/>
  <c r="I80"/>
  <c r="K80" s="1"/>
  <c r="M80" s="1"/>
  <c r="O80" s="1"/>
  <c r="K64"/>
  <c r="M64" s="1"/>
  <c r="O64" s="1"/>
  <c r="K61"/>
  <c r="B20" i="58"/>
  <c r="B21" s="1"/>
  <c r="J65" i="102" l="1"/>
  <c r="M11" i="103" s="1"/>
  <c r="O56" i="102"/>
  <c r="L12" i="103"/>
  <c r="L16" s="1"/>
  <c r="L18" s="1"/>
  <c r="L20" s="1"/>
  <c r="L22" s="1"/>
  <c r="L13" i="58" s="1"/>
  <c r="F74" i="102"/>
  <c r="M14" i="105"/>
  <c r="M20"/>
  <c r="L21"/>
  <c r="L22" s="1"/>
  <c r="N15" i="58" s="1"/>
  <c r="L17" i="103"/>
  <c r="M61" i="102"/>
  <c r="F82"/>
  <c r="N70"/>
  <c r="I70"/>
  <c r="K70" s="1"/>
  <c r="K73"/>
  <c r="M73" s="1"/>
  <c r="O73" s="1"/>
  <c r="M21" i="105" l="1"/>
  <c r="M22" s="1"/>
  <c r="O15" i="58" s="1"/>
  <c r="M65" i="102"/>
  <c r="N65"/>
  <c r="I74"/>
  <c r="L14" i="104"/>
  <c r="L20" i="69"/>
  <c r="L21" s="1"/>
  <c r="E65" i="102"/>
  <c r="M12" i="58"/>
  <c r="M15" i="103" s="1"/>
  <c r="M70" i="102"/>
  <c r="F79"/>
  <c r="N82"/>
  <c r="I82"/>
  <c r="K82" s="1"/>
  <c r="M82" s="1"/>
  <c r="O61"/>
  <c r="J74" l="1"/>
  <c r="N11" i="103" s="1"/>
  <c r="M12"/>
  <c r="M16" s="1"/>
  <c r="M18" s="1"/>
  <c r="M20" s="1"/>
  <c r="M22" s="1"/>
  <c r="M13" i="58" s="1"/>
  <c r="O65" i="102"/>
  <c r="F83"/>
  <c r="M17" i="103"/>
  <c r="N12" i="58"/>
  <c r="N15" i="103" s="1"/>
  <c r="E74" i="102"/>
  <c r="O82"/>
  <c r="N79"/>
  <c r="I79"/>
  <c r="O70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M74" i="102" l="1"/>
  <c r="N74"/>
  <c r="I83"/>
  <c r="N17" i="103"/>
  <c r="M14" i="104"/>
  <c r="M20" i="69"/>
  <c r="M21" s="1"/>
  <c r="K79" i="102"/>
  <c r="B21" i="105"/>
  <c r="B22" s="1"/>
  <c r="B12" i="58"/>
  <c r="B13" s="1"/>
  <c r="B14" s="1"/>
  <c r="B15" s="1"/>
  <c r="B16" s="1"/>
  <c r="B17" s="1"/>
  <c r="J83" i="102" l="1"/>
  <c r="O11" i="103" s="1"/>
  <c r="N12"/>
  <c r="N16" s="1"/>
  <c r="N18" s="1"/>
  <c r="N20" s="1"/>
  <c r="N22" s="1"/>
  <c r="N13" i="58" s="1"/>
  <c r="O74" i="102"/>
  <c r="M79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M83" i="102" l="1"/>
  <c r="N83"/>
  <c r="E83"/>
  <c r="O12" i="58"/>
  <c r="O15" i="103" s="1"/>
  <c r="O79" i="102"/>
  <c r="B9" i="57"/>
  <c r="B10" s="1"/>
  <c r="B11" s="1"/>
  <c r="B12" s="1"/>
  <c r="O12" i="103" l="1"/>
  <c r="O16" s="1"/>
  <c r="O18" s="1"/>
  <c r="O20" s="1"/>
  <c r="O22" s="1"/>
  <c r="O13" i="58" s="1"/>
  <c r="O83" i="102"/>
  <c r="O17" i="103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7" i="58" l="1"/>
  <c r="F17"/>
  <c r="I22" l="1"/>
  <c r="G15" i="104" s="1"/>
  <c r="G18" s="1"/>
  <c r="I23" i="58"/>
  <c r="F22"/>
  <c r="D15" i="104" s="1"/>
  <c r="D18" s="1"/>
  <c r="F23" i="58"/>
  <c r="G14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<sst xmlns="http://schemas.openxmlformats.org/spreadsheetml/2006/main" count="1162" uniqueCount="426">
  <si>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</si>
  <si>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</si>
  <si>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</si>
  <si>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</si>
  <si>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</si>
  <si>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</si>
  <si>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</si>
  <si>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</si>
  <si>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</si>
  <si>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</si>
  <si>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</si>
  <si>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</si>
  <si>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</si>
  <si>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</si>
  <si>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</si>
  <si>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</si>
  <si>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</si>
  <si>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</si>
  <si>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</si>
  <si>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</si>
  <si>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</si>
  <si>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</si>
  <si>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</si>
  <si>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</si>
  <si>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</si>
  <si>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</si>
  <si>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</si>
  <si>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</si>
  <si>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</si>
  <si>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</si>
  <si>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</si>
  <si>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</si>
  <si>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</si>
  <si>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</si>
  <si>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</si>
  <si>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</si>
  <si>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</si>
  <si>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</si>
  <si>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</si>
  <si>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</si>
  <si>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</si>
  <si>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</si>
  <si>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</si>
  <si>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</si>
  <si>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</si>
  <si>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</si>
  <si>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</si>
  <si>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</si>
  <si>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</si>
  <si>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</si>
  <si>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</si>
  <si>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</si>
  <si>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</si>
  <si>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</si>
  <si>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</si>
  <si>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</si>
  <si>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</si>
  <si>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</si>
  <si>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</si>
  <si>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</si>
  <si>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</si>
  <si>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</si>
  <si>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</si>
  <si>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</si>
  <si>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</si>
  <si>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</si>
  <si>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</si>
  <si>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</si>
  <si>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</si>
  <si>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</si>
  <si>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</si>
  <si>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</si>
  <si>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</si>
  <si>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</si>
  <si>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</si>
  <si>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</si>
  <si>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</si>
  <si>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</si>
  <si>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</si>
  <si>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</si>
  <si>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</si>
  <si>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</si>
  <si>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</si>
  <si>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</si>
  <si>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</si>
  <si>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</si>
  <si>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</si>
  <si>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</si>
  <si>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</si>
  <si>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</si>
  <si>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</si>
  <si>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</si>
  <si>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</si>
  <si>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</si>
  <si>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</si>
  <si>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</si>
  <si>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</si>
  <si>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</si>
  <si>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</si>
  <si>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</si>
  <si>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</si>
  <si>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</si>
  <si>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</si>
  <si>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</si>
  <si>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</si>
  <si>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</si>
  <si>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</si>
  <si>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</si>
  <si>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</si>
  <si>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</si>
  <si>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</si>
  <si>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</si>
  <si>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</si>
  <si>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</si>
  <si>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</si>
  <si>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</si>
  <si>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</si>
  <si>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</si>
  <si>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</si>
  <si>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</si>
  <si>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</si>
  <si>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</si>
  <si>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</si>
  <si>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</si>
  <si>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</si>
  <si>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</si>
  <si>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</si>
  <si>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</si>
  <si>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</si>
  <si>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</si>
  <si>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</si>
  <si>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</si>
  <si>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</si>
  <si>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</si>
  <si>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</si>
  <si>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</si>
  <si>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</si>
  <si>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</si>
  <si>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</si>
  <si>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</si>
  <si>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</si>
  <si>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</si>
  <si>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</si>
  <si>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</si>
  <si>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</si>
  <si>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</si>
  <si>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</si>
  <si>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</si>
  <si>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</si>
  <si>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</si>
  <si>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</si>
  <si>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</si>
  <si>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</si>
  <si>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</si>
  <si>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</si>
  <si>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</si>
  <si>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</si>
  <si>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</si>
  <si>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</si>
  <si>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</si>
  <si>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</si>
  <si>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</si>
  <si>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</si>
  <si>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</si>
  <si>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</si>
  <si>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</si>
  <si>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</si>
  <si>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</si>
  <si>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</si>
  <si>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</si>
  <si>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</si>
  <si>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</si>
  <si>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</si>
  <si>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</si>
  <si>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</si>
  <si>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</si>
  <si>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</si>
  <si>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</si>
  <si>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</si>
  <si>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</si>
  <si>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</si>
  <si>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</si>
  <si>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</si>
  <si>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</si>
  <si>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</si>
  <si>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</si>
  <si>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</si>
  <si>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</si>
  <si>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</si>
  <si>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</si>
  <si>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</si>
  <si>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</si>
  <si>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</si>
  <si>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</si>
  <si>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</si>
  <si>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</si>
  <si>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</si>
  <si>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</si>
  <si>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</si>
  <si>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</si>
  <si>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</si>
  <si>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</si>
  <si>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</si>
  <si>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</si>
  <si>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</si>
  <si>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</si>
  <si>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</si>
  <si>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</si>
  <si>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</si>
  <si>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</si>
  <si>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</si>
  <si>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</si>
  <si>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</si>
  <si>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</si>
  <si>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</si>
  <si>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</si>
  <si>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</si>
  <si>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</si>
  <si>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</si>
  <si>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</si>
  <si>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</si>
  <si>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</si>
  <si>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</si>
  <si>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</si>
  <si>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</si>
  <si>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</si>
  <si>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</si>
  <si>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</si>
  <si>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</si>
  <si>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</si>
  <si>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</si>
  <si>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</si>
  <si>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</si>
  <si>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</si>
  <si>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</si>
  <si>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</si>
  <si>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</si>
  <si>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</si>
  <si>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</si>
  <si>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</si>
  <si>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</si>
  <si>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</si>
  <si>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</si>
  <si>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</si>
  <si>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</si>
  <si>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</si>
  <si>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</si>
  <si>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</si>
  <si>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</si>
  <si>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</si>
  <si>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</si>
  <si>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</si>
  <si>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</si>
  <si>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</si>
  <si>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</si>
  <si>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</si>
  <si>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</si>
  <si>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</si>
  <si>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</si>
  <si>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</si>
  <si>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</si>
  <si>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</si>
  <si>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</si>
  <si>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</si>
  <si>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</si>
  <si>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</si>
  <si>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</si>
  <si>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</si>
  <si>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</si>
  <si>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</si>
  <si>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</si>
  <si>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</si>
  <si>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</si>
  <si>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</si>
  <si>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</si>
  <si>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</si>
  <si>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</si>
  <si>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</si>
  <si>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</si>
  <si>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</si>
  <si>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</si>
  <si>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</si>
  <si>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</si>
  <si>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</si>
  <si>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</si>
  <si>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</si>
  <si>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</si>
  <si>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</si>
  <si>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</si>
  <si>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</si>
  <si>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</si>
  <si>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</si>
  <si>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</si>
  <si>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</si>
  <si>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</si>
  <si>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</si>
  <si>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</si>
  <si>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</si>
  <si>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</si>
  <si>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</si>
  <si>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</si>
  <si>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</si>
  <si>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</si>
  <si>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</si>
  <si>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</si>
  <si>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</si>
  <si>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</si>
  <si>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</si>
  <si>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</si>
  <si>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</si>
  <si>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</si>
  <si>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</si>
  <si>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</si>
  <si>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</si>
  <si>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</si>
  <si>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</si>
  <si>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</si>
  <si>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</si>
  <si>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</si>
  <si>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</si>
  <si>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</si>
  <si>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</si>
  <si>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</si>
  <si>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</si>
  <si>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</si>
  <si>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</si>
  <si>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</si>
  <si>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</si>
  <si>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</si>
  <si>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>Appendix 1: Tariff Filing Forms (Generation)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</si>
  <si>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</si>
  <si>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</si>
  <si>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</si>
  <si>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</si>
  <si>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</si>
  <si>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</si>
  <si>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</si>
  <si>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</si>
  <si>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</si>
  <si>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</si>
  <si>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</si>
  <si>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</si>
  <si>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</si>
  <si>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</si>
  <si>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</si>
  <si>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</si>
  <si>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</si>
  <si>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</si>
  <si>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</si>
  <si>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</si>
  <si>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</si>
  <si>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</si>
  <si>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</si>
  <si>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</si>
  <si>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</si>
  <si>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</si>
  <si>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</si>
  <si>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</si>
  <si>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</si>
  <si>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</si>
  <si>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</si>
  <si>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</si>
  <si>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</si>
  <si>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</si>
  <si>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</si>
  <si>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</si>
  <si>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</si>
  <si>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</si>
  <si>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</si>
  <si>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</si>
  <si>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</si>
  <si>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</si>
  <si>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TSSPDCL (70.55%)</t>
  </si>
  <si>
    <t>TSNPDCL (29.45%)</t>
  </si>
  <si>
    <t>2022-2023</t>
  </si>
  <si>
    <t>2023-2024</t>
  </si>
  <si>
    <t>2024-2025</t>
  </si>
  <si>
    <t>2025-2026</t>
  </si>
  <si>
    <t>2026-2027</t>
  </si>
  <si>
    <t>2027-2028</t>
  </si>
  <si>
    <t>2028-2029</t>
  </si>
  <si>
    <t>&lt;Pulichintala HES&gt;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</si>
  <si>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</si>
  <si>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</si>
  <si>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</si>
  <si>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</si>
  <si>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</si>
  <si>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</si>
  <si>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</si>
  <si>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FY 2019-20</t>
  </si>
  <si>
    <t>FY 2020-21</t>
  </si>
  <si>
    <t>FY 2021-22</t>
  </si>
  <si>
    <t>Current Year 'n' (FY 2023-24)</t>
  </si>
  <si>
    <t>Year (n+1)  (FY 2024-25)</t>
  </si>
  <si>
    <t>Year (n+2) (FY 2025-26)</t>
  </si>
  <si>
    <t>Year (n+3) (FY 2026-27)</t>
  </si>
  <si>
    <t>Year (n+4) (FY 2027-28)</t>
  </si>
  <si>
    <t>Year (n+5) (FY 2028-29)</t>
  </si>
  <si>
    <t>Previous Year (n-1) (FY 2022-23)</t>
  </si>
  <si>
    <t>FY  2022-23</t>
  </si>
  <si>
    <t>Land &amp; Land Rights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</si>
  <si>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</si>
  <si>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</si>
  <si>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</si>
  <si>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</si>
  <si>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</si>
  <si>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</si>
  <si>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COMPUTERS</t>
  </si>
  <si>
    <t>OFFICE EQUIPMENT</t>
  </si>
  <si>
    <t>CWIP PLANT AND MACHINERY</t>
  </si>
  <si>
    <t>Lines &amp; Cable Network</t>
  </si>
  <si>
    <t>&lt;TGGENCO&gt;</t>
  </si>
  <si>
    <t>IT Initiatives</t>
  </si>
  <si>
    <t>Provisional</t>
  </si>
  <si>
    <t>Approved in BP &amp;CIP 2024-29 (Procurement of 01 set of Runner blades)</t>
  </si>
  <si>
    <t>Extension of retaining wall &amp; Construction of Quarters (the details are enclosed as Annexure)</t>
  </si>
  <si>
    <t>TGGENCO</t>
  </si>
  <si>
    <t>Pulichinthala HES</t>
  </si>
  <si>
    <t>Form 2.3: Repair &amp; Maintenance Expenses</t>
  </si>
  <si>
    <t>Form 3:  Summary of Capital Expenditure and Capitalisation</t>
  </si>
  <si>
    <t>Form 1: Summary Sheet</t>
  </si>
  <si>
    <t>Form 2.1 Employee Expenses</t>
  </si>
  <si>
    <t>Form 2.2  Administration &amp; General Expenses</t>
  </si>
  <si>
    <t>Form 6 : Interest on working capital</t>
  </si>
  <si>
    <t>Form 7: Return on Equity</t>
  </si>
  <si>
    <t>Form 8: Non-Tariff Income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</si>
</sst>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"/>
    <numFmt numFmtId="171" formatCode="0.00000000"/>
  </numFmts>
  <fonts count="2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indexed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8" fillId="0" borderId="0" applyNumberFormat="0" applyFill="0" applyBorder="0" applyAlignment="0" applyProtection="0"/>
    <xf numFmtId="0" fontId="9" fillId="0" borderId="1"/>
    <xf numFmtId="0" fontId="9" fillId="0" borderId="1"/>
    <xf numFmtId="38" fontId="10" fillId="2" borderId="0" applyNumberFormat="0" applyBorder="0" applyAlignment="0" applyProtection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10" fontId="10" fillId="3" borderId="4" applyNumberFormat="0" applyBorder="0" applyAlignment="0" applyProtection="0"/>
    <xf numFmtId="37" fontId="12" fillId="0" borderId="0"/>
    <xf numFmtId="166" fontId="13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>
      <alignment vertical="center"/>
    </xf>
    <xf numFmtId="167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0" fontId="7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/>
    <xf numFmtId="0" fontId="16" fillId="0" borderId="0"/>
    <xf numFmtId="0" fontId="16" fillId="0" borderId="0"/>
    <xf numFmtId="0" fontId="15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7" fillId="0" borderId="0"/>
    <xf numFmtId="0" fontId="5" fillId="0" borderId="0"/>
    <xf numFmtId="0" fontId="7" fillId="0" borderId="0" applyBorder="0" applyProtection="0"/>
    <xf numFmtId="167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43" fontId="25" fillId="0" borderId="0" applyFont="0" applyFill="0" applyBorder="0" applyAlignment="0" applyProtection="0"/>
  </cellStyleXfs>
  <cellXfs count="270">
    <xf numFmtId="0" fontId="0" fillId="0" borderId="0" xfId="0"/>
    <xf numFmtId="0" fontId="6" fillId="0" borderId="0" xfId="10" applyFont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4" fillId="0" borderId="4" xfId="14" applyFont="1" applyBorder="1">
      <alignment vertical="center"/>
    </xf>
    <xf numFmtId="0" fontId="14" fillId="0" borderId="0" xfId="10" applyFont="1"/>
    <xf numFmtId="0" fontId="14" fillId="0" borderId="0" xfId="10" applyFont="1" applyAlignment="1">
      <alignment vertical="center"/>
    </xf>
    <xf numFmtId="0" fontId="6" fillId="0" borderId="0" xfId="14" applyFont="1">
      <alignment vertical="center"/>
    </xf>
    <xf numFmtId="0" fontId="11" fillId="0" borderId="0" xfId="14" applyFont="1" applyAlignment="1">
      <alignment horizontal="right" vertical="center"/>
    </xf>
    <xf numFmtId="0" fontId="6" fillId="0" borderId="4" xfId="14" applyFont="1" applyBorder="1" applyAlignment="1">
      <alignment horizontal="center" vertical="center"/>
    </xf>
    <xf numFmtId="0" fontId="6" fillId="0" borderId="4" xfId="14" applyFont="1" applyBorder="1">
      <alignment vertical="center"/>
    </xf>
    <xf numFmtId="0" fontId="6" fillId="0" borderId="4" xfId="14" applyFont="1" applyBorder="1" applyAlignment="1">
      <alignment horizontal="left" vertical="center"/>
    </xf>
    <xf numFmtId="0" fontId="6" fillId="0" borderId="4" xfId="14" applyFont="1" applyBorder="1" applyAlignment="1">
      <alignment vertical="top" wrapText="1"/>
    </xf>
    <xf numFmtId="0" fontId="6" fillId="6" borderId="4" xfId="14" applyFont="1" applyFill="1" applyBorder="1" applyAlignment="1">
      <alignment horizontal="center" vertical="center"/>
    </xf>
    <xf numFmtId="0" fontId="11" fillId="6" borderId="4" xfId="14" applyFont="1" applyFill="1" applyBorder="1">
      <alignment vertical="center"/>
    </xf>
    <xf numFmtId="0" fontId="6" fillId="6" borderId="4" xfId="14" applyFont="1" applyFill="1" applyBorder="1" applyAlignment="1">
      <alignment horizontal="left" vertical="center"/>
    </xf>
    <xf numFmtId="0" fontId="6" fillId="0" borderId="0" xfId="10" applyFont="1"/>
    <xf numFmtId="0" fontId="6" fillId="5" borderId="0" xfId="14" applyFont="1" applyFill="1">
      <alignment vertical="center"/>
    </xf>
    <xf numFmtId="0" fontId="11" fillId="0" borderId="8" xfId="14" applyFont="1" applyBorder="1" applyAlignment="1">
      <alignment horizontal="center" vertical="center"/>
    </xf>
    <xf numFmtId="0" fontId="11" fillId="0" borderId="4" xfId="14" applyFont="1" applyBorder="1" applyAlignment="1">
      <alignment horizontal="center" vertical="center"/>
    </xf>
    <xf numFmtId="0" fontId="14" fillId="0" borderId="0" xfId="14" applyFont="1">
      <alignment vertical="center"/>
    </xf>
    <xf numFmtId="0" fontId="19" fillId="0" borderId="4" xfId="14" applyFont="1" applyBorder="1" applyAlignment="1">
      <alignment horizontal="center" vertical="center"/>
    </xf>
    <xf numFmtId="0" fontId="19" fillId="0" borderId="4" xfId="14" applyFont="1" applyBorder="1" applyAlignment="1">
      <alignment horizontal="center" vertical="center" wrapText="1"/>
    </xf>
    <xf numFmtId="0" fontId="19" fillId="0" borderId="4" xfId="14" applyFont="1" applyBorder="1">
      <alignment vertical="center"/>
    </xf>
    <xf numFmtId="0" fontId="14" fillId="0" borderId="4" xfId="10" applyFont="1" applyBorder="1" applyAlignment="1">
      <alignment horizontal="center" vertical="center"/>
    </xf>
    <xf numFmtId="0" fontId="14" fillId="0" borderId="4" xfId="10" applyFont="1" applyBorder="1" applyAlignment="1">
      <alignment horizontal="center" vertical="center" wrapText="1"/>
    </xf>
    <xf numFmtId="0" fontId="19" fillId="0" borderId="4" xfId="10" applyFont="1" applyBorder="1" applyAlignment="1">
      <alignment horizontal="center" vertical="center"/>
    </xf>
    <xf numFmtId="0" fontId="19" fillId="0" borderId="0" xfId="10" applyFont="1" applyAlignment="1">
      <alignment horizontal="left" vertical="center"/>
    </xf>
    <xf numFmtId="0" fontId="19" fillId="0" borderId="0" xfId="10" applyFont="1" applyAlignment="1">
      <alignment horizontal="right" vertical="center"/>
    </xf>
    <xf numFmtId="0" fontId="19" fillId="0" borderId="0" xfId="14" applyFont="1" applyAlignment="1">
      <alignment horizontal="right" vertical="center"/>
    </xf>
    <xf numFmtId="0" fontId="14" fillId="0" borderId="4" xfId="1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" xfId="10" applyFont="1" applyBorder="1" applyAlignment="1">
      <alignment horizontal="left" vertical="center"/>
    </xf>
    <xf numFmtId="0" fontId="19" fillId="0" borderId="4" xfId="10" applyFont="1" applyBorder="1" applyAlignment="1">
      <alignment horizontal="left" vertical="center" wrapText="1"/>
    </xf>
    <xf numFmtId="0" fontId="19" fillId="0" borderId="4" xfId="10" applyFont="1" applyBorder="1" applyAlignment="1">
      <alignment horizontal="center" vertical="center" wrapText="1"/>
    </xf>
    <xf numFmtId="0" fontId="19" fillId="0" borderId="4" xfId="10" applyFont="1" applyBorder="1" applyAlignment="1">
      <alignment horizontal="left" vertical="center"/>
    </xf>
    <xf numFmtId="0" fontId="19" fillId="0" borderId="0" xfId="10" applyFont="1" applyAlignment="1">
      <alignment vertical="center"/>
    </xf>
    <xf numFmtId="0" fontId="19" fillId="0" borderId="0" xfId="14" applyFont="1" applyAlignment="1">
      <alignment horizontal="center" vertical="center"/>
    </xf>
    <xf numFmtId="0" fontId="14" fillId="0" borderId="0" xfId="10" applyFont="1" applyAlignment="1">
      <alignment horizontal="center" vertical="center"/>
    </xf>
    <xf numFmtId="0" fontId="19" fillId="0" borderId="0" xfId="10" applyFont="1" applyAlignment="1">
      <alignment horizontal="center" vertical="center"/>
    </xf>
    <xf numFmtId="0" fontId="19" fillId="0" borderId="0" xfId="14" applyFont="1">
      <alignment vertical="center"/>
    </xf>
    <xf numFmtId="0" fontId="14" fillId="0" borderId="4" xfId="10" applyFont="1" applyBorder="1" applyAlignment="1">
      <alignment horizontal="left" vertical="center" wrapText="1"/>
    </xf>
    <xf numFmtId="0" fontId="19" fillId="0" borderId="4" xfId="10" applyFont="1" applyBorder="1" applyAlignment="1">
      <alignment vertical="center"/>
    </xf>
    <xf numFmtId="0" fontId="14" fillId="0" borderId="4" xfId="10" applyFont="1" applyBorder="1" applyAlignment="1">
      <alignment horizontal="right" vertical="center"/>
    </xf>
    <xf numFmtId="0" fontId="19" fillId="0" borderId="0" xfId="10" applyFont="1" applyAlignment="1">
      <alignment horizontal="centerContinuous"/>
    </xf>
    <xf numFmtId="0" fontId="14" fillId="0" borderId="0" xfId="10" applyFont="1" applyAlignment="1">
      <alignment horizontal="centerContinuous"/>
    </xf>
    <xf numFmtId="0" fontId="14" fillId="0" borderId="4" xfId="10" applyFont="1" applyBorder="1"/>
    <xf numFmtId="0" fontId="19" fillId="0" borderId="4" xfId="10" applyFont="1" applyBorder="1"/>
    <xf numFmtId="0" fontId="19" fillId="0" borderId="0" xfId="10" applyFont="1" applyAlignment="1">
      <alignment horizontal="justify" vertical="top" wrapText="1"/>
    </xf>
    <xf numFmtId="0" fontId="14" fillId="0" borderId="0" xfId="10" applyFont="1" applyAlignment="1">
      <alignment horizontal="left"/>
    </xf>
    <xf numFmtId="0" fontId="14" fillId="0" borderId="4" xfId="10" applyFont="1" applyBorder="1" applyAlignment="1">
      <alignment wrapText="1"/>
    </xf>
    <xf numFmtId="0" fontId="14" fillId="0" borderId="0" xfId="10" applyFont="1" applyAlignment="1">
      <alignment horizontal="left" vertical="center"/>
    </xf>
    <xf numFmtId="0" fontId="14" fillId="0" borderId="0" xfId="10" applyFont="1" applyAlignment="1">
      <alignment horizontal="right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0" applyFont="1" applyAlignment="1">
      <alignment horizontal="center" vertical="center"/>
    </xf>
    <xf numFmtId="0" fontId="14" fillId="0" borderId="4" xfId="10" quotePrefix="1" applyFont="1" applyBorder="1" applyAlignment="1">
      <alignment horizontal="left" vertical="top" wrapText="1"/>
    </xf>
    <xf numFmtId="0" fontId="14" fillId="0" borderId="4" xfId="10" applyFont="1" applyBorder="1" applyAlignment="1">
      <alignment horizontal="left"/>
    </xf>
    <xf numFmtId="0" fontId="19" fillId="0" borderId="4" xfId="10" applyFont="1" applyBorder="1" applyAlignment="1">
      <alignment horizontal="left"/>
    </xf>
    <xf numFmtId="0" fontId="14" fillId="0" borderId="0" xfId="14" applyFont="1" applyAlignment="1">
      <alignment horizontal="center" vertical="center"/>
    </xf>
    <xf numFmtId="0" fontId="14" fillId="0" borderId="4" xfId="10" applyFont="1" applyBorder="1" applyAlignment="1">
      <alignment horizontal="left" vertical="top" wrapText="1"/>
    </xf>
    <xf numFmtId="0" fontId="19" fillId="0" borderId="0" xfId="10" applyFont="1" applyAlignment="1">
      <alignment horizontal="left"/>
    </xf>
    <xf numFmtId="0" fontId="19" fillId="0" borderId="0" xfId="10" applyFont="1" applyAlignment="1">
      <alignment horizontal="right"/>
    </xf>
    <xf numFmtId="0" fontId="19" fillId="0" borderId="0" xfId="10" applyFont="1" applyAlignment="1">
      <alignment horizontal="left" vertical="center" wrapText="1"/>
    </xf>
    <xf numFmtId="0" fontId="19" fillId="0" borderId="0" xfId="10" applyFont="1" applyAlignment="1">
      <alignment horizontal="center" vertical="center" wrapText="1"/>
    </xf>
    <xf numFmtId="0" fontId="14" fillId="0" borderId="7" xfId="10" applyFont="1" applyBorder="1" applyAlignment="1">
      <alignment horizontal="center" vertical="center"/>
    </xf>
    <xf numFmtId="0" fontId="20" fillId="0" borderId="0" xfId="10" applyFont="1" applyAlignment="1">
      <alignment horizontal="right" vertical="center"/>
    </xf>
    <xf numFmtId="0" fontId="14" fillId="0" borderId="0" xfId="10" applyFont="1" applyAlignment="1">
      <alignment horizontal="center"/>
    </xf>
    <xf numFmtId="0" fontId="14" fillId="4" borderId="15" xfId="68" applyFont="1" applyFill="1" applyBorder="1" applyAlignment="1">
      <alignment horizontal="center" vertical="center"/>
    </xf>
    <xf numFmtId="0" fontId="19" fillId="4" borderId="13" xfId="68" applyFont="1" applyFill="1" applyBorder="1" applyAlignment="1">
      <alignment horizontal="center" vertical="center" wrapText="1"/>
    </xf>
    <xf numFmtId="0" fontId="19" fillId="4" borderId="14" xfId="68" applyFont="1" applyFill="1" applyBorder="1" applyAlignment="1">
      <alignment horizontal="center" vertical="center" wrapText="1"/>
    </xf>
    <xf numFmtId="0" fontId="14" fillId="4" borderId="16" xfId="68" applyFont="1" applyFill="1" applyBorder="1" applyAlignment="1">
      <alignment horizontal="left" vertical="center"/>
    </xf>
    <xf numFmtId="0" fontId="19" fillId="4" borderId="16" xfId="68" applyFont="1" applyFill="1" applyBorder="1" applyAlignment="1">
      <alignment horizontal="center" vertical="center"/>
    </xf>
    <xf numFmtId="10" fontId="14" fillId="4" borderId="16" xfId="68" applyNumberFormat="1" applyFont="1" applyFill="1" applyBorder="1" applyAlignment="1">
      <alignment horizontal="center" vertical="center"/>
    </xf>
    <xf numFmtId="2" fontId="14" fillId="4" borderId="16" xfId="68" applyNumberFormat="1" applyFont="1" applyFill="1" applyBorder="1" applyAlignment="1">
      <alignment horizontal="center" vertical="center"/>
    </xf>
    <xf numFmtId="2" fontId="14" fillId="0" borderId="16" xfId="68" applyNumberFormat="1" applyFont="1" applyBorder="1" applyAlignment="1">
      <alignment horizontal="center" vertical="center"/>
    </xf>
    <xf numFmtId="0" fontId="14" fillId="4" borderId="5" xfId="68" applyFont="1" applyFill="1" applyBorder="1" applyAlignment="1">
      <alignment horizontal="center" vertical="center"/>
    </xf>
    <xf numFmtId="0" fontId="14" fillId="4" borderId="4" xfId="68" applyFont="1" applyFill="1" applyBorder="1" applyAlignment="1">
      <alignment horizontal="left" vertical="center" wrapText="1"/>
    </xf>
    <xf numFmtId="0" fontId="19" fillId="4" borderId="4" xfId="68" applyFont="1" applyFill="1" applyBorder="1" applyAlignment="1">
      <alignment horizontal="center" vertical="center"/>
    </xf>
    <xf numFmtId="10" fontId="14" fillId="4" borderId="4" xfId="39" applyNumberFormat="1" applyFont="1" applyFill="1" applyBorder="1" applyAlignment="1">
      <alignment horizontal="center" vertical="center"/>
    </xf>
    <xf numFmtId="2" fontId="14" fillId="4" borderId="4" xfId="68" applyNumberFormat="1" applyFont="1" applyFill="1" applyBorder="1" applyAlignment="1">
      <alignment horizontal="center" vertical="center"/>
    </xf>
    <xf numFmtId="2" fontId="14" fillId="0" borderId="4" xfId="68" applyNumberFormat="1" applyFont="1" applyBorder="1" applyAlignment="1">
      <alignment horizontal="center" vertical="center"/>
    </xf>
    <xf numFmtId="2" fontId="14" fillId="4" borderId="4" xfId="19" applyNumberFormat="1" applyFont="1" applyFill="1" applyBorder="1" applyAlignment="1">
      <alignment horizontal="center" vertical="center"/>
    </xf>
    <xf numFmtId="0" fontId="14" fillId="4" borderId="4" xfId="68" applyFont="1" applyFill="1" applyBorder="1" applyAlignment="1">
      <alignment horizontal="left" vertical="center"/>
    </xf>
    <xf numFmtId="10" fontId="21" fillId="0" borderId="4" xfId="39" applyNumberFormat="1" applyFont="1" applyFill="1" applyBorder="1" applyAlignment="1">
      <alignment horizontal="center" vertical="center"/>
    </xf>
    <xf numFmtId="0" fontId="14" fillId="4" borderId="12" xfId="68" applyFont="1" applyFill="1" applyBorder="1" applyAlignment="1">
      <alignment horizontal="center" vertical="center"/>
    </xf>
    <xf numFmtId="0" fontId="19" fillId="4" borderId="13" xfId="68" applyFont="1" applyFill="1" applyBorder="1" applyAlignment="1">
      <alignment horizontal="center" vertical="center"/>
    </xf>
    <xf numFmtId="0" fontId="11" fillId="0" borderId="0" xfId="14" applyFont="1" applyAlignment="1">
      <alignment horizontal="center" vertical="center"/>
    </xf>
    <xf numFmtId="0" fontId="19" fillId="0" borderId="6" xfId="14" applyFont="1" applyBorder="1" applyAlignment="1">
      <alignment horizontal="center" vertical="center" wrapText="1"/>
    </xf>
    <xf numFmtId="0" fontId="14" fillId="0" borderId="4" xfId="10" applyFont="1" applyBorder="1" applyAlignment="1">
      <alignment vertical="center" wrapText="1"/>
    </xf>
    <xf numFmtId="0" fontId="14" fillId="0" borderId="9" xfId="14" applyFont="1" applyBorder="1">
      <alignment vertical="center"/>
    </xf>
    <xf numFmtId="0" fontId="19" fillId="0" borderId="4" xfId="10" applyFont="1" applyBorder="1" applyAlignment="1">
      <alignment vertical="center" wrapText="1"/>
    </xf>
    <xf numFmtId="0" fontId="19" fillId="4" borderId="4" xfId="14" applyFont="1" applyFill="1" applyBorder="1" applyAlignment="1">
      <alignment horizontal="center" vertical="center" wrapText="1"/>
    </xf>
    <xf numFmtId="0" fontId="19" fillId="0" borderId="0" xfId="10" applyFont="1" applyAlignment="1">
      <alignment horizontal="centerContinuous" vertical="center"/>
    </xf>
    <xf numFmtId="0" fontId="14" fillId="0" borderId="0" xfId="10" applyFont="1" applyAlignment="1">
      <alignment horizontal="centerContinuous" vertical="center"/>
    </xf>
    <xf numFmtId="0" fontId="19" fillId="4" borderId="4" xfId="10" quotePrefix="1" applyFont="1" applyFill="1" applyBorder="1" applyAlignment="1">
      <alignment horizontal="center" vertical="center" wrapText="1"/>
    </xf>
    <xf numFmtId="0" fontId="19" fillId="4" borderId="4" xfId="10" applyFont="1" applyFill="1" applyBorder="1" applyAlignment="1">
      <alignment horizontal="left" vertical="center" wrapText="1"/>
    </xf>
    <xf numFmtId="0" fontId="19" fillId="4" borderId="4" xfId="10" applyFont="1" applyFill="1" applyBorder="1" applyAlignment="1">
      <alignment horizontal="center" vertical="center"/>
    </xf>
    <xf numFmtId="0" fontId="14" fillId="4" borderId="4" xfId="14" applyFont="1" applyFill="1" applyBorder="1">
      <alignment vertical="center"/>
    </xf>
    <xf numFmtId="0" fontId="14" fillId="5" borderId="4" xfId="14" applyFont="1" applyFill="1" applyBorder="1">
      <alignment vertical="center"/>
    </xf>
    <xf numFmtId="0" fontId="14" fillId="4" borderId="4" xfId="10" applyFont="1" applyFill="1" applyBorder="1" applyAlignment="1">
      <alignment horizontal="center" vertical="center"/>
    </xf>
    <xf numFmtId="0" fontId="14" fillId="4" borderId="4" xfId="10" applyFont="1" applyFill="1" applyBorder="1" applyAlignment="1">
      <alignment vertical="center" wrapText="1"/>
    </xf>
    <xf numFmtId="0" fontId="19" fillId="4" borderId="4" xfId="10" applyFont="1" applyFill="1" applyBorder="1" applyAlignment="1">
      <alignment vertical="center" wrapText="1"/>
    </xf>
    <xf numFmtId="0" fontId="14" fillId="4" borderId="4" xfId="10" applyFont="1" applyFill="1" applyBorder="1" applyAlignment="1">
      <alignment vertical="center"/>
    </xf>
    <xf numFmtId="0" fontId="19" fillId="4" borderId="0" xfId="10" applyFont="1" applyFill="1" applyAlignment="1">
      <alignment vertical="center"/>
    </xf>
    <xf numFmtId="0" fontId="14" fillId="4" borderId="0" xfId="10" applyFont="1" applyFill="1" applyAlignment="1">
      <alignment vertical="center"/>
    </xf>
    <xf numFmtId="166" fontId="14" fillId="0" borderId="0" xfId="10" applyNumberFormat="1" applyFont="1" applyAlignment="1">
      <alignment vertical="center"/>
    </xf>
    <xf numFmtId="0" fontId="14" fillId="4" borderId="0" xfId="10" applyFont="1" applyFill="1" applyAlignment="1">
      <alignment vertical="center" wrapText="1"/>
    </xf>
    <xf numFmtId="0" fontId="22" fillId="0" borderId="0" xfId="10" applyFont="1" applyAlignment="1">
      <alignment horizontal="left" vertical="center"/>
    </xf>
    <xf numFmtId="0" fontId="14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0" fontId="23" fillId="0" borderId="0" xfId="10" applyFont="1" applyAlignment="1">
      <alignment vertical="center"/>
    </xf>
    <xf numFmtId="16" fontId="19" fillId="0" borderId="4" xfId="1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2" fontId="14" fillId="0" borderId="4" xfId="0" applyNumberFormat="1" applyFont="1" applyBorder="1" applyAlignment="1">
      <alignment horizontal="center" vertical="center"/>
    </xf>
    <xf numFmtId="2" fontId="14" fillId="0" borderId="4" xfId="0" applyNumberFormat="1" applyFont="1" applyBorder="1" applyAlignment="1">
      <alignment vertical="center"/>
    </xf>
    <xf numFmtId="0" fontId="14" fillId="0" borderId="4" xfId="0" applyFont="1" applyBorder="1" applyAlignment="1">
      <alignment horizontal="center" vertical="center" wrapText="1"/>
    </xf>
    <xf numFmtId="169" fontId="14" fillId="0" borderId="4" xfId="0" applyNumberFormat="1" applyFont="1" applyBorder="1" applyAlignment="1">
      <alignment horizontal="center" vertical="center"/>
    </xf>
    <xf numFmtId="169" fontId="14" fillId="0" borderId="4" xfId="0" applyNumberFormat="1" applyFont="1" applyBorder="1" applyAlignment="1">
      <alignment vertical="center"/>
    </xf>
    <xf numFmtId="168" fontId="14" fillId="0" borderId="4" xfId="0" applyNumberFormat="1" applyFont="1" applyBorder="1" applyAlignment="1">
      <alignment horizontal="center" vertical="center"/>
    </xf>
    <xf numFmtId="2" fontId="14" fillId="0" borderId="4" xfId="0" applyNumberFormat="1" applyFont="1" applyBorder="1" applyAlignment="1">
      <alignment horizontal="right" vertical="center"/>
    </xf>
    <xf numFmtId="0" fontId="19" fillId="0" borderId="9" xfId="0" applyFont="1" applyBorder="1" applyAlignment="1">
      <alignment vertical="center" wrapText="1"/>
    </xf>
    <xf numFmtId="2" fontId="19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vertical="center" wrapText="1"/>
    </xf>
    <xf numFmtId="2" fontId="19" fillId="0" borderId="4" xfId="0" applyNumberFormat="1" applyFont="1" applyBorder="1" applyAlignment="1">
      <alignment horizontal="right" vertical="center"/>
    </xf>
    <xf numFmtId="2" fontId="14" fillId="0" borderId="4" xfId="1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2" fontId="19" fillId="6" borderId="4" xfId="0" applyNumberFormat="1" applyFont="1" applyFill="1" applyBorder="1" applyAlignment="1">
      <alignment vertical="center"/>
    </xf>
    <xf numFmtId="2" fontId="14" fillId="0" borderId="4" xfId="10" applyNumberFormat="1" applyFont="1" applyBorder="1" applyAlignment="1">
      <alignment horizontal="center" vertical="center" wrapText="1"/>
    </xf>
    <xf numFmtId="2" fontId="19" fillId="6" borderId="4" xfId="0" applyNumberFormat="1" applyFont="1" applyFill="1" applyBorder="1" applyAlignment="1">
      <alignment horizontal="right" vertical="center"/>
    </xf>
    <xf numFmtId="2" fontId="19" fillId="6" borderId="4" xfId="14" applyNumberFormat="1" applyFont="1" applyFill="1" applyBorder="1">
      <alignment vertical="center"/>
    </xf>
    <xf numFmtId="2" fontId="19" fillId="6" borderId="4" xfId="10" applyNumberFormat="1" applyFont="1" applyFill="1" applyBorder="1" applyAlignment="1">
      <alignment vertical="center"/>
    </xf>
    <xf numFmtId="0" fontId="19" fillId="0" borderId="9" xfId="14" applyFont="1" applyBorder="1">
      <alignment vertical="center"/>
    </xf>
    <xf numFmtId="2" fontId="19" fillId="6" borderId="9" xfId="14" applyNumberFormat="1" applyFont="1" applyFill="1" applyBorder="1">
      <alignment vertical="center"/>
    </xf>
    <xf numFmtId="2" fontId="19" fillId="6" borderId="16" xfId="68" applyNumberFormat="1" applyFont="1" applyFill="1" applyBorder="1" applyAlignment="1">
      <alignment horizontal="center" vertical="center"/>
    </xf>
    <xf numFmtId="2" fontId="14" fillId="4" borderId="22" xfId="68" applyNumberFormat="1" applyFont="1" applyFill="1" applyBorder="1" applyAlignment="1">
      <alignment horizontal="center" vertical="center"/>
    </xf>
    <xf numFmtId="2" fontId="19" fillId="6" borderId="7" xfId="19" applyNumberFormat="1" applyFont="1" applyFill="1" applyBorder="1" applyAlignment="1">
      <alignment horizontal="center" vertical="center"/>
    </xf>
    <xf numFmtId="2" fontId="14" fillId="4" borderId="18" xfId="68" applyNumberFormat="1" applyFont="1" applyFill="1" applyBorder="1" applyAlignment="1">
      <alignment horizontal="center" vertical="center"/>
    </xf>
    <xf numFmtId="2" fontId="19" fillId="6" borderId="21" xfId="68" applyNumberFormat="1" applyFont="1" applyFill="1" applyBorder="1" applyAlignment="1">
      <alignment horizontal="center" vertical="center"/>
    </xf>
    <xf numFmtId="2" fontId="19" fillId="6" borderId="7" xfId="68" applyNumberFormat="1" applyFont="1" applyFill="1" applyBorder="1" applyAlignment="1">
      <alignment horizontal="center" vertical="center"/>
    </xf>
    <xf numFmtId="2" fontId="19" fillId="6" borderId="4" xfId="68" applyNumberFormat="1" applyFont="1" applyFill="1" applyBorder="1" applyAlignment="1">
      <alignment horizontal="center" vertical="center"/>
    </xf>
    <xf numFmtId="2" fontId="14" fillId="4" borderId="6" xfId="68" applyNumberFormat="1" applyFont="1" applyFill="1" applyBorder="1" applyAlignment="1">
      <alignment horizontal="center" vertical="center"/>
    </xf>
    <xf numFmtId="2" fontId="19" fillId="6" borderId="4" xfId="19" applyNumberFormat="1" applyFont="1" applyFill="1" applyBorder="1" applyAlignment="1">
      <alignment horizontal="center" vertical="center"/>
    </xf>
    <xf numFmtId="2" fontId="14" fillId="4" borderId="3" xfId="68" applyNumberFormat="1" applyFont="1" applyFill="1" applyBorder="1" applyAlignment="1">
      <alignment horizontal="center" vertical="center"/>
    </xf>
    <xf numFmtId="2" fontId="19" fillId="6" borderId="6" xfId="68" applyNumberFormat="1" applyFont="1" applyFill="1" applyBorder="1" applyAlignment="1">
      <alignment horizontal="center" vertical="center"/>
    </xf>
    <xf numFmtId="10" fontId="19" fillId="6" borderId="13" xfId="68" applyNumberFormat="1" applyFont="1" applyFill="1" applyBorder="1" applyAlignment="1">
      <alignment horizontal="center" vertical="center"/>
    </xf>
    <xf numFmtId="2" fontId="19" fillId="6" borderId="13" xfId="19" applyNumberFormat="1" applyFont="1" applyFill="1" applyBorder="1" applyAlignment="1">
      <alignment horizontal="center" vertical="center"/>
    </xf>
    <xf numFmtId="2" fontId="19" fillId="6" borderId="23" xfId="19" applyNumberFormat="1" applyFont="1" applyFill="1" applyBorder="1" applyAlignment="1">
      <alignment horizontal="center" vertical="center"/>
    </xf>
    <xf numFmtId="2" fontId="19" fillId="6" borderId="20" xfId="19" applyNumberFormat="1" applyFont="1" applyFill="1" applyBorder="1" applyAlignment="1">
      <alignment horizontal="center" vertical="center"/>
    </xf>
    <xf numFmtId="10" fontId="14" fillId="0" borderId="9" xfId="39" applyNumberFormat="1" applyFont="1" applyBorder="1" applyAlignment="1">
      <alignment vertical="center"/>
    </xf>
    <xf numFmtId="10" fontId="14" fillId="0" borderId="9" xfId="14" applyNumberFormat="1" applyFont="1" applyBorder="1">
      <alignment vertical="center"/>
    </xf>
    <xf numFmtId="10" fontId="19" fillId="6" borderId="9" xfId="14" applyNumberFormat="1" applyFont="1" applyFill="1" applyBorder="1">
      <alignment vertical="center"/>
    </xf>
    <xf numFmtId="2" fontId="14" fillId="0" borderId="9" xfId="14" applyNumberFormat="1" applyFont="1" applyBorder="1">
      <alignment vertical="center"/>
    </xf>
    <xf numFmtId="10" fontId="14" fillId="0" borderId="4" xfId="10" applyNumberFormat="1" applyFont="1" applyBorder="1" applyAlignment="1">
      <alignment vertical="center"/>
    </xf>
    <xf numFmtId="2" fontId="14" fillId="0" borderId="4" xfId="10" applyNumberFormat="1" applyFont="1" applyBorder="1" applyAlignment="1">
      <alignment vertical="center"/>
    </xf>
    <xf numFmtId="2" fontId="14" fillId="0" borderId="4" xfId="14" applyNumberFormat="1" applyFont="1" applyBorder="1" applyAlignment="1">
      <alignment horizontal="center" vertical="center"/>
    </xf>
    <xf numFmtId="2" fontId="19" fillId="6" borderId="4" xfId="14" applyNumberFormat="1" applyFont="1" applyFill="1" applyBorder="1" applyAlignment="1">
      <alignment horizontal="center" vertical="center"/>
    </xf>
    <xf numFmtId="2" fontId="14" fillId="0" borderId="4" xfId="14" applyNumberFormat="1" applyFont="1" applyBorder="1">
      <alignment vertical="center"/>
    </xf>
    <xf numFmtId="10" fontId="19" fillId="6" borderId="4" xfId="14" applyNumberFormat="1" applyFont="1" applyFill="1" applyBorder="1">
      <alignment vertical="center"/>
    </xf>
    <xf numFmtId="2" fontId="19" fillId="6" borderId="4" xfId="10" applyNumberFormat="1" applyFont="1" applyFill="1" applyBorder="1"/>
    <xf numFmtId="2" fontId="14" fillId="0" borderId="4" xfId="10" applyNumberFormat="1" applyFont="1" applyBorder="1"/>
    <xf numFmtId="2" fontId="14" fillId="0" borderId="4" xfId="10" applyNumberFormat="1" applyFont="1" applyBorder="1" applyAlignment="1">
      <alignment horizontal="right" vertical="center"/>
    </xf>
    <xf numFmtId="2" fontId="19" fillId="0" borderId="4" xfId="14" applyNumberFormat="1" applyFont="1" applyBorder="1" applyAlignment="1">
      <alignment horizontal="center" vertical="center"/>
    </xf>
    <xf numFmtId="0" fontId="14" fillId="0" borderId="4" xfId="14" applyFont="1" applyBorder="1" applyAlignment="1">
      <alignment horizontal="right" vertical="center"/>
    </xf>
    <xf numFmtId="2" fontId="19" fillId="0" borderId="4" xfId="10" applyNumberFormat="1" applyFont="1" applyBorder="1" applyAlignment="1">
      <alignment horizontal="center" vertical="center" wrapText="1"/>
    </xf>
    <xf numFmtId="2" fontId="19" fillId="0" borderId="4" xfId="10" applyNumberFormat="1" applyFont="1" applyBorder="1" applyAlignment="1">
      <alignment vertical="center"/>
    </xf>
    <xf numFmtId="2" fontId="14" fillId="0" borderId="4" xfId="14" applyNumberFormat="1" applyFont="1" applyBorder="1" applyAlignment="1">
      <alignment horizontal="right" vertical="center"/>
    </xf>
    <xf numFmtId="0" fontId="14" fillId="0" borderId="4" xfId="10" applyFont="1" applyBorder="1" applyAlignment="1">
      <alignment horizontal="right" vertical="center" wrapText="1"/>
    </xf>
    <xf numFmtId="2" fontId="14" fillId="0" borderId="4" xfId="10" applyNumberFormat="1" applyFont="1" applyBorder="1" applyAlignment="1">
      <alignment horizontal="right" vertical="center" wrapText="1"/>
    </xf>
    <xf numFmtId="0" fontId="14" fillId="0" borderId="9" xfId="14" applyFont="1" applyBorder="1" applyAlignment="1">
      <alignment horizontal="right" vertical="center"/>
    </xf>
    <xf numFmtId="2" fontId="19" fillId="6" borderId="9" xfId="14" applyNumberFormat="1" applyFont="1" applyFill="1" applyBorder="1" applyAlignment="1">
      <alignment horizontal="right" vertical="center"/>
    </xf>
    <xf numFmtId="2" fontId="14" fillId="6" borderId="9" xfId="14" applyNumberFormat="1" applyFont="1" applyFill="1" applyBorder="1">
      <alignment vertical="center"/>
    </xf>
    <xf numFmtId="10" fontId="19" fillId="6" borderId="4" xfId="10" applyNumberFormat="1" applyFont="1" applyFill="1" applyBorder="1" applyAlignment="1">
      <alignment vertical="center"/>
    </xf>
    <xf numFmtId="2" fontId="26" fillId="0" borderId="4" xfId="10" applyNumberFormat="1" applyFont="1" applyBorder="1" applyAlignment="1">
      <alignment horizontal="center" vertical="center"/>
    </xf>
    <xf numFmtId="2" fontId="26" fillId="0" borderId="4" xfId="10" applyNumberFormat="1" applyFont="1" applyBorder="1" applyAlignment="1">
      <alignment vertical="center"/>
    </xf>
    <xf numFmtId="164" fontId="26" fillId="0" borderId="4" xfId="71" applyNumberFormat="1" applyFont="1" applyBorder="1" applyAlignment="1">
      <alignment horizontal="center" vertical="center"/>
    </xf>
    <xf numFmtId="2" fontId="27" fillId="0" borderId="4" xfId="10" applyNumberFormat="1" applyFont="1" applyBorder="1" applyAlignment="1">
      <alignment horizontal="right" vertical="center"/>
    </xf>
    <xf numFmtId="0" fontId="26" fillId="0" borderId="8" xfId="10" applyFont="1" applyBorder="1" applyAlignment="1">
      <alignment horizontal="center" vertical="center" wrapText="1"/>
    </xf>
    <xf numFmtId="0" fontId="26" fillId="0" borderId="4" xfId="10" applyFont="1" applyBorder="1" applyAlignment="1">
      <alignment vertical="center" wrapText="1"/>
    </xf>
    <xf numFmtId="0" fontId="26" fillId="0" borderId="4" xfId="10" applyFont="1" applyBorder="1" applyAlignment="1">
      <alignment horizontal="center" vertical="center" wrapText="1"/>
    </xf>
    <xf numFmtId="2" fontId="26" fillId="0" borderId="4" xfId="10" applyNumberFormat="1" applyFont="1" applyBorder="1" applyAlignment="1">
      <alignment horizontal="right" vertical="center"/>
    </xf>
    <xf numFmtId="2" fontId="27" fillId="0" borderId="4" xfId="10" applyNumberFormat="1" applyFont="1" applyBorder="1" applyAlignment="1">
      <alignment vertical="center"/>
    </xf>
    <xf numFmtId="170" fontId="19" fillId="0" borderId="4" xfId="10" applyNumberFormat="1" applyFont="1" applyBorder="1" applyAlignment="1">
      <alignment vertical="center"/>
    </xf>
    <xf numFmtId="2" fontId="19" fillId="0" borderId="4" xfId="10" applyNumberFormat="1" applyFont="1" applyBorder="1" applyAlignment="1">
      <alignment horizontal="right" vertical="center"/>
    </xf>
    <xf numFmtId="2" fontId="14" fillId="0" borderId="0" xfId="10" applyNumberFormat="1" applyFont="1" applyAlignment="1">
      <alignment vertical="center"/>
    </xf>
    <xf numFmtId="2" fontId="19" fillId="0" borderId="0" xfId="10" applyNumberFormat="1" applyFont="1" applyAlignment="1">
      <alignment horizontal="right" vertical="center"/>
    </xf>
    <xf numFmtId="2" fontId="19" fillId="0" borderId="0" xfId="10" applyNumberFormat="1" applyFont="1" applyAlignment="1">
      <alignment horizontal="center" vertical="center"/>
    </xf>
    <xf numFmtId="0" fontId="19" fillId="0" borderId="9" xfId="14" applyFont="1" applyBorder="1" applyAlignment="1">
      <alignment horizontal="center" vertical="center" wrapText="1"/>
    </xf>
    <xf numFmtId="2" fontId="14" fillId="0" borderId="4" xfId="10" applyNumberFormat="1" applyFont="1" applyBorder="1" applyAlignment="1">
      <alignment vertical="top" wrapText="1"/>
    </xf>
    <xf numFmtId="2" fontId="14" fillId="7" borderId="4" xfId="68" applyNumberFormat="1" applyFont="1" applyFill="1" applyBorder="1" applyAlignment="1">
      <alignment horizontal="center" vertical="center"/>
    </xf>
    <xf numFmtId="0" fontId="19" fillId="0" borderId="4" xfId="14" applyFont="1" applyBorder="1" applyAlignment="1">
      <alignment horizontal="right" vertical="center" wrapText="1"/>
    </xf>
    <xf numFmtId="2" fontId="14" fillId="6" borderId="4" xfId="10" applyNumberFormat="1" applyFont="1" applyFill="1" applyBorder="1" applyAlignment="1">
      <alignment horizontal="right" vertical="center"/>
    </xf>
    <xf numFmtId="2" fontId="14" fillId="6" borderId="4" xfId="10" applyNumberFormat="1" applyFont="1" applyFill="1" applyBorder="1" applyAlignment="1">
      <alignment horizontal="right" vertical="center" wrapText="1"/>
    </xf>
    <xf numFmtId="2" fontId="19" fillId="6" borderId="4" xfId="10" applyNumberFormat="1" applyFont="1" applyFill="1" applyBorder="1" applyAlignment="1">
      <alignment horizontal="right" vertical="center"/>
    </xf>
    <xf numFmtId="0" fontId="6" fillId="0" borderId="0" xfId="10" applyFont="1" applyAlignment="1">
      <alignment vertical="center"/>
    </xf>
    <xf numFmtId="0" fontId="11" fillId="0" borderId="4" xfId="14" applyFont="1" applyBorder="1" applyAlignment="1">
      <alignment horizontal="center" vertical="center" wrapText="1"/>
    </xf>
    <xf numFmtId="0" fontId="11" fillId="0" borderId="7" xfId="10" applyFont="1" applyBorder="1" applyAlignment="1">
      <alignment horizontal="center" vertical="center" wrapText="1"/>
    </xf>
    <xf numFmtId="0" fontId="11" fillId="0" borderId="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5" borderId="4" xfId="14" applyFont="1" applyFill="1" applyBorder="1" applyAlignment="1">
      <alignment horizontal="left" vertical="center"/>
    </xf>
    <xf numFmtId="2" fontId="11" fillId="6" borderId="4" xfId="14" applyNumberFormat="1" applyFont="1" applyFill="1" applyBorder="1" applyAlignment="1">
      <alignment horizontal="center" vertical="center"/>
    </xf>
    <xf numFmtId="2" fontId="11" fillId="0" borderId="4" xfId="14" applyNumberFormat="1" applyFont="1" applyBorder="1" applyAlignment="1">
      <alignment horizontal="center" vertical="center"/>
    </xf>
    <xf numFmtId="2" fontId="11" fillId="5" borderId="4" xfId="14" applyNumberFormat="1" applyFont="1" applyFill="1" applyBorder="1" applyAlignment="1">
      <alignment horizontal="center" vertical="center"/>
    </xf>
    <xf numFmtId="0" fontId="11" fillId="0" borderId="4" xfId="14" applyFont="1" applyBorder="1">
      <alignment vertical="center"/>
    </xf>
    <xf numFmtId="2" fontId="19" fillId="7" borderId="13" xfId="19" applyNumberFormat="1" applyFont="1" applyFill="1" applyBorder="1" applyAlignment="1">
      <alignment horizontal="center" vertical="center"/>
    </xf>
    <xf numFmtId="43" fontId="14" fillId="5" borderId="4" xfId="10" applyNumberFormat="1" applyFont="1" applyFill="1" applyBorder="1"/>
    <xf numFmtId="43" fontId="19" fillId="5" borderId="4" xfId="10" applyNumberFormat="1" applyFont="1" applyFill="1" applyBorder="1"/>
    <xf numFmtId="43" fontId="14" fillId="5" borderId="4" xfId="14" applyNumberFormat="1" applyFont="1" applyFill="1" applyBorder="1">
      <alignment vertical="center"/>
    </xf>
    <xf numFmtId="2" fontId="14" fillId="0" borderId="0" xfId="14" applyNumberFormat="1" applyFont="1">
      <alignment vertical="center"/>
    </xf>
    <xf numFmtId="0" fontId="19" fillId="0" borderId="9" xfId="0" applyFont="1" applyBorder="1" applyAlignment="1">
      <alignment horizontal="center" vertical="center"/>
    </xf>
    <xf numFmtId="2" fontId="19" fillId="0" borderId="4" xfId="10" applyNumberFormat="1" applyFont="1" applyBorder="1" applyAlignment="1">
      <alignment vertical="center" wrapText="1"/>
    </xf>
    <xf numFmtId="171" fontId="14" fillId="0" borderId="0" xfId="14" applyNumberFormat="1" applyFont="1">
      <alignment vertical="center"/>
    </xf>
    <xf numFmtId="2" fontId="14" fillId="0" borderId="9" xfId="14" applyNumberFormat="1" applyFont="1" applyFill="1" applyBorder="1">
      <alignment vertical="center"/>
    </xf>
    <xf numFmtId="2" fontId="19" fillId="0" borderId="9" xfId="14" applyNumberFormat="1" applyFont="1" applyFill="1" applyBorder="1">
      <alignment vertical="center"/>
    </xf>
    <xf numFmtId="0" fontId="11" fillId="0" borderId="0" xfId="10" applyFont="1" applyAlignment="1">
      <alignment horizontal="center" vertical="center" wrapText="1"/>
    </xf>
    <xf numFmtId="0" fontId="6" fillId="0" borderId="0" xfId="10" applyFont="1" applyAlignment="1">
      <alignment horizontal="center" vertical="center" wrapText="1"/>
    </xf>
    <xf numFmtId="0" fontId="11" fillId="0" borderId="0" xfId="14" applyFont="1" applyAlignment="1">
      <alignment horizontal="center" vertical="center"/>
    </xf>
    <xf numFmtId="0" fontId="11" fillId="0" borderId="8" xfId="14" applyFont="1" applyBorder="1" applyAlignment="1">
      <alignment horizontal="center" vertical="center"/>
    </xf>
    <xf numFmtId="0" fontId="11" fillId="0" borderId="10" xfId="14" applyFont="1" applyBorder="1" applyAlignment="1">
      <alignment horizontal="center" vertical="center"/>
    </xf>
    <xf numFmtId="0" fontId="11" fillId="0" borderId="7" xfId="14" applyFont="1" applyBorder="1" applyAlignment="1">
      <alignment horizontal="center" vertical="center"/>
    </xf>
    <xf numFmtId="0" fontId="11" fillId="0" borderId="8" xfId="14" applyFont="1" applyBorder="1" applyAlignment="1">
      <alignment horizontal="center" vertical="center" wrapText="1"/>
    </xf>
    <xf numFmtId="0" fontId="11" fillId="0" borderId="10" xfId="14" applyFont="1" applyBorder="1" applyAlignment="1">
      <alignment horizontal="center" vertical="center" wrapText="1"/>
    </xf>
    <xf numFmtId="0" fontId="6" fillId="0" borderId="7" xfId="10" applyFont="1" applyBorder="1" applyAlignment="1">
      <alignment horizontal="center" vertical="center" wrapText="1"/>
    </xf>
    <xf numFmtId="0" fontId="11" fillId="0" borderId="4" xfId="14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11" fillId="0" borderId="4" xfId="14" applyFont="1" applyBorder="1" applyAlignment="1">
      <alignment horizontal="center" vertical="center" wrapText="1"/>
    </xf>
    <xf numFmtId="0" fontId="6" fillId="0" borderId="4" xfId="10" applyFont="1" applyBorder="1" applyAlignment="1">
      <alignment horizontal="center" vertical="center" wrapText="1"/>
    </xf>
    <xf numFmtId="0" fontId="11" fillId="0" borderId="6" xfId="14" applyFont="1" applyBorder="1" applyAlignment="1">
      <alignment horizontal="center" vertical="center" wrapText="1"/>
    </xf>
    <xf numFmtId="0" fontId="11" fillId="0" borderId="3" xfId="14" applyFont="1" applyBorder="1" applyAlignment="1">
      <alignment horizontal="center" vertical="center" wrapText="1"/>
    </xf>
    <xf numFmtId="0" fontId="11" fillId="0" borderId="9" xfId="14" applyFont="1" applyBorder="1" applyAlignment="1">
      <alignment horizontal="center" vertical="center" wrapText="1"/>
    </xf>
    <xf numFmtId="0" fontId="19" fillId="0" borderId="6" xfId="14" applyFont="1" applyBorder="1" applyAlignment="1">
      <alignment horizontal="center" vertical="center" wrapText="1"/>
    </xf>
    <xf numFmtId="0" fontId="19" fillId="0" borderId="3" xfId="14" applyFont="1" applyBorder="1" applyAlignment="1">
      <alignment horizontal="center" vertical="center" wrapText="1"/>
    </xf>
    <xf numFmtId="0" fontId="19" fillId="0" borderId="9" xfId="14" applyFont="1" applyBorder="1" applyAlignment="1">
      <alignment horizontal="center" vertical="center" wrapText="1"/>
    </xf>
    <xf numFmtId="0" fontId="19" fillId="0" borderId="8" xfId="10" applyFont="1" applyBorder="1" applyAlignment="1">
      <alignment horizontal="center" vertical="center" wrapText="1"/>
    </xf>
    <xf numFmtId="0" fontId="19" fillId="0" borderId="10" xfId="10" applyFont="1" applyBorder="1" applyAlignment="1">
      <alignment horizontal="center" vertical="center" wrapText="1"/>
    </xf>
    <xf numFmtId="0" fontId="19" fillId="0" borderId="7" xfId="10" applyFont="1" applyBorder="1" applyAlignment="1">
      <alignment horizontal="center" vertical="center" wrapText="1"/>
    </xf>
    <xf numFmtId="0" fontId="19" fillId="0" borderId="0" xfId="10" applyFont="1" applyAlignment="1">
      <alignment horizontal="left" vertical="center"/>
    </xf>
    <xf numFmtId="0" fontId="19" fillId="0" borderId="4" xfId="10" applyFont="1" applyBorder="1" applyAlignment="1">
      <alignment horizontal="center" vertical="center" wrapText="1"/>
    </xf>
    <xf numFmtId="0" fontId="19" fillId="0" borderId="4" xfId="14" applyFont="1" applyBorder="1" applyAlignment="1">
      <alignment horizontal="center" vertical="center" wrapText="1"/>
    </xf>
    <xf numFmtId="0" fontId="19" fillId="0" borderId="6" xfId="10" applyFont="1" applyBorder="1" applyAlignment="1">
      <alignment horizontal="center" vertical="center"/>
    </xf>
    <xf numFmtId="0" fontId="19" fillId="0" borderId="3" xfId="10" applyFont="1" applyBorder="1" applyAlignment="1">
      <alignment horizontal="center" vertical="center"/>
    </xf>
    <xf numFmtId="0" fontId="19" fillId="0" borderId="9" xfId="10" applyFont="1" applyBorder="1" applyAlignment="1">
      <alignment horizontal="center" vertical="center"/>
    </xf>
    <xf numFmtId="0" fontId="19" fillId="0" borderId="4" xfId="14" applyFont="1" applyBorder="1" applyAlignment="1">
      <alignment horizontal="center" vertical="center"/>
    </xf>
    <xf numFmtId="0" fontId="14" fillId="0" borderId="4" xfId="10" applyFont="1" applyBorder="1" applyAlignment="1">
      <alignment vertical="center"/>
    </xf>
    <xf numFmtId="0" fontId="19" fillId="0" borderId="0" xfId="14" applyFont="1" applyAlignment="1">
      <alignment horizontal="center" vertical="center"/>
    </xf>
    <xf numFmtId="0" fontId="19" fillId="0" borderId="0" xfId="10" applyFont="1" applyAlignment="1">
      <alignment horizontal="center" vertical="center"/>
    </xf>
    <xf numFmtId="0" fontId="19" fillId="0" borderId="8" xfId="14" applyFont="1" applyBorder="1" applyAlignment="1">
      <alignment horizontal="center" vertical="center" wrapText="1"/>
    </xf>
    <xf numFmtId="0" fontId="19" fillId="0" borderId="10" xfId="14" applyFont="1" applyBorder="1" applyAlignment="1">
      <alignment horizontal="center" vertical="center" wrapText="1"/>
    </xf>
    <xf numFmtId="0" fontId="14" fillId="0" borderId="7" xfId="10" applyFont="1" applyBorder="1" applyAlignment="1">
      <alignment horizontal="center" vertical="center" wrapText="1"/>
    </xf>
    <xf numFmtId="0" fontId="14" fillId="0" borderId="4" xfId="10" applyFont="1" applyBorder="1" applyAlignment="1">
      <alignment horizontal="center" vertical="center"/>
    </xf>
    <xf numFmtId="0" fontId="19" fillId="0" borderId="4" xfId="10" applyFont="1" applyBorder="1" applyAlignment="1">
      <alignment horizontal="center" vertical="center"/>
    </xf>
    <xf numFmtId="0" fontId="19" fillId="4" borderId="17" xfId="68" applyFont="1" applyFill="1" applyBorder="1" applyAlignment="1">
      <alignment horizontal="center" vertical="center"/>
    </xf>
    <xf numFmtId="0" fontId="19" fillId="4" borderId="18" xfId="68" applyFont="1" applyFill="1" applyBorder="1" applyAlignment="1">
      <alignment horizontal="center" vertical="center"/>
    </xf>
    <xf numFmtId="0" fontId="19" fillId="4" borderId="19" xfId="68" applyFont="1" applyFill="1" applyBorder="1" applyAlignment="1">
      <alignment horizontal="center" vertical="center"/>
    </xf>
    <xf numFmtId="0" fontId="19" fillId="4" borderId="4" xfId="68" applyFont="1" applyFill="1" applyBorder="1" applyAlignment="1">
      <alignment horizontal="center" vertical="center" wrapText="1"/>
    </xf>
    <xf numFmtId="0" fontId="19" fillId="4" borderId="11" xfId="68" applyFont="1" applyFill="1" applyBorder="1" applyAlignment="1">
      <alignment horizontal="center" vertical="center" wrapText="1"/>
    </xf>
    <xf numFmtId="0" fontId="19" fillId="4" borderId="5" xfId="68" applyFont="1" applyFill="1" applyBorder="1" applyAlignment="1">
      <alignment horizontal="center" vertical="center" wrapText="1"/>
    </xf>
    <xf numFmtId="0" fontId="19" fillId="4" borderId="12" xfId="68" applyFont="1" applyFill="1" applyBorder="1" applyAlignment="1">
      <alignment horizontal="center" vertical="center" wrapText="1"/>
    </xf>
    <xf numFmtId="0" fontId="19" fillId="4" borderId="4" xfId="68" quotePrefix="1" applyFont="1" applyFill="1" applyBorder="1" applyAlignment="1">
      <alignment horizontal="center" vertical="center" wrapText="1"/>
    </xf>
    <xf numFmtId="0" fontId="19" fillId="4" borderId="13" xfId="68" quotePrefix="1" applyFont="1" applyFill="1" applyBorder="1" applyAlignment="1">
      <alignment horizontal="center" vertical="center" wrapText="1"/>
    </xf>
    <xf numFmtId="0" fontId="19" fillId="4" borderId="13" xfId="68" applyFont="1" applyFill="1" applyBorder="1" applyAlignment="1">
      <alignment horizontal="center" vertical="center" wrapText="1"/>
    </xf>
    <xf numFmtId="0" fontId="11" fillId="0" borderId="0" xfId="14" applyFont="1" applyAlignment="1">
      <alignment horizontal="center" vertical="top"/>
    </xf>
    <xf numFmtId="0" fontId="7" fillId="0" borderId="4" xfId="10" applyBorder="1" applyAlignment="1">
      <alignment horizontal="center" vertical="center" wrapText="1"/>
    </xf>
    <xf numFmtId="0" fontId="7" fillId="0" borderId="4" xfId="10" applyBorder="1" applyAlignment="1">
      <alignment horizontal="center" vertical="center"/>
    </xf>
  </cellXfs>
  <cellStyles count="72">
    <cellStyle name="Body" xfId="1"/>
    <cellStyle name="Comma" xfId="71" builtinId="3"/>
    <cellStyle name="Comma  - Style1" xfId="2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10"/>
  <sheetViews>
    <sheetView showGridLines="0" zoomScale="80" zoomScaleNormal="80" workbookViewId="0">
      <selection activeCell="N18" sqref="N18"/>
    </sheetView>
  </sheetViews>
  <sheetFormatPr defaultColWidth="9.28515625" defaultRowHeight="14.25"/>
  <cols>
    <col min="1" max="16384" width="9.28515625" style="108"/>
  </cols>
  <sheetData>
    <row r="10" spans="7:7" ht="23.25">
      <c r="G10" s="131" t="s">
        <v>329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zoomScale="80" zoomScaleNormal="80" workbookViewId="0">
      <selection activeCell="E31" sqref="E31"/>
    </sheetView>
  </sheetViews>
  <sheetFormatPr defaultColWidth="9.28515625" defaultRowHeight="14.25"/>
  <cols>
    <col min="1" max="1" width="9.28515625" style="108"/>
    <col min="2" max="2" width="7" style="108" customWidth="1"/>
    <col min="3" max="3" width="21.85546875" style="108" customWidth="1"/>
    <col min="4" max="4" width="12" style="108" customWidth="1"/>
    <col min="5" max="5" width="12.5703125" style="108" customWidth="1"/>
    <col min="6" max="6" width="15.42578125" style="108" customWidth="1"/>
    <col min="7" max="7" width="13.42578125" style="108" customWidth="1"/>
    <col min="8" max="10" width="15.7109375" style="108" customWidth="1"/>
    <col min="11" max="16384" width="9.28515625" style="108"/>
  </cols>
  <sheetData>
    <row r="2" spans="2:10" ht="14.25" customHeight="1">
      <c r="B2" s="250" t="s">
        <v>411</v>
      </c>
      <c r="C2" s="250"/>
      <c r="D2" s="250"/>
      <c r="E2" s="250"/>
      <c r="F2" s="250"/>
      <c r="G2" s="250"/>
      <c r="H2" s="250"/>
      <c r="I2" s="250"/>
      <c r="J2" s="250"/>
    </row>
    <row r="3" spans="2:10" ht="14.25" customHeight="1">
      <c r="B3" s="250" t="s">
        <v>381</v>
      </c>
      <c r="C3" s="250"/>
      <c r="D3" s="250"/>
      <c r="E3" s="250"/>
      <c r="F3" s="250"/>
      <c r="G3" s="250"/>
      <c r="H3" s="250"/>
      <c r="I3" s="250"/>
      <c r="J3" s="250"/>
    </row>
    <row r="4" spans="2:10" ht="14.25" customHeight="1">
      <c r="B4" s="251" t="s">
        <v>309</v>
      </c>
      <c r="C4" s="251"/>
      <c r="D4" s="251"/>
      <c r="E4" s="251"/>
      <c r="F4" s="251"/>
      <c r="G4" s="251"/>
      <c r="H4" s="251"/>
      <c r="I4" s="251"/>
      <c r="J4" s="251"/>
    </row>
    <row r="6" spans="2:10" ht="15" customHeight="1">
      <c r="B6" s="244" t="s">
        <v>186</v>
      </c>
      <c r="C6" s="256" t="s">
        <v>18</v>
      </c>
      <c r="D6" s="244" t="s">
        <v>382</v>
      </c>
      <c r="E6" s="215" t="s">
        <v>383</v>
      </c>
      <c r="F6" s="244" t="s">
        <v>225</v>
      </c>
      <c r="G6" s="244"/>
      <c r="H6" s="244"/>
      <c r="I6" s="244"/>
      <c r="J6" s="244"/>
    </row>
    <row r="7" spans="2:10" ht="15">
      <c r="B7" s="244"/>
      <c r="C7" s="256"/>
      <c r="D7" s="244"/>
      <c r="E7" s="21" t="s">
        <v>244</v>
      </c>
      <c r="F7" s="21" t="s">
        <v>384</v>
      </c>
      <c r="G7" s="21" t="s">
        <v>385</v>
      </c>
      <c r="H7" s="21" t="s">
        <v>386</v>
      </c>
      <c r="I7" s="21" t="s">
        <v>387</v>
      </c>
      <c r="J7" s="21" t="s">
        <v>388</v>
      </c>
    </row>
    <row r="8" spans="2:10" ht="15">
      <c r="B8" s="244"/>
      <c r="C8" s="256"/>
      <c r="D8" s="109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10">
        <v>1</v>
      </c>
      <c r="C9" s="30" t="s">
        <v>310</v>
      </c>
      <c r="D9" s="132">
        <f>F3.1!H12</f>
        <v>4.2777974999999996E-2</v>
      </c>
      <c r="E9" s="132">
        <f>F3.1!H18</f>
        <v>0.04</v>
      </c>
      <c r="F9" s="132">
        <f>'F3'!I12</f>
        <v>27.560000000000002</v>
      </c>
      <c r="G9" s="132">
        <f>'F3'!J12</f>
        <v>13</v>
      </c>
      <c r="H9" s="132">
        <f>'F3'!K12</f>
        <v>0</v>
      </c>
      <c r="I9" s="132">
        <f>'F3'!L12</f>
        <v>0</v>
      </c>
      <c r="J9" s="132">
        <f>'F3'!M12</f>
        <v>0</v>
      </c>
    </row>
    <row r="10" spans="2:10">
      <c r="B10" s="30"/>
      <c r="C10" s="30"/>
      <c r="D10" s="120"/>
      <c r="E10" s="120"/>
      <c r="F10" s="120"/>
      <c r="G10" s="120"/>
      <c r="H10" s="120"/>
      <c r="I10" s="120"/>
      <c r="J10" s="120"/>
    </row>
    <row r="11" spans="2:10" ht="15">
      <c r="B11" s="110">
        <v>2</v>
      </c>
      <c r="C11" s="111" t="s">
        <v>176</v>
      </c>
      <c r="D11" s="120"/>
      <c r="E11" s="120"/>
      <c r="F11" s="120"/>
      <c r="G11" s="120"/>
      <c r="H11" s="120"/>
      <c r="I11" s="120"/>
      <c r="J11" s="120"/>
    </row>
    <row r="12" spans="2:10">
      <c r="B12" s="30"/>
      <c r="C12" s="30" t="s">
        <v>185</v>
      </c>
      <c r="D12" s="120"/>
      <c r="E12" s="120"/>
      <c r="F12" s="120"/>
      <c r="G12" s="120"/>
      <c r="H12" s="120"/>
      <c r="I12" s="120"/>
      <c r="J12" s="120"/>
    </row>
    <row r="13" spans="2:10">
      <c r="B13" s="30"/>
      <c r="C13" s="30" t="s">
        <v>184</v>
      </c>
      <c r="D13" s="120"/>
      <c r="E13" s="120"/>
      <c r="F13" s="120"/>
      <c r="G13" s="120"/>
      <c r="H13" s="120"/>
      <c r="I13" s="120"/>
      <c r="J13" s="120"/>
    </row>
    <row r="14" spans="2:10">
      <c r="B14" s="30"/>
      <c r="C14" s="30" t="s">
        <v>9</v>
      </c>
      <c r="D14" s="120"/>
      <c r="E14" s="120"/>
      <c r="F14" s="120"/>
      <c r="G14" s="120"/>
      <c r="H14" s="120"/>
      <c r="I14" s="120"/>
      <c r="J14" s="120"/>
    </row>
    <row r="15" spans="2:10" ht="15">
      <c r="B15" s="30"/>
      <c r="C15" s="111" t="s">
        <v>174</v>
      </c>
      <c r="D15" s="132">
        <f>SUM(D12:D14)</f>
        <v>0</v>
      </c>
      <c r="E15" s="132">
        <f>SUM(E12:E14)</f>
        <v>0</v>
      </c>
      <c r="F15" s="132">
        <f t="shared" ref="F15:J15" si="0">SUM(F12:F14)</f>
        <v>0</v>
      </c>
      <c r="G15" s="132">
        <f t="shared" si="0"/>
        <v>0</v>
      </c>
      <c r="H15" s="132">
        <f t="shared" si="0"/>
        <v>0</v>
      </c>
      <c r="I15" s="132">
        <f t="shared" si="0"/>
        <v>0</v>
      </c>
      <c r="J15" s="132">
        <f t="shared" si="0"/>
        <v>0</v>
      </c>
    </row>
    <row r="16" spans="2:10">
      <c r="B16" s="30"/>
      <c r="C16" s="30"/>
      <c r="D16" s="120"/>
      <c r="E16" s="120"/>
      <c r="F16" s="120"/>
      <c r="G16" s="120"/>
      <c r="H16" s="120"/>
      <c r="I16" s="120"/>
      <c r="J16" s="120"/>
    </row>
    <row r="17" spans="2:10">
      <c r="B17" s="110">
        <v>3</v>
      </c>
      <c r="C17" s="30" t="s">
        <v>0</v>
      </c>
      <c r="D17" s="120"/>
      <c r="E17" s="120"/>
      <c r="F17" s="120"/>
      <c r="G17" s="120"/>
      <c r="H17" s="120"/>
      <c r="I17" s="120"/>
      <c r="J17" s="120"/>
    </row>
    <row r="18" spans="2:10">
      <c r="B18" s="110">
        <v>4</v>
      </c>
      <c r="C18" s="30" t="s">
        <v>177</v>
      </c>
      <c r="D18" s="120">
        <f>D9</f>
        <v>4.2777974999999996E-2</v>
      </c>
      <c r="E18" s="120">
        <f>E9</f>
        <v>0.04</v>
      </c>
      <c r="F18" s="120">
        <f>F9</f>
        <v>27.560000000000002</v>
      </c>
      <c r="G18" s="120">
        <f>G9</f>
        <v>13</v>
      </c>
      <c r="H18" s="120"/>
      <c r="I18" s="120"/>
      <c r="J18" s="120"/>
    </row>
    <row r="19" spans="2:10">
      <c r="B19" s="110">
        <v>5</v>
      </c>
      <c r="C19" s="30" t="s">
        <v>311</v>
      </c>
      <c r="D19" s="120"/>
      <c r="E19" s="120"/>
      <c r="F19" s="120"/>
      <c r="G19" s="120"/>
      <c r="H19" s="120"/>
      <c r="I19" s="120"/>
      <c r="J19" s="120"/>
    </row>
    <row r="20" spans="2:10" ht="15">
      <c r="B20" s="30"/>
      <c r="C20" s="30"/>
      <c r="D20" s="127"/>
      <c r="E20" s="127"/>
      <c r="F20" s="127"/>
      <c r="G20" s="127"/>
      <c r="H20" s="127"/>
      <c r="I20" s="127"/>
      <c r="J20" s="127"/>
    </row>
    <row r="21" spans="2:10" ht="15">
      <c r="B21" s="110">
        <v>6</v>
      </c>
      <c r="C21" s="111" t="s">
        <v>312</v>
      </c>
      <c r="D21" s="132">
        <f>D15+D17+D18+D19</f>
        <v>4.2777974999999996E-2</v>
      </c>
      <c r="E21" s="132">
        <f t="shared" ref="E21:J21" si="1">E15+E17+E18+E19</f>
        <v>0.04</v>
      </c>
      <c r="F21" s="132">
        <f t="shared" si="1"/>
        <v>27.560000000000002</v>
      </c>
      <c r="G21" s="132">
        <f t="shared" si="1"/>
        <v>13</v>
      </c>
      <c r="H21" s="132">
        <f t="shared" si="1"/>
        <v>0</v>
      </c>
      <c r="I21" s="132">
        <f t="shared" si="1"/>
        <v>0</v>
      </c>
      <c r="J21" s="132">
        <f t="shared" si="1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28000000000000003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83"/>
  <sheetViews>
    <sheetView showGridLines="0" zoomScale="90" zoomScaleNormal="90" zoomScaleSheetLayoutView="90" workbookViewId="0">
      <selection activeCell="E31" sqref="E31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2:15" ht="15">
      <c r="B3" s="250" t="s">
        <v>381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5" ht="15">
      <c r="B4" s="251" t="s">
        <v>278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2:15" ht="15.75" thickBot="1">
      <c r="K5" s="38"/>
      <c r="O5" s="35" t="s">
        <v>4</v>
      </c>
    </row>
    <row r="6" spans="2:15" ht="15">
      <c r="B6" s="257" t="s">
        <v>382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9"/>
    </row>
    <row r="7" spans="2:15" ht="14.25" customHeight="1">
      <c r="B7" s="262" t="s">
        <v>2</v>
      </c>
      <c r="C7" s="264" t="s">
        <v>274</v>
      </c>
      <c r="D7" s="260" t="s">
        <v>261</v>
      </c>
      <c r="E7" s="260" t="s">
        <v>262</v>
      </c>
      <c r="F7" s="260" t="s">
        <v>263</v>
      </c>
      <c r="G7" s="260"/>
      <c r="H7" s="260"/>
      <c r="I7" s="260"/>
      <c r="J7" s="260" t="s">
        <v>264</v>
      </c>
      <c r="K7" s="260"/>
      <c r="L7" s="260"/>
      <c r="M7" s="260"/>
      <c r="N7" s="260" t="s">
        <v>265</v>
      </c>
      <c r="O7" s="261"/>
    </row>
    <row r="8" spans="2:15" ht="60.75" thickBot="1">
      <c r="B8" s="263"/>
      <c r="C8" s="265"/>
      <c r="D8" s="266"/>
      <c r="E8" s="266"/>
      <c r="F8" s="68" t="s">
        <v>266</v>
      </c>
      <c r="G8" s="68" t="s">
        <v>126</v>
      </c>
      <c r="H8" s="68" t="s">
        <v>267</v>
      </c>
      <c r="I8" s="68" t="s">
        <v>268</v>
      </c>
      <c r="J8" s="68" t="s">
        <v>269</v>
      </c>
      <c r="K8" s="68" t="s">
        <v>126</v>
      </c>
      <c r="L8" s="68" t="s">
        <v>270</v>
      </c>
      <c r="M8" s="68" t="s">
        <v>271</v>
      </c>
      <c r="N8" s="68" t="s">
        <v>266</v>
      </c>
      <c r="O8" s="69" t="s">
        <v>268</v>
      </c>
    </row>
    <row r="9" spans="2:15" ht="15">
      <c r="B9" s="67">
        <v>1</v>
      </c>
      <c r="C9" s="70" t="s">
        <v>400</v>
      </c>
      <c r="D9" s="71">
        <v>1000</v>
      </c>
      <c r="E9" s="72">
        <v>0</v>
      </c>
      <c r="F9" s="73">
        <v>0.77542999999999995</v>
      </c>
      <c r="G9" s="74">
        <v>0</v>
      </c>
      <c r="H9" s="73">
        <v>0</v>
      </c>
      <c r="I9" s="139">
        <f>F9+G9-H9</f>
        <v>0.77542999999999995</v>
      </c>
      <c r="J9" s="140">
        <v>0</v>
      </c>
      <c r="K9" s="141">
        <f>AVERAGE(F9,I9)*E9</f>
        <v>0</v>
      </c>
      <c r="L9" s="142">
        <v>0</v>
      </c>
      <c r="M9" s="143">
        <f>J9+K9-L9</f>
        <v>0</v>
      </c>
      <c r="N9" s="144">
        <f>F9-J9</f>
        <v>0.77542999999999995</v>
      </c>
      <c r="O9" s="144">
        <f>I9-M9</f>
        <v>0.77542999999999995</v>
      </c>
    </row>
    <row r="10" spans="2:15" ht="15">
      <c r="B10" s="75">
        <v>2</v>
      </c>
      <c r="C10" s="76" t="s">
        <v>116</v>
      </c>
      <c r="D10" s="77">
        <v>1100</v>
      </c>
      <c r="E10" s="78">
        <v>3.3399999999999999E-2</v>
      </c>
      <c r="F10" s="79">
        <v>5.0163611829999999</v>
      </c>
      <c r="G10" s="80">
        <v>0</v>
      </c>
      <c r="H10" s="79">
        <v>0</v>
      </c>
      <c r="I10" s="145">
        <f>F10+G10-H10</f>
        <v>5.0163611829999999</v>
      </c>
      <c r="J10" s="146">
        <v>1.9768380079999999</v>
      </c>
      <c r="K10" s="141">
        <f t="shared" ref="K10:K20" si="0">AVERAGE(F10,I10)*E10</f>
        <v>0.16754646351219998</v>
      </c>
      <c r="L10" s="148">
        <v>0</v>
      </c>
      <c r="M10" s="149">
        <f t="shared" ref="M10:M12" si="1">J10+K10-L10</f>
        <v>2.1443844715122</v>
      </c>
      <c r="N10" s="145">
        <f t="shared" ref="N10:N12" si="2">F10-J10</f>
        <v>3.0395231750000002</v>
      </c>
      <c r="O10" s="145">
        <f t="shared" ref="O10:O12" si="3">I10-M10</f>
        <v>2.8719767114877999</v>
      </c>
    </row>
    <row r="11" spans="2:15" ht="15">
      <c r="B11" s="75">
        <v>3</v>
      </c>
      <c r="C11" s="82" t="s">
        <v>410</v>
      </c>
      <c r="D11" s="77">
        <v>1200</v>
      </c>
      <c r="E11" s="78">
        <v>5.28E-2</v>
      </c>
      <c r="F11" s="79">
        <v>5.1173780109999996</v>
      </c>
      <c r="G11" s="80">
        <v>0</v>
      </c>
      <c r="H11" s="79">
        <v>0</v>
      </c>
      <c r="I11" s="145">
        <f t="shared" ref="I11:I12" si="4">F11+G11-H11</f>
        <v>5.1173780109999996</v>
      </c>
      <c r="J11" s="146">
        <v>0.88441748699999989</v>
      </c>
      <c r="K11" s="141">
        <f t="shared" si="0"/>
        <v>0.2701975589808</v>
      </c>
      <c r="L11" s="148">
        <v>0</v>
      </c>
      <c r="M11" s="149">
        <f t="shared" si="1"/>
        <v>1.1546150459807998</v>
      </c>
      <c r="N11" s="145">
        <f t="shared" si="2"/>
        <v>4.2329605239999992</v>
      </c>
      <c r="O11" s="145">
        <f t="shared" si="3"/>
        <v>3.9627629650191998</v>
      </c>
    </row>
    <row r="12" spans="2:15" ht="15.75" thickBot="1">
      <c r="B12" s="75">
        <v>4</v>
      </c>
      <c r="C12" s="82" t="s">
        <v>115</v>
      </c>
      <c r="D12" s="77">
        <v>1300</v>
      </c>
      <c r="E12" s="83">
        <v>5.28E-2</v>
      </c>
      <c r="F12" s="79">
        <f>307.895784411-87.22</f>
        <v>220.67578441100002</v>
      </c>
      <c r="G12" s="80">
        <v>0</v>
      </c>
      <c r="H12" s="81">
        <v>0</v>
      </c>
      <c r="I12" s="145">
        <f t="shared" si="4"/>
        <v>220.67578441100002</v>
      </c>
      <c r="J12" s="146">
        <f>40.524847123-6.92-0.88</f>
        <v>32.724847122999996</v>
      </c>
      <c r="K12" s="141">
        <f t="shared" si="0"/>
        <v>11.651681416900802</v>
      </c>
      <c r="L12" s="148">
        <v>0</v>
      </c>
      <c r="M12" s="149">
        <f t="shared" si="1"/>
        <v>44.376528539900796</v>
      </c>
      <c r="N12" s="145">
        <f t="shared" si="2"/>
        <v>187.95093728800003</v>
      </c>
      <c r="O12" s="145">
        <f t="shared" si="3"/>
        <v>176.29925587109923</v>
      </c>
    </row>
    <row r="13" spans="2:15" ht="15">
      <c r="B13" s="67">
        <v>5</v>
      </c>
      <c r="C13" s="70" t="s">
        <v>401</v>
      </c>
      <c r="D13" s="71">
        <v>1400</v>
      </c>
      <c r="E13" s="72">
        <v>5.28E-2</v>
      </c>
      <c r="F13" s="73">
        <v>0</v>
      </c>
      <c r="G13" s="74">
        <v>0</v>
      </c>
      <c r="H13" s="73">
        <v>0</v>
      </c>
      <c r="I13" s="139">
        <f>F13+G13-H13</f>
        <v>0</v>
      </c>
      <c r="J13" s="140">
        <v>0</v>
      </c>
      <c r="K13" s="141">
        <f t="shared" si="0"/>
        <v>0</v>
      </c>
      <c r="L13" s="142">
        <v>0</v>
      </c>
      <c r="M13" s="143">
        <f>J13+K13-L13</f>
        <v>0</v>
      </c>
      <c r="N13" s="144">
        <f>F13-J13</f>
        <v>0</v>
      </c>
      <c r="O13" s="144">
        <f>I13-M13</f>
        <v>0</v>
      </c>
    </row>
    <row r="14" spans="2:15" ht="15">
      <c r="B14" s="75">
        <v>6</v>
      </c>
      <c r="C14" s="76" t="s">
        <v>402</v>
      </c>
      <c r="D14" s="77">
        <v>1500</v>
      </c>
      <c r="E14" s="78">
        <v>5.28E-2</v>
      </c>
      <c r="F14" s="79">
        <v>3.7370239119999997</v>
      </c>
      <c r="G14" s="80">
        <v>0</v>
      </c>
      <c r="H14" s="79">
        <v>0</v>
      </c>
      <c r="I14" s="145">
        <f>F14+G14-H14</f>
        <v>3.7370239119999997</v>
      </c>
      <c r="J14" s="146">
        <v>0.45717576600000004</v>
      </c>
      <c r="K14" s="141">
        <f t="shared" si="0"/>
        <v>0.19731486255359998</v>
      </c>
      <c r="L14" s="148">
        <v>0</v>
      </c>
      <c r="M14" s="149">
        <f t="shared" ref="M14:M16" si="5">J14+K14-L14</f>
        <v>0.65449062855360007</v>
      </c>
      <c r="N14" s="145">
        <f t="shared" ref="N14:N16" si="6">F14-J14</f>
        <v>3.2798481459999995</v>
      </c>
      <c r="O14" s="145">
        <f t="shared" ref="O14:O16" si="7">I14-M14</f>
        <v>3.0825332834463994</v>
      </c>
    </row>
    <row r="15" spans="2:15" ht="15">
      <c r="B15" s="75">
        <v>7</v>
      </c>
      <c r="C15" s="82" t="s">
        <v>403</v>
      </c>
      <c r="D15" s="77">
        <v>1600</v>
      </c>
      <c r="E15" s="78">
        <v>3.3399999999999999E-2</v>
      </c>
      <c r="F15" s="79">
        <v>203.61140957200001</v>
      </c>
      <c r="G15" s="80">
        <v>0</v>
      </c>
      <c r="H15" s="79">
        <v>0</v>
      </c>
      <c r="I15" s="145">
        <f t="shared" ref="I15:I16" si="8">F15+G15-H15</f>
        <v>203.61140957200001</v>
      </c>
      <c r="J15" s="146">
        <v>27.859714595</v>
      </c>
      <c r="K15" s="141">
        <f t="shared" si="0"/>
        <v>6.8006210797048006</v>
      </c>
      <c r="L15" s="148">
        <v>0</v>
      </c>
      <c r="M15" s="149">
        <f t="shared" si="5"/>
        <v>34.660335674704797</v>
      </c>
      <c r="N15" s="145">
        <f t="shared" si="6"/>
        <v>175.751694977</v>
      </c>
      <c r="O15" s="145">
        <f t="shared" si="7"/>
        <v>168.9510738972952</v>
      </c>
    </row>
    <row r="16" spans="2:15" ht="15.75" thickBot="1">
      <c r="B16" s="75">
        <v>8</v>
      </c>
      <c r="C16" s="82" t="s">
        <v>120</v>
      </c>
      <c r="D16" s="77">
        <v>1700</v>
      </c>
      <c r="E16" s="83">
        <v>9.5000000000000001E-2</v>
      </c>
      <c r="F16" s="79">
        <v>0.68049910000000002</v>
      </c>
      <c r="G16" s="80">
        <v>0</v>
      </c>
      <c r="H16" s="81">
        <v>0</v>
      </c>
      <c r="I16" s="145">
        <f t="shared" si="8"/>
        <v>0.68049910000000002</v>
      </c>
      <c r="J16" s="146">
        <v>0.61244919000000009</v>
      </c>
      <c r="K16" s="141">
        <f t="shared" si="0"/>
        <v>6.46474145E-2</v>
      </c>
      <c r="L16" s="148">
        <v>0</v>
      </c>
      <c r="M16" s="149">
        <f t="shared" si="5"/>
        <v>0.67709660450000009</v>
      </c>
      <c r="N16" s="145">
        <f t="shared" si="6"/>
        <v>6.8049909999999936E-2</v>
      </c>
      <c r="O16" s="145">
        <f t="shared" si="7"/>
        <v>3.4024954999999357E-3</v>
      </c>
    </row>
    <row r="17" spans="2:17" ht="15">
      <c r="B17" s="67">
        <v>9</v>
      </c>
      <c r="C17" s="70" t="s">
        <v>404</v>
      </c>
      <c r="D17" s="71">
        <v>1800</v>
      </c>
      <c r="E17" s="72">
        <v>6.3299999999999995E-2</v>
      </c>
      <c r="F17" s="73">
        <v>0.62565425399999997</v>
      </c>
      <c r="G17" s="74">
        <v>0</v>
      </c>
      <c r="H17" s="73">
        <v>0</v>
      </c>
      <c r="I17" s="139">
        <f>F17+G17-H17</f>
        <v>0.62565425399999997</v>
      </c>
      <c r="J17" s="140">
        <v>0.280913892</v>
      </c>
      <c r="K17" s="141">
        <f t="shared" si="0"/>
        <v>3.9603914278199995E-2</v>
      </c>
      <c r="L17" s="142">
        <v>0</v>
      </c>
      <c r="M17" s="143">
        <f>J17+K17-L17</f>
        <v>0.32051780627819998</v>
      </c>
      <c r="N17" s="144">
        <f>F17-J17</f>
        <v>0.34474036199999997</v>
      </c>
      <c r="O17" s="144">
        <f>I17-M17</f>
        <v>0.30513644772179999</v>
      </c>
    </row>
    <row r="18" spans="2:17" ht="15">
      <c r="B18" s="75">
        <v>10</v>
      </c>
      <c r="C18" s="76" t="s">
        <v>405</v>
      </c>
      <c r="D18" s="77">
        <v>1900</v>
      </c>
      <c r="E18" s="78">
        <v>0.15</v>
      </c>
      <c r="F18" s="79">
        <v>0.262353208</v>
      </c>
      <c r="G18" s="80">
        <v>9.4281999999999994E-3</v>
      </c>
      <c r="H18" s="79">
        <v>1.2991200000000002E-3</v>
      </c>
      <c r="I18" s="145">
        <f>F18+G18-H18</f>
        <v>0.27048228800000002</v>
      </c>
      <c r="J18" s="146">
        <v>0.193837494</v>
      </c>
      <c r="K18" s="141">
        <f t="shared" si="0"/>
        <v>3.9962662199999999E-2</v>
      </c>
      <c r="L18" s="148">
        <v>8.8176100000000011E-4</v>
      </c>
      <c r="M18" s="149">
        <f t="shared" ref="M18:M20" si="9">J18+K18-L18</f>
        <v>0.23291839519999999</v>
      </c>
      <c r="N18" s="145">
        <f t="shared" ref="N18:N20" si="10">F18-J18</f>
        <v>6.8515714000000005E-2</v>
      </c>
      <c r="O18" s="145">
        <f t="shared" ref="O18:O20" si="11">I18-M18</f>
        <v>3.7563892800000026E-2</v>
      </c>
    </row>
    <row r="19" spans="2:17" ht="15">
      <c r="B19" s="75">
        <v>11</v>
      </c>
      <c r="C19" s="82" t="s">
        <v>122</v>
      </c>
      <c r="D19" s="77">
        <v>2100</v>
      </c>
      <c r="E19" s="78">
        <v>6.3299999999999995E-2</v>
      </c>
      <c r="F19" s="79">
        <v>0.18259062000000001</v>
      </c>
      <c r="G19" s="80">
        <v>3.3349774999999998E-2</v>
      </c>
      <c r="H19" s="79">
        <v>0</v>
      </c>
      <c r="I19" s="145">
        <f t="shared" ref="I19:I20" si="12">F19+G19-H19</f>
        <v>0.21594039500000001</v>
      </c>
      <c r="J19" s="146">
        <v>0.12976348999999998</v>
      </c>
      <c r="K19" s="141">
        <f t="shared" si="0"/>
        <v>1.2613506624749998E-2</v>
      </c>
      <c r="L19" s="148">
        <v>0</v>
      </c>
      <c r="M19" s="149">
        <f t="shared" si="9"/>
        <v>0.14237699662474998</v>
      </c>
      <c r="N19" s="145">
        <f t="shared" si="10"/>
        <v>5.2827130000000028E-2</v>
      </c>
      <c r="O19" s="145">
        <f t="shared" si="11"/>
        <v>7.3563398375250028E-2</v>
      </c>
    </row>
    <row r="20" spans="2:17" ht="15">
      <c r="B20" s="75">
        <v>12</v>
      </c>
      <c r="C20" s="82" t="s">
        <v>406</v>
      </c>
      <c r="D20" s="77">
        <v>0</v>
      </c>
      <c r="E20" s="83">
        <v>0</v>
      </c>
      <c r="F20" s="79">
        <v>0</v>
      </c>
      <c r="G20" s="80">
        <v>0</v>
      </c>
      <c r="H20" s="81">
        <v>0</v>
      </c>
      <c r="I20" s="145">
        <f t="shared" si="12"/>
        <v>0</v>
      </c>
      <c r="J20" s="146">
        <v>0</v>
      </c>
      <c r="K20" s="141">
        <f t="shared" si="0"/>
        <v>0</v>
      </c>
      <c r="L20" s="148"/>
      <c r="M20" s="149">
        <f t="shared" si="9"/>
        <v>0</v>
      </c>
      <c r="N20" s="145">
        <f t="shared" si="10"/>
        <v>0</v>
      </c>
      <c r="O20" s="145">
        <f t="shared" si="11"/>
        <v>0</v>
      </c>
    </row>
    <row r="21" spans="2:17" ht="15.75" thickBot="1">
      <c r="B21" s="84"/>
      <c r="C21" s="85" t="s">
        <v>127</v>
      </c>
      <c r="D21" s="85"/>
      <c r="E21" s="150">
        <f>IFERROR((K21-L21)/AVERAGE(F21,I21),0)</f>
        <v>4.3664803781450275E-2</v>
      </c>
      <c r="F21" s="151">
        <f>SUM(F9:F20)</f>
        <v>440.68448427099997</v>
      </c>
      <c r="G21" s="151">
        <f>'F3'!F12</f>
        <v>4.2777974999999996E-2</v>
      </c>
      <c r="H21" s="151">
        <f t="shared" ref="H21:L21" si="13">SUM(H9:H20)</f>
        <v>1.2991200000000002E-3</v>
      </c>
      <c r="I21" s="151">
        <f t="shared" si="13"/>
        <v>440.72596312600001</v>
      </c>
      <c r="J21" s="152">
        <f t="shared" si="13"/>
        <v>65.119957044999992</v>
      </c>
      <c r="K21" s="151">
        <f t="shared" si="13"/>
        <v>19.244188879255152</v>
      </c>
      <c r="L21" s="153">
        <f t="shared" si="13"/>
        <v>8.8176100000000011E-4</v>
      </c>
      <c r="M21" s="152">
        <f>J21+K21-L21</f>
        <v>84.363264163255138</v>
      </c>
      <c r="N21" s="151">
        <f>F21-J21</f>
        <v>375.564527226</v>
      </c>
      <c r="O21" s="151">
        <f>I21-M21</f>
        <v>356.36269896274484</v>
      </c>
      <c r="Q21" s="189"/>
    </row>
    <row r="22" spans="2:17" ht="15" thickBot="1"/>
    <row r="23" spans="2:17" ht="15">
      <c r="B23" s="257" t="s">
        <v>383</v>
      </c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9"/>
    </row>
    <row r="24" spans="2:17" ht="14.25" customHeight="1">
      <c r="B24" s="262" t="s">
        <v>2</v>
      </c>
      <c r="C24" s="264" t="s">
        <v>274</v>
      </c>
      <c r="D24" s="260" t="s">
        <v>261</v>
      </c>
      <c r="E24" s="260" t="s">
        <v>262</v>
      </c>
      <c r="F24" s="260" t="s">
        <v>263</v>
      </c>
      <c r="G24" s="260"/>
      <c r="H24" s="260"/>
      <c r="I24" s="260"/>
      <c r="J24" s="260" t="s">
        <v>264</v>
      </c>
      <c r="K24" s="260"/>
      <c r="L24" s="260"/>
      <c r="M24" s="260"/>
      <c r="N24" s="260" t="s">
        <v>265</v>
      </c>
      <c r="O24" s="261"/>
    </row>
    <row r="25" spans="2:17" ht="60.75" thickBot="1">
      <c r="B25" s="263"/>
      <c r="C25" s="265"/>
      <c r="D25" s="266"/>
      <c r="E25" s="266"/>
      <c r="F25" s="68" t="s">
        <v>266</v>
      </c>
      <c r="G25" s="68" t="s">
        <v>126</v>
      </c>
      <c r="H25" s="68" t="s">
        <v>267</v>
      </c>
      <c r="I25" s="68" t="s">
        <v>268</v>
      </c>
      <c r="J25" s="68" t="s">
        <v>269</v>
      </c>
      <c r="K25" s="68" t="s">
        <v>126</v>
      </c>
      <c r="L25" s="68" t="s">
        <v>270</v>
      </c>
      <c r="M25" s="68" t="s">
        <v>271</v>
      </c>
      <c r="N25" s="68" t="s">
        <v>266</v>
      </c>
      <c r="O25" s="69" t="s">
        <v>268</v>
      </c>
    </row>
    <row r="26" spans="2:17" ht="15.75" thickBot="1">
      <c r="B26" s="67">
        <v>1</v>
      </c>
      <c r="C26" s="70" t="s">
        <v>400</v>
      </c>
      <c r="D26" s="71">
        <v>1000</v>
      </c>
      <c r="E26" s="72">
        <v>0</v>
      </c>
      <c r="F26" s="139">
        <f t="shared" ref="F26:F37" si="14">I9</f>
        <v>0.77542999999999995</v>
      </c>
      <c r="G26" s="74"/>
      <c r="H26" s="73"/>
      <c r="I26" s="139">
        <f>F26+G26-H26</f>
        <v>0.77542999999999995</v>
      </c>
      <c r="J26" s="140">
        <f>M9</f>
        <v>0</v>
      </c>
      <c r="K26" s="141">
        <f>AVERAGE(F26,I26)*E26</f>
        <v>0</v>
      </c>
      <c r="L26" s="142"/>
      <c r="M26" s="143">
        <f>J26+K26-L26</f>
        <v>0</v>
      </c>
      <c r="N26" s="144">
        <f>F26-J26</f>
        <v>0.77542999999999995</v>
      </c>
      <c r="O26" s="144">
        <f>I26-M26</f>
        <v>0.77542999999999995</v>
      </c>
    </row>
    <row r="27" spans="2:17" ht="15.75" thickBot="1">
      <c r="B27" s="75">
        <v>2</v>
      </c>
      <c r="C27" s="76" t="s">
        <v>116</v>
      </c>
      <c r="D27" s="77">
        <v>1100</v>
      </c>
      <c r="E27" s="78">
        <v>3.3399999999999999E-2</v>
      </c>
      <c r="F27" s="145">
        <f t="shared" si="14"/>
        <v>5.0163611829999999</v>
      </c>
      <c r="G27" s="80"/>
      <c r="H27" s="79"/>
      <c r="I27" s="145">
        <f>F27+G27-H27</f>
        <v>5.0163611829999999</v>
      </c>
      <c r="J27" s="140">
        <f t="shared" ref="J27:J37" si="15">M10</f>
        <v>2.1443844715122</v>
      </c>
      <c r="K27" s="141">
        <f t="shared" ref="K27:K37" si="16">AVERAGE(F27,I27)*E27</f>
        <v>0.16754646351219998</v>
      </c>
      <c r="L27" s="148"/>
      <c r="M27" s="149">
        <f t="shared" ref="M27:M29" si="17">J27+K27-L27</f>
        <v>2.3119309350243999</v>
      </c>
      <c r="N27" s="145">
        <f t="shared" ref="N27:N29" si="18">F27-J27</f>
        <v>2.8719767114877999</v>
      </c>
      <c r="O27" s="145">
        <f t="shared" ref="O27:O29" si="19">I27-M27</f>
        <v>2.7044302479755999</v>
      </c>
    </row>
    <row r="28" spans="2:17" ht="15.75" thickBot="1">
      <c r="B28" s="75">
        <v>3</v>
      </c>
      <c r="C28" s="82" t="s">
        <v>410</v>
      </c>
      <c r="D28" s="77">
        <v>1200</v>
      </c>
      <c r="E28" s="78">
        <v>5.28E-2</v>
      </c>
      <c r="F28" s="145">
        <f t="shared" si="14"/>
        <v>5.1173780109999996</v>
      </c>
      <c r="G28" s="80"/>
      <c r="H28" s="79"/>
      <c r="I28" s="145">
        <f t="shared" ref="I28:I29" si="20">F28+G28-H28</f>
        <v>5.1173780109999996</v>
      </c>
      <c r="J28" s="140">
        <f t="shared" si="15"/>
        <v>1.1546150459807998</v>
      </c>
      <c r="K28" s="141">
        <f t="shared" si="16"/>
        <v>0.2701975589808</v>
      </c>
      <c r="L28" s="148"/>
      <c r="M28" s="149">
        <f t="shared" si="17"/>
        <v>1.4248126049615997</v>
      </c>
      <c r="N28" s="145">
        <f t="shared" si="18"/>
        <v>3.9627629650191998</v>
      </c>
      <c r="O28" s="145">
        <f t="shared" si="19"/>
        <v>3.6925654060383999</v>
      </c>
    </row>
    <row r="29" spans="2:17" ht="15.75" thickBot="1">
      <c r="B29" s="75">
        <v>4</v>
      </c>
      <c r="C29" s="82" t="s">
        <v>115</v>
      </c>
      <c r="D29" s="77">
        <v>1300</v>
      </c>
      <c r="E29" s="83">
        <v>5.28E-2</v>
      </c>
      <c r="F29" s="145">
        <f t="shared" si="14"/>
        <v>220.67578441100002</v>
      </c>
      <c r="G29" s="80"/>
      <c r="H29" s="81"/>
      <c r="I29" s="145">
        <f t="shared" si="20"/>
        <v>220.67578441100002</v>
      </c>
      <c r="J29" s="140">
        <f t="shared" si="15"/>
        <v>44.376528539900796</v>
      </c>
      <c r="K29" s="141">
        <f t="shared" si="16"/>
        <v>11.651681416900802</v>
      </c>
      <c r="L29" s="148"/>
      <c r="M29" s="149">
        <f t="shared" si="17"/>
        <v>56.028209956801597</v>
      </c>
      <c r="N29" s="145">
        <f t="shared" si="18"/>
        <v>176.29925587109923</v>
      </c>
      <c r="O29" s="145">
        <f t="shared" si="19"/>
        <v>164.64757445419843</v>
      </c>
    </row>
    <row r="30" spans="2:17" ht="15.75" thickBot="1">
      <c r="B30" s="67">
        <v>5</v>
      </c>
      <c r="C30" s="70" t="s">
        <v>401</v>
      </c>
      <c r="D30" s="71">
        <v>1400</v>
      </c>
      <c r="E30" s="72">
        <v>5.28E-2</v>
      </c>
      <c r="F30" s="139">
        <f t="shared" si="14"/>
        <v>0</v>
      </c>
      <c r="G30" s="74"/>
      <c r="H30" s="73"/>
      <c r="I30" s="139">
        <f>F30+G30-H30</f>
        <v>0</v>
      </c>
      <c r="J30" s="140">
        <f t="shared" si="15"/>
        <v>0</v>
      </c>
      <c r="K30" s="141">
        <f t="shared" si="16"/>
        <v>0</v>
      </c>
      <c r="L30" s="142"/>
      <c r="M30" s="143">
        <f>J30+K30-L30</f>
        <v>0</v>
      </c>
      <c r="N30" s="144">
        <f>F30-J30</f>
        <v>0</v>
      </c>
      <c r="O30" s="144">
        <f>I30-M30</f>
        <v>0</v>
      </c>
    </row>
    <row r="31" spans="2:17" ht="15.75" thickBot="1">
      <c r="B31" s="75">
        <v>6</v>
      </c>
      <c r="C31" s="76" t="s">
        <v>402</v>
      </c>
      <c r="D31" s="77">
        <v>1500</v>
      </c>
      <c r="E31" s="78">
        <v>5.28E-2</v>
      </c>
      <c r="F31" s="145">
        <f t="shared" si="14"/>
        <v>3.7370239119999997</v>
      </c>
      <c r="G31" s="80"/>
      <c r="H31" s="79"/>
      <c r="I31" s="145">
        <f>F31+G31-H31</f>
        <v>3.7370239119999997</v>
      </c>
      <c r="J31" s="140">
        <f t="shared" si="15"/>
        <v>0.65449062855360007</v>
      </c>
      <c r="K31" s="141">
        <f t="shared" si="16"/>
        <v>0.19731486255359998</v>
      </c>
      <c r="L31" s="148"/>
      <c r="M31" s="149">
        <f t="shared" ref="M31:M33" si="21">J31+K31-L31</f>
        <v>0.85180549110720005</v>
      </c>
      <c r="N31" s="145">
        <f t="shared" ref="N31:N33" si="22">F31-J31</f>
        <v>3.0825332834463994</v>
      </c>
      <c r="O31" s="145">
        <f t="shared" ref="O31:O33" si="23">I31-M31</f>
        <v>2.8852184208927998</v>
      </c>
    </row>
    <row r="32" spans="2:17" ht="15.75" thickBot="1">
      <c r="B32" s="75">
        <v>7</v>
      </c>
      <c r="C32" s="82" t="s">
        <v>403</v>
      </c>
      <c r="D32" s="77">
        <v>1600</v>
      </c>
      <c r="E32" s="78">
        <v>3.3399999999999999E-2</v>
      </c>
      <c r="F32" s="145">
        <f t="shared" si="14"/>
        <v>203.61140957200001</v>
      </c>
      <c r="G32" s="194"/>
      <c r="H32" s="79"/>
      <c r="I32" s="145">
        <f t="shared" ref="I32:I33" si="24">F32+G32-H32</f>
        <v>203.61140957200001</v>
      </c>
      <c r="J32" s="140">
        <f t="shared" si="15"/>
        <v>34.660335674704797</v>
      </c>
      <c r="K32" s="141">
        <f t="shared" si="16"/>
        <v>6.8006210797048006</v>
      </c>
      <c r="L32" s="148"/>
      <c r="M32" s="149">
        <f t="shared" si="21"/>
        <v>41.460956754409594</v>
      </c>
      <c r="N32" s="145">
        <f t="shared" si="22"/>
        <v>168.9510738972952</v>
      </c>
      <c r="O32" s="145">
        <f t="shared" si="23"/>
        <v>162.15045281759041</v>
      </c>
    </row>
    <row r="33" spans="2:15" ht="15.75" thickBot="1">
      <c r="B33" s="75">
        <v>8</v>
      </c>
      <c r="C33" s="82" t="s">
        <v>120</v>
      </c>
      <c r="D33" s="77">
        <v>1700</v>
      </c>
      <c r="E33" s="83">
        <v>9.5000000000000001E-2</v>
      </c>
      <c r="F33" s="145">
        <f t="shared" si="14"/>
        <v>0.68049910000000002</v>
      </c>
      <c r="G33" s="80"/>
      <c r="H33" s="81"/>
      <c r="I33" s="145">
        <f t="shared" si="24"/>
        <v>0.68049910000000002</v>
      </c>
      <c r="J33" s="140">
        <f t="shared" si="15"/>
        <v>0.67709660450000009</v>
      </c>
      <c r="K33" s="141">
        <f t="shared" si="16"/>
        <v>6.46474145E-2</v>
      </c>
      <c r="L33" s="148"/>
      <c r="M33" s="149">
        <f t="shared" si="21"/>
        <v>0.74174401900000009</v>
      </c>
      <c r="N33" s="145">
        <f t="shared" si="22"/>
        <v>3.4024954999999357E-3</v>
      </c>
      <c r="O33" s="145">
        <f t="shared" si="23"/>
        <v>-6.1244919000000064E-2</v>
      </c>
    </row>
    <row r="34" spans="2:15" ht="15.75" thickBot="1">
      <c r="B34" s="67">
        <v>9</v>
      </c>
      <c r="C34" s="70" t="s">
        <v>404</v>
      </c>
      <c r="D34" s="71">
        <v>1800</v>
      </c>
      <c r="E34" s="72">
        <v>6.3299999999999995E-2</v>
      </c>
      <c r="F34" s="139">
        <f t="shared" si="14"/>
        <v>0.62565425399999997</v>
      </c>
      <c r="G34" s="74"/>
      <c r="H34" s="73"/>
      <c r="I34" s="139">
        <f>F34+G34-H34</f>
        <v>0.62565425399999997</v>
      </c>
      <c r="J34" s="140">
        <f t="shared" si="15"/>
        <v>0.32051780627819998</v>
      </c>
      <c r="K34" s="141">
        <f t="shared" si="16"/>
        <v>3.9603914278199995E-2</v>
      </c>
      <c r="L34" s="142"/>
      <c r="M34" s="143">
        <f>J34+K34-L34</f>
        <v>0.36012172055639996</v>
      </c>
      <c r="N34" s="144">
        <f>F34-J34</f>
        <v>0.30513644772179999</v>
      </c>
      <c r="O34" s="144">
        <f>I34-M34</f>
        <v>0.26553253344360001</v>
      </c>
    </row>
    <row r="35" spans="2:15" ht="15.75" thickBot="1">
      <c r="B35" s="75">
        <v>10</v>
      </c>
      <c r="C35" s="76" t="s">
        <v>405</v>
      </c>
      <c r="D35" s="77">
        <v>1900</v>
      </c>
      <c r="E35" s="78">
        <v>0.15</v>
      </c>
      <c r="F35" s="145">
        <f t="shared" si="14"/>
        <v>0.27048228800000002</v>
      </c>
      <c r="G35" s="80"/>
      <c r="H35" s="79"/>
      <c r="I35" s="145">
        <f>F35+G35-H35</f>
        <v>0.27048228800000002</v>
      </c>
      <c r="J35" s="140">
        <f t="shared" si="15"/>
        <v>0.23291839519999999</v>
      </c>
      <c r="K35" s="141">
        <f t="shared" si="16"/>
        <v>4.0572343199999999E-2</v>
      </c>
      <c r="L35" s="148"/>
      <c r="M35" s="149">
        <f t="shared" ref="M35:M37" si="25">J35+K35-L35</f>
        <v>0.27349073839999999</v>
      </c>
      <c r="N35" s="145">
        <f t="shared" ref="N35:N37" si="26">F35-J35</f>
        <v>3.7563892800000026E-2</v>
      </c>
      <c r="O35" s="145">
        <f t="shared" ref="O35:O37" si="27">I35-M35</f>
        <v>-3.0084503999999734E-3</v>
      </c>
    </row>
    <row r="36" spans="2:15" ht="15.75" thickBot="1">
      <c r="B36" s="75">
        <v>11</v>
      </c>
      <c r="C36" s="82" t="s">
        <v>122</v>
      </c>
      <c r="D36" s="77">
        <v>2100</v>
      </c>
      <c r="E36" s="78">
        <v>6.3299999999999995E-2</v>
      </c>
      <c r="F36" s="145">
        <f t="shared" si="14"/>
        <v>0.21594039500000001</v>
      </c>
      <c r="G36" s="80">
        <v>4.48E-2</v>
      </c>
      <c r="H36" s="79"/>
      <c r="I36" s="145">
        <f t="shared" ref="I36" si="28">F36+G36-H36</f>
        <v>0.26074039500000001</v>
      </c>
      <c r="J36" s="140">
        <f t="shared" si="15"/>
        <v>0.14237699662474998</v>
      </c>
      <c r="K36" s="141">
        <f t="shared" si="16"/>
        <v>1.5086947003499999E-2</v>
      </c>
      <c r="L36" s="148"/>
      <c r="M36" s="149">
        <f t="shared" si="25"/>
        <v>0.15746394362824997</v>
      </c>
      <c r="N36" s="145">
        <f t="shared" si="26"/>
        <v>7.3563398375250028E-2</v>
      </c>
      <c r="O36" s="145">
        <f t="shared" si="27"/>
        <v>0.10327645137175004</v>
      </c>
    </row>
    <row r="37" spans="2:15" ht="15">
      <c r="B37" s="75"/>
      <c r="C37" s="82" t="s">
        <v>9</v>
      </c>
      <c r="D37" s="77"/>
      <c r="E37" s="83"/>
      <c r="F37" s="145">
        <f t="shared" si="14"/>
        <v>0</v>
      </c>
      <c r="G37" s="80"/>
      <c r="H37" s="81"/>
      <c r="I37" s="145">
        <f>F37+G37-H37</f>
        <v>0</v>
      </c>
      <c r="J37" s="140">
        <f t="shared" si="15"/>
        <v>0</v>
      </c>
      <c r="K37" s="141">
        <f t="shared" si="16"/>
        <v>0</v>
      </c>
      <c r="L37" s="148"/>
      <c r="M37" s="149">
        <f t="shared" si="25"/>
        <v>0</v>
      </c>
      <c r="N37" s="145">
        <f t="shared" si="26"/>
        <v>0</v>
      </c>
      <c r="O37" s="145">
        <f t="shared" si="27"/>
        <v>0</v>
      </c>
    </row>
    <row r="38" spans="2:15" ht="15.75" thickBot="1">
      <c r="B38" s="84"/>
      <c r="C38" s="85" t="s">
        <v>127</v>
      </c>
      <c r="D38" s="85"/>
      <c r="E38" s="150">
        <f>IFERROR((K38-L38)/AVERAGE(F38,I38),0)</f>
        <v>4.3669763562035196E-2</v>
      </c>
      <c r="F38" s="151">
        <f>I21</f>
        <v>440.72596312600001</v>
      </c>
      <c r="G38" s="151">
        <f>'F3'!H12</f>
        <v>0.04</v>
      </c>
      <c r="H38" s="151">
        <f t="shared" ref="H38:L38" si="29">SUM(H26:H37)</f>
        <v>0</v>
      </c>
      <c r="I38" s="151">
        <f>F38+G38-H38</f>
        <v>440.76596312600003</v>
      </c>
      <c r="J38" s="210">
        <f>M21</f>
        <v>84.363264163255138</v>
      </c>
      <c r="K38" s="151">
        <f>SUM(K26:K37)</f>
        <v>19.247272000633902</v>
      </c>
      <c r="L38" s="151">
        <f t="shared" si="29"/>
        <v>0</v>
      </c>
      <c r="M38" s="151">
        <f>J38+K38-L38</f>
        <v>103.61053616388904</v>
      </c>
      <c r="N38" s="151">
        <f>F38-J38</f>
        <v>356.36269896274484</v>
      </c>
      <c r="O38" s="151">
        <f>I38-M38</f>
        <v>337.15542696211099</v>
      </c>
    </row>
    <row r="39" spans="2:15" ht="15" thickBot="1"/>
    <row r="40" spans="2:15" ht="15">
      <c r="B40" s="257" t="s">
        <v>384</v>
      </c>
      <c r="C40" s="258"/>
      <c r="D40" s="258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9"/>
    </row>
    <row r="41" spans="2:15" ht="15">
      <c r="B41" s="262" t="s">
        <v>2</v>
      </c>
      <c r="C41" s="264" t="s">
        <v>274</v>
      </c>
      <c r="D41" s="260" t="s">
        <v>261</v>
      </c>
      <c r="E41" s="260" t="s">
        <v>262</v>
      </c>
      <c r="F41" s="260" t="s">
        <v>263</v>
      </c>
      <c r="G41" s="260"/>
      <c r="H41" s="260"/>
      <c r="I41" s="260"/>
      <c r="J41" s="260" t="s">
        <v>264</v>
      </c>
      <c r="K41" s="260"/>
      <c r="L41" s="260"/>
      <c r="M41" s="260"/>
      <c r="N41" s="260" t="s">
        <v>265</v>
      </c>
      <c r="O41" s="261"/>
    </row>
    <row r="42" spans="2:15" ht="60.75" thickBot="1">
      <c r="B42" s="263"/>
      <c r="C42" s="265"/>
      <c r="D42" s="266"/>
      <c r="E42" s="266"/>
      <c r="F42" s="68" t="s">
        <v>266</v>
      </c>
      <c r="G42" s="68" t="s">
        <v>126</v>
      </c>
      <c r="H42" s="68" t="s">
        <v>267</v>
      </c>
      <c r="I42" s="68" t="s">
        <v>268</v>
      </c>
      <c r="J42" s="68" t="s">
        <v>269</v>
      </c>
      <c r="K42" s="68" t="s">
        <v>126</v>
      </c>
      <c r="L42" s="68" t="s">
        <v>270</v>
      </c>
      <c r="M42" s="68" t="s">
        <v>271</v>
      </c>
      <c r="N42" s="68" t="s">
        <v>266</v>
      </c>
      <c r="O42" s="69" t="s">
        <v>268</v>
      </c>
    </row>
    <row r="43" spans="2:15" ht="15">
      <c r="B43" s="67">
        <v>1</v>
      </c>
      <c r="C43" s="70" t="s">
        <v>212</v>
      </c>
      <c r="D43" s="71"/>
      <c r="E43" s="72"/>
      <c r="F43" s="139"/>
      <c r="G43" s="74"/>
      <c r="H43" s="73"/>
      <c r="I43" s="139"/>
      <c r="J43" s="140"/>
      <c r="K43" s="141"/>
      <c r="L43" s="142"/>
      <c r="M43" s="143"/>
      <c r="N43" s="144"/>
      <c r="O43" s="144"/>
    </row>
    <row r="44" spans="2:15" ht="15">
      <c r="B44" s="75">
        <v>2</v>
      </c>
      <c r="C44" s="76" t="s">
        <v>116</v>
      </c>
      <c r="D44" s="77"/>
      <c r="E44" s="78"/>
      <c r="F44" s="145"/>
      <c r="G44" s="80"/>
      <c r="H44" s="79"/>
      <c r="I44" s="145"/>
      <c r="J44" s="146"/>
      <c r="K44" s="147"/>
      <c r="L44" s="148"/>
      <c r="M44" s="149"/>
      <c r="N44" s="145"/>
      <c r="O44" s="145"/>
    </row>
    <row r="45" spans="2:15" ht="15">
      <c r="B45" s="75">
        <v>3</v>
      </c>
      <c r="C45" s="82" t="s">
        <v>273</v>
      </c>
      <c r="D45" s="77"/>
      <c r="E45" s="78"/>
      <c r="F45" s="145"/>
      <c r="G45" s="80"/>
      <c r="H45" s="79"/>
      <c r="I45" s="145"/>
      <c r="J45" s="146"/>
      <c r="K45" s="147"/>
      <c r="L45" s="148"/>
      <c r="M45" s="149"/>
      <c r="N45" s="145"/>
      <c r="O45" s="145"/>
    </row>
    <row r="46" spans="2:15" ht="15">
      <c r="B46" s="75"/>
      <c r="C46" s="82" t="s">
        <v>9</v>
      </c>
      <c r="D46" s="77"/>
      <c r="E46" s="83"/>
      <c r="F46" s="145"/>
      <c r="G46" s="80">
        <v>12.56</v>
      </c>
      <c r="H46" s="81"/>
      <c r="I46" s="145"/>
      <c r="J46" s="146"/>
      <c r="K46" s="147"/>
      <c r="L46" s="148"/>
      <c r="M46" s="149"/>
      <c r="N46" s="145"/>
      <c r="O46" s="145"/>
    </row>
    <row r="47" spans="2:15" ht="15.75" thickBot="1">
      <c r="B47" s="84"/>
      <c r="C47" s="85" t="s">
        <v>127</v>
      </c>
      <c r="D47" s="85"/>
      <c r="E47" s="150">
        <f>IFERROR((K47-L47)/AVERAGE(F47,I47),0)</f>
        <v>1.8963582140819842E-2</v>
      </c>
      <c r="F47" s="151">
        <f>I38</f>
        <v>440.76596312600003</v>
      </c>
      <c r="G47" s="151">
        <f>'F3'!I12</f>
        <v>27.560000000000002</v>
      </c>
      <c r="H47" s="151">
        <f t="shared" ref="H47:L47" si="30">SUM(H43:H46)</f>
        <v>0</v>
      </c>
      <c r="I47" s="151">
        <f>F47+G47</f>
        <v>468.32596312600003</v>
      </c>
      <c r="J47" s="152">
        <f>M38</f>
        <v>103.61053616388904</v>
      </c>
      <c r="K47" s="151">
        <v>8.6198197085179693</v>
      </c>
      <c r="L47" s="153">
        <f t="shared" si="30"/>
        <v>0</v>
      </c>
      <c r="M47" s="152">
        <f>J47+K47-L47</f>
        <v>112.230355872407</v>
      </c>
      <c r="N47" s="151">
        <f>F47-J47</f>
        <v>337.15542696211099</v>
      </c>
      <c r="O47" s="151">
        <f>I47-M47</f>
        <v>356.09560725359302</v>
      </c>
    </row>
    <row r="48" spans="2:15" ht="15" thickBot="1"/>
    <row r="49" spans="2:15" ht="15">
      <c r="B49" s="257" t="s">
        <v>385</v>
      </c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9"/>
    </row>
    <row r="50" spans="2:15" ht="15">
      <c r="B50" s="262" t="s">
        <v>2</v>
      </c>
      <c r="C50" s="264" t="s">
        <v>274</v>
      </c>
      <c r="D50" s="260" t="s">
        <v>261</v>
      </c>
      <c r="E50" s="260" t="s">
        <v>262</v>
      </c>
      <c r="F50" s="260" t="s">
        <v>263</v>
      </c>
      <c r="G50" s="260"/>
      <c r="H50" s="260"/>
      <c r="I50" s="260"/>
      <c r="J50" s="260" t="s">
        <v>264</v>
      </c>
      <c r="K50" s="260"/>
      <c r="L50" s="260"/>
      <c r="M50" s="260"/>
      <c r="N50" s="260" t="s">
        <v>265</v>
      </c>
      <c r="O50" s="261"/>
    </row>
    <row r="51" spans="2:15" ht="60.75" thickBot="1">
      <c r="B51" s="263"/>
      <c r="C51" s="265"/>
      <c r="D51" s="266"/>
      <c r="E51" s="266"/>
      <c r="F51" s="68" t="s">
        <v>266</v>
      </c>
      <c r="G51" s="68" t="s">
        <v>126</v>
      </c>
      <c r="H51" s="68" t="s">
        <v>267</v>
      </c>
      <c r="I51" s="68" t="s">
        <v>268</v>
      </c>
      <c r="J51" s="68" t="s">
        <v>269</v>
      </c>
      <c r="K51" s="68" t="s">
        <v>126</v>
      </c>
      <c r="L51" s="68" t="s">
        <v>270</v>
      </c>
      <c r="M51" s="68" t="s">
        <v>271</v>
      </c>
      <c r="N51" s="68" t="s">
        <v>266</v>
      </c>
      <c r="O51" s="69" t="s">
        <v>268</v>
      </c>
    </row>
    <row r="52" spans="2:15" ht="15">
      <c r="B52" s="67">
        <v>1</v>
      </c>
      <c r="C52" s="70" t="s">
        <v>212</v>
      </c>
      <c r="D52" s="71"/>
      <c r="E52" s="72"/>
      <c r="F52" s="139">
        <f>I43</f>
        <v>0</v>
      </c>
      <c r="G52" s="74"/>
      <c r="H52" s="73"/>
      <c r="I52" s="139">
        <f>F52+G52-H52</f>
        <v>0</v>
      </c>
      <c r="J52" s="140"/>
      <c r="K52" s="141">
        <f>AVERAGE(F52,I52)*E52</f>
        <v>0</v>
      </c>
      <c r="L52" s="142"/>
      <c r="M52" s="143">
        <f>J52+K52-L52</f>
        <v>0</v>
      </c>
      <c r="N52" s="144">
        <f>F52-J52</f>
        <v>0</v>
      </c>
      <c r="O52" s="144">
        <f>I52-M52</f>
        <v>0</v>
      </c>
    </row>
    <row r="53" spans="2:15" ht="15">
      <c r="B53" s="75">
        <v>2</v>
      </c>
      <c r="C53" s="76" t="s">
        <v>116</v>
      </c>
      <c r="D53" s="77"/>
      <c r="E53" s="78"/>
      <c r="F53" s="145">
        <f>I44</f>
        <v>0</v>
      </c>
      <c r="G53" s="80"/>
      <c r="H53" s="79"/>
      <c r="I53" s="145">
        <f>F53+G53-H53</f>
        <v>0</v>
      </c>
      <c r="J53" s="146"/>
      <c r="K53" s="147">
        <f t="shared" ref="K53:K55" si="31">AVERAGE(F53,I53)*E53</f>
        <v>0</v>
      </c>
      <c r="L53" s="148"/>
      <c r="M53" s="149">
        <f t="shared" ref="M53:M55" si="32">J53+K53-L53</f>
        <v>0</v>
      </c>
      <c r="N53" s="145">
        <f t="shared" ref="N53:N55" si="33">F53-J53</f>
        <v>0</v>
      </c>
      <c r="O53" s="145">
        <f t="shared" ref="O53:O55" si="34">I53-M53</f>
        <v>0</v>
      </c>
    </row>
    <row r="54" spans="2:15" ht="15">
      <c r="B54" s="75">
        <v>3</v>
      </c>
      <c r="C54" s="82" t="s">
        <v>273</v>
      </c>
      <c r="D54" s="77"/>
      <c r="E54" s="78"/>
      <c r="F54" s="145">
        <f>I45</f>
        <v>0</v>
      </c>
      <c r="G54" s="80"/>
      <c r="H54" s="79"/>
      <c r="I54" s="145">
        <f t="shared" ref="I54:I55" si="35">F54+G54-H54</f>
        <v>0</v>
      </c>
      <c r="J54" s="146"/>
      <c r="K54" s="147">
        <f t="shared" si="31"/>
        <v>0</v>
      </c>
      <c r="L54" s="148"/>
      <c r="M54" s="149">
        <f t="shared" si="32"/>
        <v>0</v>
      </c>
      <c r="N54" s="145">
        <f t="shared" si="33"/>
        <v>0</v>
      </c>
      <c r="O54" s="145">
        <f t="shared" si="34"/>
        <v>0</v>
      </c>
    </row>
    <row r="55" spans="2:15" ht="15">
      <c r="B55" s="75"/>
      <c r="C55" s="82" t="s">
        <v>9</v>
      </c>
      <c r="D55" s="77"/>
      <c r="E55" s="83"/>
      <c r="F55" s="145">
        <f>I46</f>
        <v>0</v>
      </c>
      <c r="G55" s="80"/>
      <c r="H55" s="81"/>
      <c r="I55" s="145">
        <f t="shared" si="35"/>
        <v>0</v>
      </c>
      <c r="J55" s="146"/>
      <c r="K55" s="147">
        <f t="shared" si="31"/>
        <v>0</v>
      </c>
      <c r="L55" s="148"/>
      <c r="M55" s="149">
        <f t="shared" si="32"/>
        <v>0</v>
      </c>
      <c r="N55" s="145">
        <f t="shared" si="33"/>
        <v>0</v>
      </c>
      <c r="O55" s="145">
        <f t="shared" si="34"/>
        <v>0</v>
      </c>
    </row>
    <row r="56" spans="2:15" ht="15.75" thickBot="1">
      <c r="B56" s="84"/>
      <c r="C56" s="85" t="s">
        <v>127</v>
      </c>
      <c r="D56" s="85"/>
      <c r="E56" s="150">
        <f>IFERROR((K56-L56)/AVERAGE(F56,I56),0)</f>
        <v>1.9736612569493217E-2</v>
      </c>
      <c r="F56" s="151">
        <f>I47</f>
        <v>468.32596312600003</v>
      </c>
      <c r="G56" s="151">
        <f>'F3'!J12</f>
        <v>13</v>
      </c>
      <c r="H56" s="151">
        <f t="shared" ref="H56:L56" si="36">SUM(H52:H55)</f>
        <v>0</v>
      </c>
      <c r="I56" s="151">
        <f>F56+G56</f>
        <v>481.32596312600003</v>
      </c>
      <c r="J56" s="152">
        <f>M47</f>
        <v>112.230355872407</v>
      </c>
      <c r="K56" s="151">
        <v>9.3714560721543343</v>
      </c>
      <c r="L56" s="153">
        <f t="shared" si="36"/>
        <v>0</v>
      </c>
      <c r="M56" s="152">
        <f>J56+K56-L56</f>
        <v>121.60181194456133</v>
      </c>
      <c r="N56" s="151">
        <f>F56-J56</f>
        <v>356.09560725359302</v>
      </c>
      <c r="O56" s="151">
        <f>I56-M56</f>
        <v>359.72415118143869</v>
      </c>
    </row>
    <row r="57" spans="2:15" ht="15" thickBot="1"/>
    <row r="58" spans="2:15" ht="15">
      <c r="B58" s="257" t="s">
        <v>386</v>
      </c>
      <c r="C58" s="258"/>
      <c r="D58" s="258"/>
      <c r="E58" s="258"/>
      <c r="F58" s="258"/>
      <c r="G58" s="258"/>
      <c r="H58" s="258"/>
      <c r="I58" s="258"/>
      <c r="J58" s="258"/>
      <c r="K58" s="258"/>
      <c r="L58" s="258"/>
      <c r="M58" s="258"/>
      <c r="N58" s="258"/>
      <c r="O58" s="259"/>
    </row>
    <row r="59" spans="2:15" ht="15">
      <c r="B59" s="262" t="s">
        <v>2</v>
      </c>
      <c r="C59" s="264" t="s">
        <v>274</v>
      </c>
      <c r="D59" s="260" t="s">
        <v>261</v>
      </c>
      <c r="E59" s="260" t="s">
        <v>262</v>
      </c>
      <c r="F59" s="260" t="s">
        <v>263</v>
      </c>
      <c r="G59" s="260"/>
      <c r="H59" s="260"/>
      <c r="I59" s="260"/>
      <c r="J59" s="260" t="s">
        <v>264</v>
      </c>
      <c r="K59" s="260"/>
      <c r="L59" s="260"/>
      <c r="M59" s="260"/>
      <c r="N59" s="260" t="s">
        <v>265</v>
      </c>
      <c r="O59" s="261"/>
    </row>
    <row r="60" spans="2:15" ht="60.75" thickBot="1">
      <c r="B60" s="263"/>
      <c r="C60" s="265"/>
      <c r="D60" s="266"/>
      <c r="E60" s="266"/>
      <c r="F60" s="68" t="s">
        <v>266</v>
      </c>
      <c r="G60" s="68" t="s">
        <v>126</v>
      </c>
      <c r="H60" s="68" t="s">
        <v>267</v>
      </c>
      <c r="I60" s="68" t="s">
        <v>268</v>
      </c>
      <c r="J60" s="68" t="s">
        <v>269</v>
      </c>
      <c r="K60" s="68" t="s">
        <v>126</v>
      </c>
      <c r="L60" s="68" t="s">
        <v>270</v>
      </c>
      <c r="M60" s="68" t="s">
        <v>271</v>
      </c>
      <c r="N60" s="68" t="s">
        <v>266</v>
      </c>
      <c r="O60" s="69" t="s">
        <v>268</v>
      </c>
    </row>
    <row r="61" spans="2:15" ht="15">
      <c r="B61" s="67">
        <v>1</v>
      </c>
      <c r="C61" s="70" t="s">
        <v>212</v>
      </c>
      <c r="D61" s="71"/>
      <c r="E61" s="72"/>
      <c r="F61" s="139">
        <f>I52</f>
        <v>0</v>
      </c>
      <c r="G61" s="74"/>
      <c r="H61" s="73"/>
      <c r="I61" s="139">
        <f>F61+G61-H61</f>
        <v>0</v>
      </c>
      <c r="J61" s="140"/>
      <c r="K61" s="141">
        <f>AVERAGE(F61,I61)*E61</f>
        <v>0</v>
      </c>
      <c r="L61" s="142"/>
      <c r="M61" s="143">
        <f>J61+K61-L61</f>
        <v>0</v>
      </c>
      <c r="N61" s="144">
        <f>F61-J61</f>
        <v>0</v>
      </c>
      <c r="O61" s="144">
        <f>I61-M61</f>
        <v>0</v>
      </c>
    </row>
    <row r="62" spans="2:15" ht="15">
      <c r="B62" s="75">
        <v>2</v>
      </c>
      <c r="C62" s="76" t="s">
        <v>116</v>
      </c>
      <c r="D62" s="77"/>
      <c r="E62" s="78"/>
      <c r="F62" s="145">
        <f>I53</f>
        <v>0</v>
      </c>
      <c r="G62" s="80"/>
      <c r="H62" s="79"/>
      <c r="I62" s="145">
        <f>F62+G62-H62</f>
        <v>0</v>
      </c>
      <c r="J62" s="146"/>
      <c r="K62" s="147">
        <f t="shared" ref="K62:K64" si="37">AVERAGE(F62,I62)*E62</f>
        <v>0</v>
      </c>
      <c r="L62" s="148"/>
      <c r="M62" s="149">
        <f t="shared" ref="M62:M64" si="38">J62+K62-L62</f>
        <v>0</v>
      </c>
      <c r="N62" s="145">
        <f t="shared" ref="N62:N64" si="39">F62-J62</f>
        <v>0</v>
      </c>
      <c r="O62" s="145">
        <f t="shared" ref="O62:O64" si="40">I62-M62</f>
        <v>0</v>
      </c>
    </row>
    <row r="63" spans="2:15" ht="15">
      <c r="B63" s="75">
        <v>3</v>
      </c>
      <c r="C63" s="82" t="s">
        <v>273</v>
      </c>
      <c r="D63" s="77"/>
      <c r="E63" s="78"/>
      <c r="F63" s="145">
        <f>I54</f>
        <v>0</v>
      </c>
      <c r="G63" s="80"/>
      <c r="H63" s="79"/>
      <c r="I63" s="145">
        <f t="shared" ref="I63:I64" si="41">F63+G63-H63</f>
        <v>0</v>
      </c>
      <c r="J63" s="146"/>
      <c r="K63" s="147">
        <f t="shared" si="37"/>
        <v>0</v>
      </c>
      <c r="L63" s="148"/>
      <c r="M63" s="149">
        <f t="shared" si="38"/>
        <v>0</v>
      </c>
      <c r="N63" s="145">
        <f t="shared" si="39"/>
        <v>0</v>
      </c>
      <c r="O63" s="145">
        <f t="shared" si="40"/>
        <v>0</v>
      </c>
    </row>
    <row r="64" spans="2:15" ht="15">
      <c r="B64" s="75"/>
      <c r="C64" s="82" t="s">
        <v>9</v>
      </c>
      <c r="D64" s="77"/>
      <c r="E64" s="83"/>
      <c r="F64" s="145">
        <f>I55</f>
        <v>0</v>
      </c>
      <c r="G64" s="80"/>
      <c r="H64" s="81"/>
      <c r="I64" s="145">
        <f t="shared" si="41"/>
        <v>0</v>
      </c>
      <c r="J64" s="146"/>
      <c r="K64" s="147">
        <f t="shared" si="37"/>
        <v>0</v>
      </c>
      <c r="L64" s="148"/>
      <c r="M64" s="149">
        <f t="shared" si="38"/>
        <v>0</v>
      </c>
      <c r="N64" s="145">
        <f t="shared" si="39"/>
        <v>0</v>
      </c>
      <c r="O64" s="145">
        <f t="shared" si="40"/>
        <v>0</v>
      </c>
    </row>
    <row r="65" spans="2:15" ht="15.75" thickBot="1">
      <c r="B65" s="84"/>
      <c r="C65" s="85" t="s">
        <v>127</v>
      </c>
      <c r="D65" s="85"/>
      <c r="E65" s="150">
        <f>IFERROR((K65-L65)/AVERAGE(F65,I65),0)</f>
        <v>2.0229702567707512E-2</v>
      </c>
      <c r="F65" s="151">
        <f>I56</f>
        <v>481.32596312600003</v>
      </c>
      <c r="G65" s="151">
        <f>'F3'!K12</f>
        <v>0</v>
      </c>
      <c r="H65" s="151">
        <f t="shared" ref="H65:L65" si="42">SUM(H61:H64)</f>
        <v>0</v>
      </c>
      <c r="I65" s="151">
        <f>F65+G65</f>
        <v>481.32596312600003</v>
      </c>
      <c r="J65" s="152">
        <f>M56</f>
        <v>121.60181194456133</v>
      </c>
      <c r="K65" s="151">
        <v>9.7370810721543339</v>
      </c>
      <c r="L65" s="153">
        <f t="shared" si="42"/>
        <v>0</v>
      </c>
      <c r="M65" s="152">
        <f>J65+K65-L65</f>
        <v>131.33889301671567</v>
      </c>
      <c r="N65" s="151">
        <f>F65-J65</f>
        <v>359.72415118143869</v>
      </c>
      <c r="O65" s="151">
        <f>I65-M65</f>
        <v>349.98707010928433</v>
      </c>
    </row>
    <row r="66" spans="2:15" ht="15" thickBot="1"/>
    <row r="67" spans="2:15" ht="15">
      <c r="B67" s="257" t="s">
        <v>387</v>
      </c>
      <c r="C67" s="258"/>
      <c r="D67" s="258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9"/>
    </row>
    <row r="68" spans="2:15" ht="15">
      <c r="B68" s="262" t="s">
        <v>2</v>
      </c>
      <c r="C68" s="264" t="s">
        <v>274</v>
      </c>
      <c r="D68" s="260" t="s">
        <v>261</v>
      </c>
      <c r="E68" s="260" t="s">
        <v>262</v>
      </c>
      <c r="F68" s="260" t="s">
        <v>263</v>
      </c>
      <c r="G68" s="260"/>
      <c r="H68" s="260"/>
      <c r="I68" s="260"/>
      <c r="J68" s="260" t="s">
        <v>264</v>
      </c>
      <c r="K68" s="260"/>
      <c r="L68" s="260"/>
      <c r="M68" s="260"/>
      <c r="N68" s="260" t="s">
        <v>265</v>
      </c>
      <c r="O68" s="261"/>
    </row>
    <row r="69" spans="2:15" ht="60.75" thickBot="1">
      <c r="B69" s="263"/>
      <c r="C69" s="265"/>
      <c r="D69" s="266"/>
      <c r="E69" s="266"/>
      <c r="F69" s="68" t="s">
        <v>266</v>
      </c>
      <c r="G69" s="68" t="s">
        <v>126</v>
      </c>
      <c r="H69" s="68" t="s">
        <v>267</v>
      </c>
      <c r="I69" s="68" t="s">
        <v>268</v>
      </c>
      <c r="J69" s="68" t="s">
        <v>269</v>
      </c>
      <c r="K69" s="68" t="s">
        <v>126</v>
      </c>
      <c r="L69" s="68" t="s">
        <v>270</v>
      </c>
      <c r="M69" s="68" t="s">
        <v>271</v>
      </c>
      <c r="N69" s="68" t="s">
        <v>266</v>
      </c>
      <c r="O69" s="69" t="s">
        <v>268</v>
      </c>
    </row>
    <row r="70" spans="2:15" ht="15">
      <c r="B70" s="67">
        <v>1</v>
      </c>
      <c r="C70" s="70" t="s">
        <v>212</v>
      </c>
      <c r="D70" s="71"/>
      <c r="E70" s="72"/>
      <c r="F70" s="139">
        <f>I61</f>
        <v>0</v>
      </c>
      <c r="G70" s="74"/>
      <c r="H70" s="73"/>
      <c r="I70" s="139">
        <f>F70+G70-H70</f>
        <v>0</v>
      </c>
      <c r="J70" s="140"/>
      <c r="K70" s="141">
        <f>AVERAGE(F70,I70)*E70</f>
        <v>0</v>
      </c>
      <c r="L70" s="142"/>
      <c r="M70" s="143">
        <f>J70+K70-L70</f>
        <v>0</v>
      </c>
      <c r="N70" s="144">
        <f>F70-J70</f>
        <v>0</v>
      </c>
      <c r="O70" s="144">
        <f>I70-M70</f>
        <v>0</v>
      </c>
    </row>
    <row r="71" spans="2:15" ht="15">
      <c r="B71" s="75">
        <v>2</v>
      </c>
      <c r="C71" s="76" t="s">
        <v>116</v>
      </c>
      <c r="D71" s="77"/>
      <c r="E71" s="78"/>
      <c r="F71" s="145">
        <f>I62</f>
        <v>0</v>
      </c>
      <c r="G71" s="80"/>
      <c r="H71" s="79"/>
      <c r="I71" s="145">
        <f>F71+G71-H71</f>
        <v>0</v>
      </c>
      <c r="J71" s="146"/>
      <c r="K71" s="147">
        <f t="shared" ref="K71:K73" si="43">AVERAGE(F71,I71)*E71</f>
        <v>0</v>
      </c>
      <c r="L71" s="148"/>
      <c r="M71" s="149">
        <f t="shared" ref="M71:M73" si="44">J71+K71-L71</f>
        <v>0</v>
      </c>
      <c r="N71" s="145">
        <f t="shared" ref="N71:N73" si="45">F71-J71</f>
        <v>0</v>
      </c>
      <c r="O71" s="145">
        <f t="shared" ref="O71:O73" si="46">I71-M71</f>
        <v>0</v>
      </c>
    </row>
    <row r="72" spans="2:15" ht="15">
      <c r="B72" s="75">
        <v>3</v>
      </c>
      <c r="C72" s="82" t="s">
        <v>273</v>
      </c>
      <c r="D72" s="77"/>
      <c r="E72" s="78"/>
      <c r="F72" s="145">
        <f>I63</f>
        <v>0</v>
      </c>
      <c r="G72" s="80"/>
      <c r="H72" s="79"/>
      <c r="I72" s="145">
        <f t="shared" ref="I72:I73" si="47">F72+G72-H72</f>
        <v>0</v>
      </c>
      <c r="J72" s="146"/>
      <c r="K72" s="147">
        <f t="shared" si="43"/>
        <v>0</v>
      </c>
      <c r="L72" s="148"/>
      <c r="M72" s="149">
        <f t="shared" si="44"/>
        <v>0</v>
      </c>
      <c r="N72" s="145">
        <f t="shared" si="45"/>
        <v>0</v>
      </c>
      <c r="O72" s="145">
        <f t="shared" si="46"/>
        <v>0</v>
      </c>
    </row>
    <row r="73" spans="2:15" ht="15">
      <c r="B73" s="75"/>
      <c r="C73" s="82" t="s">
        <v>9</v>
      </c>
      <c r="D73" s="77"/>
      <c r="E73" s="83"/>
      <c r="F73" s="145">
        <f>I64</f>
        <v>0</v>
      </c>
      <c r="G73" s="80"/>
      <c r="H73" s="81"/>
      <c r="I73" s="145">
        <f t="shared" si="47"/>
        <v>0</v>
      </c>
      <c r="J73" s="146"/>
      <c r="K73" s="147">
        <f t="shared" si="43"/>
        <v>0</v>
      </c>
      <c r="L73" s="148"/>
      <c r="M73" s="149">
        <f t="shared" si="44"/>
        <v>0</v>
      </c>
      <c r="N73" s="145">
        <f t="shared" si="45"/>
        <v>0</v>
      </c>
      <c r="O73" s="145">
        <f t="shared" si="46"/>
        <v>0</v>
      </c>
    </row>
    <row r="74" spans="2:15" ht="15.75" thickBot="1">
      <c r="B74" s="84"/>
      <c r="C74" s="85" t="s">
        <v>127</v>
      </c>
      <c r="D74" s="85"/>
      <c r="E74" s="150">
        <f>IFERROR((K74-L74)/AVERAGE(F74,I74),0)</f>
        <v>2.0229702567707512E-2</v>
      </c>
      <c r="F74" s="151">
        <f>I65</f>
        <v>481.32596312600003</v>
      </c>
      <c r="G74" s="151">
        <f>'F3'!L12</f>
        <v>0</v>
      </c>
      <c r="H74" s="151">
        <f t="shared" ref="H74:L74" si="48">SUM(H70:H73)</f>
        <v>0</v>
      </c>
      <c r="I74" s="151">
        <f>F74+G74</f>
        <v>481.32596312600003</v>
      </c>
      <c r="J74" s="152">
        <f>M65</f>
        <v>131.33889301671567</v>
      </c>
      <c r="K74" s="151">
        <v>9.7370810721543339</v>
      </c>
      <c r="L74" s="153">
        <f t="shared" si="48"/>
        <v>0</v>
      </c>
      <c r="M74" s="152">
        <f>J74+K74-L74</f>
        <v>141.07597408887</v>
      </c>
      <c r="N74" s="151">
        <f>F74-J74</f>
        <v>349.98707010928433</v>
      </c>
      <c r="O74" s="151">
        <f>I74-M74</f>
        <v>340.24998903713004</v>
      </c>
    </row>
    <row r="75" spans="2:15" ht="15" thickBot="1"/>
    <row r="76" spans="2:15" ht="15">
      <c r="B76" s="257" t="s">
        <v>388</v>
      </c>
      <c r="C76" s="258"/>
      <c r="D76" s="258"/>
      <c r="E76" s="258"/>
      <c r="F76" s="258"/>
      <c r="G76" s="258"/>
      <c r="H76" s="258"/>
      <c r="I76" s="258"/>
      <c r="J76" s="258"/>
      <c r="K76" s="258"/>
      <c r="L76" s="258"/>
      <c r="M76" s="258"/>
      <c r="N76" s="258"/>
      <c r="O76" s="259"/>
    </row>
    <row r="77" spans="2:15" ht="15">
      <c r="B77" s="262" t="s">
        <v>2</v>
      </c>
      <c r="C77" s="264" t="s">
        <v>274</v>
      </c>
      <c r="D77" s="260" t="s">
        <v>261</v>
      </c>
      <c r="E77" s="260" t="s">
        <v>262</v>
      </c>
      <c r="F77" s="260" t="s">
        <v>263</v>
      </c>
      <c r="G77" s="260"/>
      <c r="H77" s="260"/>
      <c r="I77" s="260"/>
      <c r="J77" s="260" t="s">
        <v>264</v>
      </c>
      <c r="K77" s="260"/>
      <c r="L77" s="260"/>
      <c r="M77" s="260"/>
      <c r="N77" s="260" t="s">
        <v>265</v>
      </c>
      <c r="O77" s="261"/>
    </row>
    <row r="78" spans="2:15" ht="60.75" thickBot="1">
      <c r="B78" s="263"/>
      <c r="C78" s="265"/>
      <c r="D78" s="266"/>
      <c r="E78" s="266"/>
      <c r="F78" s="68" t="s">
        <v>266</v>
      </c>
      <c r="G78" s="68" t="s">
        <v>126</v>
      </c>
      <c r="H78" s="68" t="s">
        <v>267</v>
      </c>
      <c r="I78" s="68" t="s">
        <v>268</v>
      </c>
      <c r="J78" s="68" t="s">
        <v>269</v>
      </c>
      <c r="K78" s="68" t="s">
        <v>126</v>
      </c>
      <c r="L78" s="68" t="s">
        <v>270</v>
      </c>
      <c r="M78" s="68" t="s">
        <v>271</v>
      </c>
      <c r="N78" s="68" t="s">
        <v>266</v>
      </c>
      <c r="O78" s="69" t="s">
        <v>268</v>
      </c>
    </row>
    <row r="79" spans="2:15" ht="15">
      <c r="B79" s="67">
        <v>1</v>
      </c>
      <c r="C79" s="70" t="s">
        <v>212</v>
      </c>
      <c r="D79" s="71"/>
      <c r="E79" s="72"/>
      <c r="F79" s="139">
        <f>I70</f>
        <v>0</v>
      </c>
      <c r="G79" s="74"/>
      <c r="H79" s="73"/>
      <c r="I79" s="139">
        <f>F79+G79-H79</f>
        <v>0</v>
      </c>
      <c r="J79" s="140"/>
      <c r="K79" s="141">
        <f>AVERAGE(F79,I79)*E79</f>
        <v>0</v>
      </c>
      <c r="L79" s="142"/>
      <c r="M79" s="143">
        <f>J79+K79-L79</f>
        <v>0</v>
      </c>
      <c r="N79" s="144">
        <f>F79-J79</f>
        <v>0</v>
      </c>
      <c r="O79" s="144">
        <f>I79-M79</f>
        <v>0</v>
      </c>
    </row>
    <row r="80" spans="2:15" ht="15">
      <c r="B80" s="75">
        <v>2</v>
      </c>
      <c r="C80" s="76" t="s">
        <v>116</v>
      </c>
      <c r="D80" s="77"/>
      <c r="E80" s="78"/>
      <c r="F80" s="145">
        <f>I71</f>
        <v>0</v>
      </c>
      <c r="G80" s="80"/>
      <c r="H80" s="79"/>
      <c r="I80" s="145">
        <f>F80+G80-H80</f>
        <v>0</v>
      </c>
      <c r="J80" s="146"/>
      <c r="K80" s="147">
        <f t="shared" ref="K80:K82" si="49">AVERAGE(F80,I80)*E80</f>
        <v>0</v>
      </c>
      <c r="L80" s="148"/>
      <c r="M80" s="149">
        <f t="shared" ref="M80:M82" si="50">J80+K80-L80</f>
        <v>0</v>
      </c>
      <c r="N80" s="145">
        <f t="shared" ref="N80:N82" si="51">F80-J80</f>
        <v>0</v>
      </c>
      <c r="O80" s="145">
        <f t="shared" ref="O80:O82" si="52">I80-M80</f>
        <v>0</v>
      </c>
    </row>
    <row r="81" spans="2:15" ht="15">
      <c r="B81" s="75">
        <v>3</v>
      </c>
      <c r="C81" s="82" t="s">
        <v>273</v>
      </c>
      <c r="D81" s="77"/>
      <c r="E81" s="78"/>
      <c r="F81" s="145">
        <f>I72</f>
        <v>0</v>
      </c>
      <c r="G81" s="80"/>
      <c r="H81" s="79"/>
      <c r="I81" s="145">
        <f t="shared" ref="I81:I82" si="53">F81+G81-H81</f>
        <v>0</v>
      </c>
      <c r="J81" s="146"/>
      <c r="K81" s="147">
        <f t="shared" si="49"/>
        <v>0</v>
      </c>
      <c r="L81" s="148"/>
      <c r="M81" s="149">
        <f t="shared" si="50"/>
        <v>0</v>
      </c>
      <c r="N81" s="145">
        <f t="shared" si="51"/>
        <v>0</v>
      </c>
      <c r="O81" s="145">
        <f t="shared" si="52"/>
        <v>0</v>
      </c>
    </row>
    <row r="82" spans="2:15" ht="15">
      <c r="B82" s="75"/>
      <c r="C82" s="82" t="s">
        <v>9</v>
      </c>
      <c r="D82" s="77"/>
      <c r="E82" s="83"/>
      <c r="F82" s="145">
        <f>I73</f>
        <v>0</v>
      </c>
      <c r="G82" s="80"/>
      <c r="H82" s="81"/>
      <c r="I82" s="145">
        <f t="shared" si="53"/>
        <v>0</v>
      </c>
      <c r="J82" s="146"/>
      <c r="K82" s="147">
        <f t="shared" si="49"/>
        <v>0</v>
      </c>
      <c r="L82" s="148"/>
      <c r="M82" s="149">
        <f t="shared" si="50"/>
        <v>0</v>
      </c>
      <c r="N82" s="145">
        <f t="shared" si="51"/>
        <v>0</v>
      </c>
      <c r="O82" s="145">
        <f t="shared" si="52"/>
        <v>0</v>
      </c>
    </row>
    <row r="83" spans="2:15" ht="15.75" thickBot="1">
      <c r="B83" s="84"/>
      <c r="C83" s="85" t="s">
        <v>127</v>
      </c>
      <c r="D83" s="85"/>
      <c r="E83" s="150">
        <f>IFERROR((K83-L83)/AVERAGE(F83,I83),0)</f>
        <v>2.0229702567707512E-2</v>
      </c>
      <c r="F83" s="151">
        <f>I74</f>
        <v>481.32596312600003</v>
      </c>
      <c r="G83" s="151">
        <f>'F3'!M12</f>
        <v>0</v>
      </c>
      <c r="H83" s="151">
        <f t="shared" ref="H83:L83" si="54">SUM(H79:H82)</f>
        <v>0</v>
      </c>
      <c r="I83" s="151">
        <f>F83+G83</f>
        <v>481.32596312600003</v>
      </c>
      <c r="J83" s="152">
        <f>M74</f>
        <v>141.07597408887</v>
      </c>
      <c r="K83" s="151">
        <v>9.7370810721543339</v>
      </c>
      <c r="L83" s="153">
        <f t="shared" si="54"/>
        <v>0</v>
      </c>
      <c r="M83" s="152">
        <f>J83+K83-L83</f>
        <v>150.81305516102432</v>
      </c>
      <c r="N83" s="151">
        <f>F83-J83</f>
        <v>340.24998903713004</v>
      </c>
      <c r="O83" s="151">
        <f>I83-M83</f>
        <v>330.51290796497574</v>
      </c>
    </row>
  </sheetData>
  <mergeCells count="59">
    <mergeCell ref="B76:O76"/>
    <mergeCell ref="B77:B78"/>
    <mergeCell ref="C77:C78"/>
    <mergeCell ref="D77:D78"/>
    <mergeCell ref="E77:E78"/>
    <mergeCell ref="F77:I77"/>
    <mergeCell ref="J77:M77"/>
    <mergeCell ref="N77:O77"/>
    <mergeCell ref="B67:O67"/>
    <mergeCell ref="B68:B69"/>
    <mergeCell ref="C68:C69"/>
    <mergeCell ref="D68:D69"/>
    <mergeCell ref="E68:E69"/>
    <mergeCell ref="F68:I68"/>
    <mergeCell ref="J68:M68"/>
    <mergeCell ref="N68:O68"/>
    <mergeCell ref="B58:O58"/>
    <mergeCell ref="B59:B60"/>
    <mergeCell ref="C59:C60"/>
    <mergeCell ref="D59:D60"/>
    <mergeCell ref="E59:E60"/>
    <mergeCell ref="F59:I59"/>
    <mergeCell ref="J59:M59"/>
    <mergeCell ref="N59:O59"/>
    <mergeCell ref="B49:O49"/>
    <mergeCell ref="B50:B51"/>
    <mergeCell ref="C50:C51"/>
    <mergeCell ref="D50:D51"/>
    <mergeCell ref="E50:E51"/>
    <mergeCell ref="F50:I50"/>
    <mergeCell ref="J50:M50"/>
    <mergeCell ref="N50:O50"/>
    <mergeCell ref="D24:D25"/>
    <mergeCell ref="E24:E25"/>
    <mergeCell ref="F24:I24"/>
    <mergeCell ref="B40:O40"/>
    <mergeCell ref="B41:B42"/>
    <mergeCell ref="C41:C42"/>
    <mergeCell ref="D41:D42"/>
    <mergeCell ref="E41:E42"/>
    <mergeCell ref="F41:I41"/>
    <mergeCell ref="J41:M41"/>
    <mergeCell ref="N41:O41"/>
    <mergeCell ref="B2:O2"/>
    <mergeCell ref="B3:O3"/>
    <mergeCell ref="B4:O4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</mergeCells>
  <pageMargins left="0.42" right="0.23622047244094491" top="0.2" bottom="0.61" header="0.23622047244094491" footer="0.23622047244094491"/>
  <pageSetup paperSize="9" scale="51" orientation="portrait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62"/>
  <sheetViews>
    <sheetView showGridLines="0" zoomScale="80" zoomScaleNormal="80" zoomScaleSheetLayoutView="90" workbookViewId="0">
      <selection activeCell="N26" sqref="N26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bestFit="1" customWidth="1"/>
    <col min="9" max="9" width="13.28515625" style="5" bestFit="1" customWidth="1"/>
    <col min="10" max="10" width="12.5703125" style="5" customWidth="1"/>
    <col min="11" max="11" width="11.7109375" style="5" bestFit="1" customWidth="1"/>
    <col min="12" max="12" width="13.7109375" style="5" bestFit="1" customWidth="1"/>
    <col min="13" max="18" width="11.7109375" style="5" bestFit="1" customWidth="1"/>
    <col min="19" max="16384" width="9.28515625" style="5"/>
  </cols>
  <sheetData>
    <row r="1" spans="2:15" ht="15">
      <c r="B1" s="26"/>
    </row>
    <row r="2" spans="2:15" ht="14.25" customHeight="1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2:15" ht="14.25" customHeight="1">
      <c r="B3" s="250" t="s">
        <v>381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5" ht="14.25" customHeight="1">
      <c r="B4" s="251" t="s">
        <v>280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2:15" ht="15">
      <c r="B5" s="36" t="s">
        <v>45</v>
      </c>
      <c r="C5" s="26" t="s">
        <v>281</v>
      </c>
      <c r="D5" s="27"/>
      <c r="E5" s="27"/>
      <c r="F5" s="27"/>
      <c r="G5" s="27"/>
      <c r="H5" s="27"/>
      <c r="I5" s="27"/>
      <c r="J5" s="27"/>
      <c r="K5" s="27"/>
      <c r="L5" s="27"/>
    </row>
    <row r="6" spans="2:15" ht="15">
      <c r="O6" s="28" t="s">
        <v>4</v>
      </c>
    </row>
    <row r="7" spans="2:15" s="19" customFormat="1" ht="15" customHeight="1">
      <c r="B7" s="252" t="s">
        <v>186</v>
      </c>
      <c r="C7" s="248" t="s">
        <v>18</v>
      </c>
      <c r="D7" s="236" t="s">
        <v>382</v>
      </c>
      <c r="E7" s="237"/>
      <c r="F7" s="238"/>
      <c r="G7" s="236" t="s">
        <v>383</v>
      </c>
      <c r="H7" s="237"/>
      <c r="I7" s="237"/>
      <c r="J7" s="237"/>
      <c r="K7" s="244" t="s">
        <v>225</v>
      </c>
      <c r="L7" s="244"/>
      <c r="M7" s="244"/>
      <c r="N7" s="244"/>
      <c r="O7" s="244"/>
    </row>
    <row r="8" spans="2:15" s="19" customFormat="1" ht="45">
      <c r="B8" s="253"/>
      <c r="C8" s="248"/>
      <c r="D8" s="21" t="s">
        <v>328</v>
      </c>
      <c r="E8" s="21" t="s">
        <v>233</v>
      </c>
      <c r="F8" s="21" t="s">
        <v>201</v>
      </c>
      <c r="G8" s="21" t="s">
        <v>328</v>
      </c>
      <c r="H8" s="21" t="s">
        <v>235</v>
      </c>
      <c r="I8" s="21" t="s">
        <v>236</v>
      </c>
      <c r="J8" s="21" t="s">
        <v>237</v>
      </c>
      <c r="K8" s="21" t="s">
        <v>384</v>
      </c>
      <c r="L8" s="21" t="s">
        <v>385</v>
      </c>
      <c r="M8" s="21" t="s">
        <v>386</v>
      </c>
      <c r="N8" s="21" t="s">
        <v>387</v>
      </c>
      <c r="O8" s="21" t="s">
        <v>388</v>
      </c>
    </row>
    <row r="9" spans="2:15" s="19" customFormat="1" ht="15">
      <c r="B9" s="254"/>
      <c r="C9" s="255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3</v>
      </c>
      <c r="I9" s="21" t="s">
        <v>5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</row>
    <row r="10" spans="2:15">
      <c r="B10" s="64">
        <v>1</v>
      </c>
      <c r="C10" s="29" t="s">
        <v>165</v>
      </c>
      <c r="D10" s="2">
        <f>440.68*70%</f>
        <v>308.476</v>
      </c>
      <c r="E10" s="29">
        <f>D10</f>
        <v>308.476</v>
      </c>
      <c r="F10" s="29">
        <f>E10</f>
        <v>308.476</v>
      </c>
      <c r="G10" s="133">
        <f>D10+D14</f>
        <v>308.50594458249998</v>
      </c>
      <c r="H10" s="133">
        <f t="shared" ref="H10:J10" si="0">E10+E14</f>
        <v>308.50594458249998</v>
      </c>
      <c r="I10" s="133">
        <f t="shared" si="0"/>
        <v>308.50594458249998</v>
      </c>
      <c r="J10" s="133">
        <f t="shared" si="0"/>
        <v>308.50594458249998</v>
      </c>
      <c r="K10" s="133">
        <f>J10+J14</f>
        <v>308.5339445825</v>
      </c>
      <c r="L10" s="133">
        <f t="shared" ref="L10:O10" si="1">K10+K14</f>
        <v>327.82594458250003</v>
      </c>
      <c r="M10" s="133">
        <f t="shared" si="1"/>
        <v>336.92594458250005</v>
      </c>
      <c r="N10" s="133">
        <f t="shared" si="1"/>
        <v>336.92594458250005</v>
      </c>
      <c r="O10" s="133">
        <f t="shared" si="1"/>
        <v>336.92594458250005</v>
      </c>
    </row>
    <row r="11" spans="2:15">
      <c r="B11" s="23">
        <f>B10+1</f>
        <v>2</v>
      </c>
      <c r="C11" s="29" t="s">
        <v>166</v>
      </c>
      <c r="D11" s="160">
        <f>'F4'!M21</f>
        <v>84.363264163255138</v>
      </c>
      <c r="E11" s="160">
        <f>'F4'!J21</f>
        <v>65.119957044999992</v>
      </c>
      <c r="F11" s="160">
        <f>E11</f>
        <v>65.119957044999992</v>
      </c>
      <c r="G11" s="160">
        <f>'F4'!M38</f>
        <v>103.61053616388904</v>
      </c>
      <c r="H11" s="2"/>
      <c r="I11" s="2"/>
      <c r="J11" s="160">
        <f>E11+'F1'!J12</f>
        <v>84.367229045633891</v>
      </c>
      <c r="K11" s="160">
        <f>'F4'!J47</f>
        <v>103.61053616388904</v>
      </c>
      <c r="L11" s="160">
        <f>'F4'!J56</f>
        <v>112.230355872407</v>
      </c>
      <c r="M11" s="160">
        <f>'F4'!J65</f>
        <v>121.60181194456133</v>
      </c>
      <c r="N11" s="160">
        <f>'F4'!J74</f>
        <v>131.33889301671567</v>
      </c>
      <c r="O11" s="160">
        <f>'F4'!J83</f>
        <v>141.07597408887</v>
      </c>
    </row>
    <row r="12" spans="2:15" ht="15">
      <c r="B12" s="23">
        <f t="shared" ref="B12:B22" si="2">B11+1</f>
        <v>3</v>
      </c>
      <c r="C12" s="31" t="s">
        <v>167</v>
      </c>
      <c r="D12" s="138">
        <f>D10-D11</f>
        <v>224.11273583674486</v>
      </c>
      <c r="E12" s="138">
        <f t="shared" ref="E12:O12" si="3">E10-E11</f>
        <v>243.35604295500002</v>
      </c>
      <c r="F12" s="138">
        <f t="shared" si="3"/>
        <v>243.35604295500002</v>
      </c>
      <c r="G12" s="138">
        <f>G10-G11</f>
        <v>204.89540841861094</v>
      </c>
      <c r="H12" s="138">
        <f>H10-H11</f>
        <v>308.50594458249998</v>
      </c>
      <c r="I12" s="138">
        <f t="shared" si="3"/>
        <v>308.50594458249998</v>
      </c>
      <c r="J12" s="138">
        <f t="shared" si="3"/>
        <v>224.13871553686607</v>
      </c>
      <c r="K12" s="138">
        <f>K10-K11</f>
        <v>204.92340841861096</v>
      </c>
      <c r="L12" s="138">
        <f t="shared" si="3"/>
        <v>215.59558871009301</v>
      </c>
      <c r="M12" s="138">
        <f t="shared" si="3"/>
        <v>215.3241326379387</v>
      </c>
      <c r="N12" s="138">
        <f t="shared" si="3"/>
        <v>205.58705156578438</v>
      </c>
      <c r="O12" s="138">
        <f t="shared" si="3"/>
        <v>195.84997049363005</v>
      </c>
    </row>
    <row r="13" spans="2:15" ht="28.5">
      <c r="B13" s="23">
        <f t="shared" si="2"/>
        <v>4</v>
      </c>
      <c r="C13" s="88" t="s">
        <v>168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</row>
    <row r="14" spans="2:15" s="35" customFormat="1" ht="28.5">
      <c r="B14" s="23">
        <f t="shared" si="2"/>
        <v>5</v>
      </c>
      <c r="C14" s="40" t="s">
        <v>368</v>
      </c>
      <c r="D14" s="157">
        <f>'F3'!E12*70%</f>
        <v>2.9944582499999994E-2</v>
      </c>
      <c r="E14" s="166">
        <f>F3.1!H12*70%</f>
        <v>2.9944582499999994E-2</v>
      </c>
      <c r="F14" s="166">
        <f>E14</f>
        <v>2.9944582499999994E-2</v>
      </c>
      <c r="G14" s="172"/>
      <c r="H14" s="172"/>
      <c r="I14" s="172"/>
      <c r="J14" s="173">
        <f>'F3'!H12*0.7</f>
        <v>2.7999999999999997E-2</v>
      </c>
      <c r="K14" s="173">
        <f>'F3'!I12*0.7</f>
        <v>19.292000000000002</v>
      </c>
      <c r="L14" s="173">
        <f>'F3'!J12*0.7</f>
        <v>9.1</v>
      </c>
      <c r="M14" s="173">
        <f>'F3'!K12*0.7</f>
        <v>0</v>
      </c>
      <c r="N14" s="173">
        <f>'F3'!L12*0.7</f>
        <v>0</v>
      </c>
      <c r="O14" s="173">
        <f>'F3'!M12*0.7</f>
        <v>0</v>
      </c>
    </row>
    <row r="15" spans="2:15">
      <c r="B15" s="23">
        <f t="shared" si="2"/>
        <v>6</v>
      </c>
      <c r="C15" s="88" t="s">
        <v>173</v>
      </c>
      <c r="D15" s="176">
        <f>'F1'!F12</f>
        <v>11.24</v>
      </c>
      <c r="E15" s="176">
        <f>'F1'!G12</f>
        <v>19.243307118255153</v>
      </c>
      <c r="F15" s="176">
        <f>'F1'!H12</f>
        <v>19.243307118255153</v>
      </c>
      <c r="G15" s="176">
        <f>'F1'!I12</f>
        <v>10.894</v>
      </c>
      <c r="H15" s="218"/>
      <c r="I15" s="218"/>
      <c r="J15" s="176">
        <f>'F1'!J12</f>
        <v>19.247272000633902</v>
      </c>
      <c r="K15" s="176">
        <f>'F1'!K12</f>
        <v>8.6198197085179693</v>
      </c>
      <c r="L15" s="176">
        <f>'F1'!L12</f>
        <v>9.3714560721543343</v>
      </c>
      <c r="M15" s="176">
        <f>'F1'!M12</f>
        <v>9.7370810721543339</v>
      </c>
      <c r="N15" s="176">
        <f>'F1'!N12</f>
        <v>9.7370810721543339</v>
      </c>
      <c r="O15" s="176">
        <f>'F1'!O12</f>
        <v>9.7370810721543339</v>
      </c>
    </row>
    <row r="16" spans="2:15" ht="15">
      <c r="B16" s="23">
        <f t="shared" si="2"/>
        <v>7</v>
      </c>
      <c r="C16" s="29" t="s">
        <v>169</v>
      </c>
      <c r="D16" s="138">
        <f>D12-D13+D14-D15</f>
        <v>212.90268041924486</v>
      </c>
      <c r="E16" s="138">
        <f t="shared" ref="E16:O16" si="4">E12-E13+E14-E15</f>
        <v>224.14268041924487</v>
      </c>
      <c r="F16" s="138">
        <f t="shared" si="4"/>
        <v>224.14268041924487</v>
      </c>
      <c r="G16" s="138">
        <f t="shared" si="4"/>
        <v>194.00140841861094</v>
      </c>
      <c r="H16" s="219"/>
      <c r="I16" s="219"/>
      <c r="J16" s="138">
        <f t="shared" si="4"/>
        <v>204.91944353623217</v>
      </c>
      <c r="K16" s="138">
        <f t="shared" si="4"/>
        <v>215.59558871009298</v>
      </c>
      <c r="L16" s="138">
        <f t="shared" si="4"/>
        <v>215.32413263793867</v>
      </c>
      <c r="M16" s="138">
        <f t="shared" si="4"/>
        <v>205.58705156578438</v>
      </c>
      <c r="N16" s="138">
        <f t="shared" si="4"/>
        <v>195.84997049363005</v>
      </c>
      <c r="O16" s="138">
        <f t="shared" si="4"/>
        <v>186.11288942147573</v>
      </c>
    </row>
    <row r="17" spans="2:15" ht="15">
      <c r="B17" s="23">
        <f t="shared" si="2"/>
        <v>8</v>
      </c>
      <c r="C17" s="29" t="s">
        <v>170</v>
      </c>
      <c r="D17" s="138">
        <f>D10-D13+D14-D15</f>
        <v>297.26594458249997</v>
      </c>
      <c r="E17" s="138">
        <f t="shared" ref="E17:O17" si="5">E10-E13+E14-E15</f>
        <v>289.26263746424485</v>
      </c>
      <c r="F17" s="138">
        <f t="shared" si="5"/>
        <v>289.26263746424485</v>
      </c>
      <c r="G17" s="138">
        <f t="shared" si="5"/>
        <v>297.61194458249997</v>
      </c>
      <c r="H17" s="219"/>
      <c r="I17" s="219"/>
      <c r="J17" s="138">
        <f t="shared" si="5"/>
        <v>289.28667258186607</v>
      </c>
      <c r="K17" s="138">
        <f t="shared" si="5"/>
        <v>319.20612487398205</v>
      </c>
      <c r="L17" s="138">
        <f t="shared" si="5"/>
        <v>327.55448851034572</v>
      </c>
      <c r="M17" s="138">
        <f t="shared" si="5"/>
        <v>327.1888635103457</v>
      </c>
      <c r="N17" s="138">
        <f t="shared" si="5"/>
        <v>327.1888635103457</v>
      </c>
      <c r="O17" s="138">
        <f t="shared" si="5"/>
        <v>327.1888635103457</v>
      </c>
    </row>
    <row r="18" spans="2:15" ht="15">
      <c r="B18" s="23">
        <f t="shared" si="2"/>
        <v>9</v>
      </c>
      <c r="C18" s="29" t="s">
        <v>205</v>
      </c>
      <c r="D18" s="138">
        <f>AVERAGE(D12,D16)</f>
        <v>218.50770812799487</v>
      </c>
      <c r="E18" s="138">
        <f t="shared" ref="E18:O18" si="6">AVERAGE(E12,E16)</f>
        <v>233.74936168712244</v>
      </c>
      <c r="F18" s="138">
        <f t="shared" si="6"/>
        <v>233.74936168712244</v>
      </c>
      <c r="G18" s="138">
        <f t="shared" si="6"/>
        <v>199.44840841861094</v>
      </c>
      <c r="H18" s="219"/>
      <c r="I18" s="219"/>
      <c r="J18" s="138">
        <f t="shared" si="6"/>
        <v>214.52907953654912</v>
      </c>
      <c r="K18" s="138">
        <f t="shared" si="6"/>
        <v>210.25949856435199</v>
      </c>
      <c r="L18" s="138">
        <f t="shared" si="6"/>
        <v>215.45986067401583</v>
      </c>
      <c r="M18" s="138">
        <f t="shared" si="6"/>
        <v>210.45559210186155</v>
      </c>
      <c r="N18" s="138">
        <f t="shared" si="6"/>
        <v>200.7185110297072</v>
      </c>
      <c r="O18" s="138">
        <f t="shared" si="6"/>
        <v>190.9814299575529</v>
      </c>
    </row>
    <row r="19" spans="2:15">
      <c r="B19" s="23">
        <f t="shared" si="2"/>
        <v>10</v>
      </c>
      <c r="C19" s="88" t="s">
        <v>204</v>
      </c>
      <c r="D19" s="155">
        <v>0.1056</v>
      </c>
      <c r="E19" s="155">
        <v>0.1056</v>
      </c>
      <c r="F19" s="155">
        <f>E19</f>
        <v>0.1056</v>
      </c>
      <c r="G19" s="155">
        <f t="shared" ref="G19:O19" si="7">F19</f>
        <v>0.1056</v>
      </c>
      <c r="H19" s="155">
        <f t="shared" si="7"/>
        <v>0.1056</v>
      </c>
      <c r="I19" s="155">
        <f t="shared" si="7"/>
        <v>0.1056</v>
      </c>
      <c r="J19" s="155">
        <f t="shared" si="7"/>
        <v>0.1056</v>
      </c>
      <c r="K19" s="155">
        <f t="shared" si="7"/>
        <v>0.1056</v>
      </c>
      <c r="L19" s="155">
        <f t="shared" si="7"/>
        <v>0.1056</v>
      </c>
      <c r="M19" s="155">
        <f t="shared" si="7"/>
        <v>0.1056</v>
      </c>
      <c r="N19" s="155">
        <f t="shared" si="7"/>
        <v>0.1056</v>
      </c>
      <c r="O19" s="155">
        <f t="shared" si="7"/>
        <v>0.1056</v>
      </c>
    </row>
    <row r="20" spans="2:15" ht="15">
      <c r="B20" s="23">
        <f t="shared" si="2"/>
        <v>11</v>
      </c>
      <c r="C20" s="29" t="s">
        <v>282</v>
      </c>
      <c r="D20" s="138">
        <f>D18*D19</f>
        <v>23.074413978316258</v>
      </c>
      <c r="E20" s="138">
        <f>E18*E19</f>
        <v>24.68393259416013</v>
      </c>
      <c r="F20" s="138">
        <f t="shared" ref="F20:O20" si="8">F18*F19</f>
        <v>24.68393259416013</v>
      </c>
      <c r="G20" s="138">
        <f t="shared" si="8"/>
        <v>21.061751929005315</v>
      </c>
      <c r="H20" s="138">
        <f t="shared" si="8"/>
        <v>0</v>
      </c>
      <c r="I20" s="138">
        <f t="shared" si="8"/>
        <v>0</v>
      </c>
      <c r="J20" s="138">
        <f t="shared" si="8"/>
        <v>22.654270799059589</v>
      </c>
      <c r="K20" s="138">
        <f t="shared" si="8"/>
        <v>22.203403048395568</v>
      </c>
      <c r="L20" s="138">
        <f t="shared" si="8"/>
        <v>22.752561287176071</v>
      </c>
      <c r="M20" s="138">
        <f t="shared" si="8"/>
        <v>22.224110525956579</v>
      </c>
      <c r="N20" s="138">
        <f t="shared" si="8"/>
        <v>21.195874764737081</v>
      </c>
      <c r="O20" s="138">
        <f t="shared" si="8"/>
        <v>20.167639003517586</v>
      </c>
    </row>
    <row r="21" spans="2:15">
      <c r="B21" s="23">
        <f t="shared" si="2"/>
        <v>12</v>
      </c>
      <c r="C21" s="29" t="s">
        <v>285</v>
      </c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</row>
    <row r="22" spans="2:15" ht="15">
      <c r="B22" s="23">
        <f t="shared" si="2"/>
        <v>13</v>
      </c>
      <c r="C22" s="29" t="s">
        <v>286</v>
      </c>
      <c r="D22" s="138">
        <v>22.4</v>
      </c>
      <c r="E22" s="138">
        <f t="shared" ref="E22:O22" si="9">E20+E21</f>
        <v>24.68393259416013</v>
      </c>
      <c r="F22" s="138">
        <f t="shared" si="9"/>
        <v>24.68393259416013</v>
      </c>
      <c r="G22" s="138">
        <v>21.673999999999999</v>
      </c>
      <c r="H22" s="138">
        <f t="shared" si="9"/>
        <v>0</v>
      </c>
      <c r="I22" s="138">
        <f t="shared" si="9"/>
        <v>0</v>
      </c>
      <c r="J22" s="138">
        <f t="shared" si="9"/>
        <v>22.654270799059589</v>
      </c>
      <c r="K22" s="138">
        <f t="shared" si="9"/>
        <v>22.203403048395568</v>
      </c>
      <c r="L22" s="138">
        <f t="shared" si="9"/>
        <v>22.752561287176071</v>
      </c>
      <c r="M22" s="138">
        <f t="shared" si="9"/>
        <v>22.224110525956579</v>
      </c>
      <c r="N22" s="138">
        <f t="shared" si="9"/>
        <v>21.195874764737081</v>
      </c>
      <c r="O22" s="138">
        <f t="shared" si="9"/>
        <v>20.167639003517586</v>
      </c>
    </row>
    <row r="23" spans="2:15">
      <c r="B23" s="37"/>
    </row>
    <row r="24" spans="2:15">
      <c r="B24" s="37"/>
      <c r="C24" s="5" t="s">
        <v>247</v>
      </c>
    </row>
    <row r="25" spans="2:15">
      <c r="C25" s="5" t="s">
        <v>369</v>
      </c>
    </row>
    <row r="27" spans="2:15" ht="15">
      <c r="B27" s="36" t="s">
        <v>50</v>
      </c>
      <c r="C27" s="26" t="s">
        <v>283</v>
      </c>
    </row>
    <row r="28" spans="2:15" ht="15">
      <c r="L28" s="28" t="s">
        <v>4</v>
      </c>
    </row>
    <row r="29" spans="2:15" ht="15" customHeight="1">
      <c r="B29" s="252" t="s">
        <v>186</v>
      </c>
      <c r="C29" s="248" t="s">
        <v>18</v>
      </c>
      <c r="D29" s="87" t="s">
        <v>232</v>
      </c>
      <c r="E29" s="236" t="s">
        <v>231</v>
      </c>
      <c r="F29" s="237"/>
      <c r="G29" s="238"/>
      <c r="H29" s="245" t="s">
        <v>225</v>
      </c>
      <c r="I29" s="246"/>
      <c r="J29" s="246"/>
      <c r="K29" s="246"/>
      <c r="L29" s="247"/>
    </row>
    <row r="30" spans="2:15" ht="15">
      <c r="B30" s="253"/>
      <c r="C30" s="248"/>
      <c r="D30" s="21" t="s">
        <v>245</v>
      </c>
      <c r="E30" s="21" t="s">
        <v>235</v>
      </c>
      <c r="F30" s="21" t="s">
        <v>236</v>
      </c>
      <c r="G30" s="21" t="s">
        <v>244</v>
      </c>
      <c r="H30" s="21" t="s">
        <v>226</v>
      </c>
      <c r="I30" s="21" t="s">
        <v>227</v>
      </c>
      <c r="J30" s="21" t="s">
        <v>228</v>
      </c>
      <c r="K30" s="21" t="s">
        <v>229</v>
      </c>
      <c r="L30" s="21" t="s">
        <v>230</v>
      </c>
    </row>
    <row r="31" spans="2:15" ht="15">
      <c r="B31" s="254"/>
      <c r="C31" s="255"/>
      <c r="D31" s="21" t="s">
        <v>12</v>
      </c>
      <c r="E31" s="21" t="s">
        <v>3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  <c r="K31" s="21" t="s">
        <v>8</v>
      </c>
      <c r="L31" s="21" t="s">
        <v>8</v>
      </c>
    </row>
    <row r="32" spans="2:15" ht="15">
      <c r="B32" s="23">
        <v>1</v>
      </c>
      <c r="C32" s="41" t="s">
        <v>185</v>
      </c>
      <c r="D32" s="29"/>
      <c r="E32" s="29"/>
      <c r="F32" s="29"/>
      <c r="G32" s="29"/>
      <c r="H32" s="29"/>
      <c r="I32" s="29"/>
      <c r="J32" s="29"/>
      <c r="K32" s="29"/>
      <c r="L32" s="29"/>
    </row>
    <row r="33" spans="2:12">
      <c r="B33" s="29"/>
      <c r="C33" s="29" t="s">
        <v>13</v>
      </c>
      <c r="D33" s="29"/>
      <c r="E33" s="29"/>
      <c r="F33" s="29"/>
      <c r="G33" s="29"/>
      <c r="H33" s="29"/>
      <c r="I33" s="29"/>
      <c r="J33" s="29"/>
      <c r="K33" s="29"/>
      <c r="L33" s="29"/>
    </row>
    <row r="34" spans="2:12">
      <c r="B34" s="29"/>
      <c r="C34" s="29" t="s">
        <v>158</v>
      </c>
      <c r="D34" s="29"/>
      <c r="E34" s="29"/>
      <c r="F34" s="29"/>
      <c r="G34" s="29"/>
      <c r="H34" s="29"/>
      <c r="I34" s="29"/>
      <c r="J34" s="29"/>
      <c r="K34" s="29"/>
      <c r="L34" s="29"/>
    </row>
    <row r="35" spans="2:12">
      <c r="B35" s="29"/>
      <c r="C35" s="29" t="s">
        <v>14</v>
      </c>
      <c r="D35" s="29"/>
      <c r="E35" s="29"/>
      <c r="F35" s="29"/>
      <c r="G35" s="29"/>
      <c r="H35" s="29"/>
      <c r="I35" s="29"/>
      <c r="J35" s="29"/>
      <c r="K35" s="29"/>
      <c r="L35" s="29"/>
    </row>
    <row r="36" spans="2:12" ht="15">
      <c r="B36" s="29"/>
      <c r="C36" s="29" t="s">
        <v>15</v>
      </c>
      <c r="D36" s="136">
        <f>D33+D34-D35</f>
        <v>0</v>
      </c>
      <c r="E36" s="136">
        <f t="shared" ref="E36:L36" si="10">E33+E34-E35</f>
        <v>0</v>
      </c>
      <c r="F36" s="136">
        <f t="shared" si="10"/>
        <v>0</v>
      </c>
      <c r="G36" s="136">
        <f t="shared" si="10"/>
        <v>0</v>
      </c>
      <c r="H36" s="136">
        <f t="shared" si="10"/>
        <v>0</v>
      </c>
      <c r="I36" s="136">
        <f t="shared" si="10"/>
        <v>0</v>
      </c>
      <c r="J36" s="136">
        <f t="shared" si="10"/>
        <v>0</v>
      </c>
      <c r="K36" s="136">
        <f t="shared" si="10"/>
        <v>0</v>
      </c>
      <c r="L36" s="136">
        <f t="shared" si="10"/>
        <v>0</v>
      </c>
    </row>
    <row r="37" spans="2:12" ht="15">
      <c r="B37" s="29"/>
      <c r="C37" s="29" t="s">
        <v>206</v>
      </c>
      <c r="D37" s="136">
        <f>AVERAGE(D33,D36)</f>
        <v>0</v>
      </c>
      <c r="E37" s="136">
        <f t="shared" ref="E37:L37" si="11">AVERAGE(E33,E36)</f>
        <v>0</v>
      </c>
      <c r="F37" s="136">
        <f t="shared" si="11"/>
        <v>0</v>
      </c>
      <c r="G37" s="136">
        <f t="shared" si="11"/>
        <v>0</v>
      </c>
      <c r="H37" s="136">
        <f t="shared" si="11"/>
        <v>0</v>
      </c>
      <c r="I37" s="136">
        <f t="shared" si="11"/>
        <v>0</v>
      </c>
      <c r="J37" s="136">
        <f t="shared" si="11"/>
        <v>0</v>
      </c>
      <c r="K37" s="136">
        <f t="shared" si="11"/>
        <v>0</v>
      </c>
      <c r="L37" s="136">
        <f t="shared" si="11"/>
        <v>0</v>
      </c>
    </row>
    <row r="38" spans="2:12">
      <c r="B38" s="29"/>
      <c r="C38" s="29" t="s">
        <v>16</v>
      </c>
      <c r="D38" s="158"/>
      <c r="E38" s="158"/>
      <c r="F38" s="158"/>
      <c r="G38" s="158"/>
      <c r="H38" s="158"/>
      <c r="I38" s="158"/>
      <c r="J38" s="158"/>
      <c r="K38" s="158"/>
      <c r="L38" s="158"/>
    </row>
    <row r="39" spans="2:12" ht="15">
      <c r="B39" s="29"/>
      <c r="C39" s="29" t="s">
        <v>282</v>
      </c>
      <c r="D39" s="136">
        <f>D37*D38</f>
        <v>0</v>
      </c>
      <c r="E39" s="136">
        <f t="shared" ref="E39:L39" si="12">E37*E38</f>
        <v>0</v>
      </c>
      <c r="F39" s="136">
        <f t="shared" si="12"/>
        <v>0</v>
      </c>
      <c r="G39" s="136">
        <f t="shared" si="12"/>
        <v>0</v>
      </c>
      <c r="H39" s="136">
        <f t="shared" si="12"/>
        <v>0</v>
      </c>
      <c r="I39" s="136">
        <f t="shared" si="12"/>
        <v>0</v>
      </c>
      <c r="J39" s="136">
        <f t="shared" si="12"/>
        <v>0</v>
      </c>
      <c r="K39" s="136">
        <f t="shared" si="12"/>
        <v>0</v>
      </c>
      <c r="L39" s="136">
        <f t="shared" si="12"/>
        <v>0</v>
      </c>
    </row>
    <row r="40" spans="2:12">
      <c r="B40" s="29"/>
      <c r="C40" s="29" t="s">
        <v>285</v>
      </c>
      <c r="D40" s="159"/>
      <c r="E40" s="159"/>
      <c r="F40" s="159"/>
      <c r="G40" s="159"/>
      <c r="H40" s="159"/>
      <c r="I40" s="159"/>
      <c r="J40" s="159"/>
      <c r="K40" s="159"/>
      <c r="L40" s="159"/>
    </row>
    <row r="41" spans="2:12" ht="15">
      <c r="B41" s="29"/>
      <c r="C41" s="29" t="s">
        <v>286</v>
      </c>
      <c r="D41" s="136">
        <f>D39+D40</f>
        <v>0</v>
      </c>
      <c r="E41" s="136">
        <f t="shared" ref="E41:L41" si="13">E39+E40</f>
        <v>0</v>
      </c>
      <c r="F41" s="136">
        <f t="shared" si="13"/>
        <v>0</v>
      </c>
      <c r="G41" s="136">
        <f t="shared" si="13"/>
        <v>0</v>
      </c>
      <c r="H41" s="136">
        <f t="shared" si="13"/>
        <v>0</v>
      </c>
      <c r="I41" s="136">
        <f t="shared" si="13"/>
        <v>0</v>
      </c>
      <c r="J41" s="136">
        <f t="shared" si="13"/>
        <v>0</v>
      </c>
      <c r="K41" s="136">
        <f t="shared" si="13"/>
        <v>0</v>
      </c>
      <c r="L41" s="136">
        <f t="shared" si="13"/>
        <v>0</v>
      </c>
    </row>
    <row r="42" spans="2:12" ht="15">
      <c r="B42" s="23">
        <v>2</v>
      </c>
      <c r="C42" s="41" t="s">
        <v>184</v>
      </c>
      <c r="D42" s="159"/>
      <c r="E42" s="159"/>
      <c r="F42" s="159"/>
      <c r="G42" s="159"/>
      <c r="H42" s="159"/>
      <c r="I42" s="159"/>
      <c r="J42" s="159"/>
      <c r="K42" s="159"/>
      <c r="L42" s="159"/>
    </row>
    <row r="43" spans="2:12">
      <c r="B43" s="29"/>
      <c r="C43" s="29" t="s">
        <v>13</v>
      </c>
      <c r="D43" s="159"/>
      <c r="E43" s="159"/>
      <c r="F43" s="159"/>
      <c r="G43" s="159"/>
      <c r="H43" s="159"/>
      <c r="I43" s="159"/>
      <c r="J43" s="159"/>
      <c r="K43" s="159"/>
      <c r="L43" s="159"/>
    </row>
    <row r="44" spans="2:12">
      <c r="B44" s="29"/>
      <c r="C44" s="29" t="s">
        <v>158</v>
      </c>
      <c r="D44" s="159"/>
      <c r="E44" s="159"/>
      <c r="F44" s="159"/>
      <c r="G44" s="159"/>
      <c r="H44" s="159"/>
      <c r="I44" s="159"/>
      <c r="J44" s="159"/>
      <c r="K44" s="159"/>
      <c r="L44" s="159"/>
    </row>
    <row r="45" spans="2:12">
      <c r="B45" s="29"/>
      <c r="C45" s="29" t="s">
        <v>14</v>
      </c>
      <c r="D45" s="159"/>
      <c r="E45" s="159"/>
      <c r="F45" s="159"/>
      <c r="G45" s="159"/>
      <c r="H45" s="159"/>
      <c r="I45" s="159"/>
      <c r="J45" s="159"/>
      <c r="K45" s="159"/>
      <c r="L45" s="159"/>
    </row>
    <row r="46" spans="2:12" ht="15">
      <c r="B46" s="29"/>
      <c r="C46" s="29" t="s">
        <v>15</v>
      </c>
      <c r="D46" s="136">
        <f>D43+D44-D45</f>
        <v>0</v>
      </c>
      <c r="E46" s="136">
        <f t="shared" ref="E46:L46" si="14">E43+E44-E45</f>
        <v>0</v>
      </c>
      <c r="F46" s="136">
        <f t="shared" si="14"/>
        <v>0</v>
      </c>
      <c r="G46" s="136">
        <f t="shared" si="14"/>
        <v>0</v>
      </c>
      <c r="H46" s="136">
        <f t="shared" si="14"/>
        <v>0</v>
      </c>
      <c r="I46" s="136">
        <f t="shared" si="14"/>
        <v>0</v>
      </c>
      <c r="J46" s="136">
        <f t="shared" si="14"/>
        <v>0</v>
      </c>
      <c r="K46" s="136">
        <f t="shared" si="14"/>
        <v>0</v>
      </c>
      <c r="L46" s="136">
        <f t="shared" si="14"/>
        <v>0</v>
      </c>
    </row>
    <row r="47" spans="2:12" ht="15">
      <c r="B47" s="29"/>
      <c r="C47" s="29" t="s">
        <v>206</v>
      </c>
      <c r="D47" s="136">
        <f>AVERAGE(D43,D46)</f>
        <v>0</v>
      </c>
      <c r="E47" s="136">
        <f t="shared" ref="E47:L47" si="15">AVERAGE(E43,E46)</f>
        <v>0</v>
      </c>
      <c r="F47" s="136">
        <f t="shared" si="15"/>
        <v>0</v>
      </c>
      <c r="G47" s="136">
        <f t="shared" si="15"/>
        <v>0</v>
      </c>
      <c r="H47" s="136">
        <f t="shared" si="15"/>
        <v>0</v>
      </c>
      <c r="I47" s="136">
        <f t="shared" si="15"/>
        <v>0</v>
      </c>
      <c r="J47" s="136">
        <f t="shared" si="15"/>
        <v>0</v>
      </c>
      <c r="K47" s="136">
        <f t="shared" si="15"/>
        <v>0</v>
      </c>
      <c r="L47" s="136">
        <f t="shared" si="15"/>
        <v>0</v>
      </c>
    </row>
    <row r="48" spans="2:12">
      <c r="B48" s="29"/>
      <c r="C48" s="29" t="s">
        <v>16</v>
      </c>
      <c r="D48" s="158"/>
      <c r="E48" s="158"/>
      <c r="F48" s="158"/>
      <c r="G48" s="158"/>
      <c r="H48" s="158"/>
      <c r="I48" s="158"/>
      <c r="J48" s="158"/>
      <c r="K48" s="158"/>
      <c r="L48" s="158"/>
    </row>
    <row r="49" spans="2:12" ht="15">
      <c r="B49" s="29"/>
      <c r="C49" s="29" t="s">
        <v>282</v>
      </c>
      <c r="D49" s="136">
        <f>D47*D48</f>
        <v>0</v>
      </c>
      <c r="E49" s="136">
        <f t="shared" ref="E49:L49" si="16">E47*E48</f>
        <v>0</v>
      </c>
      <c r="F49" s="136">
        <f t="shared" si="16"/>
        <v>0</v>
      </c>
      <c r="G49" s="136">
        <f t="shared" si="16"/>
        <v>0</v>
      </c>
      <c r="H49" s="136">
        <f t="shared" si="16"/>
        <v>0</v>
      </c>
      <c r="I49" s="136">
        <f t="shared" si="16"/>
        <v>0</v>
      </c>
      <c r="J49" s="136">
        <f t="shared" si="16"/>
        <v>0</v>
      </c>
      <c r="K49" s="136">
        <f t="shared" si="16"/>
        <v>0</v>
      </c>
      <c r="L49" s="136">
        <f t="shared" si="16"/>
        <v>0</v>
      </c>
    </row>
    <row r="50" spans="2:12">
      <c r="B50" s="29"/>
      <c r="C50" s="29" t="s">
        <v>285</v>
      </c>
      <c r="D50" s="159"/>
      <c r="E50" s="159"/>
      <c r="F50" s="159"/>
      <c r="G50" s="159"/>
      <c r="H50" s="159"/>
      <c r="I50" s="159"/>
      <c r="J50" s="159"/>
      <c r="K50" s="159"/>
      <c r="L50" s="159"/>
    </row>
    <row r="51" spans="2:12" ht="15">
      <c r="B51" s="29"/>
      <c r="C51" s="29" t="s">
        <v>286</v>
      </c>
      <c r="D51" s="136">
        <f>D49+D50</f>
        <v>0</v>
      </c>
      <c r="E51" s="136">
        <f t="shared" ref="E51:L51" si="17">E49+E50</f>
        <v>0</v>
      </c>
      <c r="F51" s="136">
        <f t="shared" si="17"/>
        <v>0</v>
      </c>
      <c r="G51" s="136">
        <f t="shared" si="17"/>
        <v>0</v>
      </c>
      <c r="H51" s="136">
        <f t="shared" si="17"/>
        <v>0</v>
      </c>
      <c r="I51" s="136">
        <f t="shared" si="17"/>
        <v>0</v>
      </c>
      <c r="J51" s="136">
        <f t="shared" si="17"/>
        <v>0</v>
      </c>
      <c r="K51" s="136">
        <f t="shared" si="17"/>
        <v>0</v>
      </c>
      <c r="L51" s="136">
        <f t="shared" si="17"/>
        <v>0</v>
      </c>
    </row>
    <row r="52" spans="2:12">
      <c r="B52" s="29"/>
      <c r="C52" s="29" t="s">
        <v>284</v>
      </c>
      <c r="D52" s="159"/>
      <c r="E52" s="159"/>
      <c r="F52" s="159"/>
      <c r="G52" s="159"/>
      <c r="H52" s="159"/>
      <c r="I52" s="159"/>
      <c r="J52" s="159"/>
      <c r="K52" s="159"/>
      <c r="L52" s="159"/>
    </row>
    <row r="53" spans="2:12" ht="15">
      <c r="B53" s="23"/>
      <c r="C53" s="41" t="s">
        <v>127</v>
      </c>
      <c r="D53" s="159"/>
      <c r="E53" s="159"/>
      <c r="F53" s="159"/>
      <c r="G53" s="159"/>
      <c r="H53" s="159"/>
      <c r="I53" s="159"/>
      <c r="J53" s="159"/>
      <c r="K53" s="159"/>
      <c r="L53" s="159"/>
    </row>
    <row r="54" spans="2:12" ht="15">
      <c r="B54" s="29"/>
      <c r="C54" s="29" t="s">
        <v>13</v>
      </c>
      <c r="D54" s="136">
        <f>D33+D43</f>
        <v>0</v>
      </c>
      <c r="E54" s="136">
        <f t="shared" ref="E54:L56" si="18">E33+E43</f>
        <v>0</v>
      </c>
      <c r="F54" s="136">
        <f t="shared" si="18"/>
        <v>0</v>
      </c>
      <c r="G54" s="136">
        <f t="shared" si="18"/>
        <v>0</v>
      </c>
      <c r="H54" s="136">
        <f t="shared" si="18"/>
        <v>0</v>
      </c>
      <c r="I54" s="136">
        <f t="shared" si="18"/>
        <v>0</v>
      </c>
      <c r="J54" s="136">
        <f t="shared" si="18"/>
        <v>0</v>
      </c>
      <c r="K54" s="136">
        <f t="shared" si="18"/>
        <v>0</v>
      </c>
      <c r="L54" s="136">
        <f t="shared" si="18"/>
        <v>0</v>
      </c>
    </row>
    <row r="55" spans="2:12" ht="15">
      <c r="B55" s="29"/>
      <c r="C55" s="29" t="s">
        <v>158</v>
      </c>
      <c r="D55" s="136">
        <f>D34+D44</f>
        <v>0</v>
      </c>
      <c r="E55" s="136">
        <f t="shared" si="18"/>
        <v>0</v>
      </c>
      <c r="F55" s="136">
        <f t="shared" si="18"/>
        <v>0</v>
      </c>
      <c r="G55" s="136">
        <f t="shared" si="18"/>
        <v>0</v>
      </c>
      <c r="H55" s="136">
        <f t="shared" si="18"/>
        <v>0</v>
      </c>
      <c r="I55" s="136">
        <f t="shared" si="18"/>
        <v>0</v>
      </c>
      <c r="J55" s="136">
        <f t="shared" si="18"/>
        <v>0</v>
      </c>
      <c r="K55" s="136">
        <f t="shared" si="18"/>
        <v>0</v>
      </c>
      <c r="L55" s="136">
        <f t="shared" si="18"/>
        <v>0</v>
      </c>
    </row>
    <row r="56" spans="2:12" ht="15">
      <c r="B56" s="29"/>
      <c r="C56" s="29" t="s">
        <v>14</v>
      </c>
      <c r="D56" s="136">
        <f>D35+D45</f>
        <v>0</v>
      </c>
      <c r="E56" s="136">
        <f t="shared" si="18"/>
        <v>0</v>
      </c>
      <c r="F56" s="136">
        <f t="shared" si="18"/>
        <v>0</v>
      </c>
      <c r="G56" s="136">
        <f t="shared" si="18"/>
        <v>0</v>
      </c>
      <c r="H56" s="136">
        <f t="shared" si="18"/>
        <v>0</v>
      </c>
      <c r="I56" s="136">
        <f t="shared" si="18"/>
        <v>0</v>
      </c>
      <c r="J56" s="136">
        <f t="shared" si="18"/>
        <v>0</v>
      </c>
      <c r="K56" s="136">
        <f t="shared" si="18"/>
        <v>0</v>
      </c>
      <c r="L56" s="136">
        <f t="shared" si="18"/>
        <v>0</v>
      </c>
    </row>
    <row r="57" spans="2:12" ht="15">
      <c r="B57" s="29"/>
      <c r="C57" s="29" t="s">
        <v>15</v>
      </c>
      <c r="D57" s="136">
        <f>D54+D55-D56</f>
        <v>0</v>
      </c>
      <c r="E57" s="136">
        <f t="shared" ref="E57:L57" si="19">E54+E55-E56</f>
        <v>0</v>
      </c>
      <c r="F57" s="136">
        <f t="shared" si="19"/>
        <v>0</v>
      </c>
      <c r="G57" s="136">
        <f t="shared" si="19"/>
        <v>0</v>
      </c>
      <c r="H57" s="136">
        <f t="shared" si="19"/>
        <v>0</v>
      </c>
      <c r="I57" s="136">
        <f t="shared" si="19"/>
        <v>0</v>
      </c>
      <c r="J57" s="136">
        <f t="shared" si="19"/>
        <v>0</v>
      </c>
      <c r="K57" s="136">
        <f t="shared" si="19"/>
        <v>0</v>
      </c>
      <c r="L57" s="136">
        <f t="shared" si="19"/>
        <v>0</v>
      </c>
    </row>
    <row r="58" spans="2:12" ht="15">
      <c r="B58" s="29"/>
      <c r="C58" s="29" t="s">
        <v>206</v>
      </c>
      <c r="D58" s="136">
        <f>AVERAGE(D54,D57)</f>
        <v>0</v>
      </c>
      <c r="E58" s="136">
        <f t="shared" ref="E58:L58" si="20">AVERAGE(E54,E57)</f>
        <v>0</v>
      </c>
      <c r="F58" s="136">
        <f t="shared" si="20"/>
        <v>0</v>
      </c>
      <c r="G58" s="136">
        <f t="shared" si="20"/>
        <v>0</v>
      </c>
      <c r="H58" s="136">
        <f t="shared" si="20"/>
        <v>0</v>
      </c>
      <c r="I58" s="136">
        <f t="shared" si="20"/>
        <v>0</v>
      </c>
      <c r="J58" s="136">
        <f t="shared" si="20"/>
        <v>0</v>
      </c>
      <c r="K58" s="136">
        <f t="shared" si="20"/>
        <v>0</v>
      </c>
      <c r="L58" s="136">
        <f t="shared" si="20"/>
        <v>0</v>
      </c>
    </row>
    <row r="59" spans="2:12" ht="15">
      <c r="B59" s="29"/>
      <c r="C59" s="29" t="s">
        <v>16</v>
      </c>
      <c r="D59" s="177">
        <f>IFERROR(D60/D58,0)</f>
        <v>0</v>
      </c>
      <c r="E59" s="177">
        <f t="shared" ref="E59:L59" si="21">IFERROR(E60/E58,0)</f>
        <v>0</v>
      </c>
      <c r="F59" s="177">
        <f t="shared" si="21"/>
        <v>0</v>
      </c>
      <c r="G59" s="177">
        <f t="shared" si="21"/>
        <v>0</v>
      </c>
      <c r="H59" s="177">
        <f t="shared" si="21"/>
        <v>0</v>
      </c>
      <c r="I59" s="177">
        <f t="shared" si="21"/>
        <v>0</v>
      </c>
      <c r="J59" s="177">
        <f t="shared" si="21"/>
        <v>0</v>
      </c>
      <c r="K59" s="177">
        <f t="shared" si="21"/>
        <v>0</v>
      </c>
      <c r="L59" s="177">
        <f t="shared" si="21"/>
        <v>0</v>
      </c>
    </row>
    <row r="60" spans="2:12" ht="15">
      <c r="B60" s="29"/>
      <c r="C60" s="29" t="s">
        <v>282</v>
      </c>
      <c r="D60" s="136">
        <f>D39+D49</f>
        <v>0</v>
      </c>
      <c r="E60" s="136">
        <f t="shared" ref="E60:L61" si="22">E39+E49</f>
        <v>0</v>
      </c>
      <c r="F60" s="136">
        <f t="shared" si="22"/>
        <v>0</v>
      </c>
      <c r="G60" s="136">
        <f t="shared" si="22"/>
        <v>0</v>
      </c>
      <c r="H60" s="136">
        <f t="shared" si="22"/>
        <v>0</v>
      </c>
      <c r="I60" s="136">
        <f t="shared" si="22"/>
        <v>0</v>
      </c>
      <c r="J60" s="136">
        <f t="shared" si="22"/>
        <v>0</v>
      </c>
      <c r="K60" s="136">
        <f t="shared" si="22"/>
        <v>0</v>
      </c>
      <c r="L60" s="136">
        <f t="shared" si="22"/>
        <v>0</v>
      </c>
    </row>
    <row r="61" spans="2:12" ht="15">
      <c r="B61" s="29"/>
      <c r="C61" s="29" t="s">
        <v>285</v>
      </c>
      <c r="D61" s="136">
        <f>D40+D50</f>
        <v>0</v>
      </c>
      <c r="E61" s="136">
        <f t="shared" si="22"/>
        <v>0</v>
      </c>
      <c r="F61" s="136">
        <f t="shared" si="22"/>
        <v>0</v>
      </c>
      <c r="G61" s="136">
        <f t="shared" si="22"/>
        <v>0</v>
      </c>
      <c r="H61" s="136">
        <f t="shared" si="22"/>
        <v>0</v>
      </c>
      <c r="I61" s="136">
        <f t="shared" si="22"/>
        <v>0</v>
      </c>
      <c r="J61" s="136">
        <f t="shared" si="22"/>
        <v>0</v>
      </c>
      <c r="K61" s="136">
        <f t="shared" si="22"/>
        <v>0</v>
      </c>
      <c r="L61" s="136">
        <f t="shared" si="22"/>
        <v>0</v>
      </c>
    </row>
    <row r="62" spans="2:12" ht="15">
      <c r="B62" s="29"/>
      <c r="C62" s="29" t="s">
        <v>286</v>
      </c>
      <c r="D62" s="136">
        <f>D60+D61</f>
        <v>0</v>
      </c>
      <c r="E62" s="136">
        <f t="shared" ref="E62:L62" si="23">E60+E61</f>
        <v>0</v>
      </c>
      <c r="F62" s="136">
        <f t="shared" si="23"/>
        <v>0</v>
      </c>
      <c r="G62" s="136">
        <f t="shared" si="23"/>
        <v>0</v>
      </c>
      <c r="H62" s="136">
        <f t="shared" si="23"/>
        <v>0</v>
      </c>
      <c r="I62" s="136">
        <f t="shared" si="23"/>
        <v>0</v>
      </c>
      <c r="J62" s="136">
        <f t="shared" si="23"/>
        <v>0</v>
      </c>
      <c r="K62" s="136">
        <f t="shared" si="23"/>
        <v>0</v>
      </c>
      <c r="L62" s="136">
        <f t="shared" si="23"/>
        <v>0</v>
      </c>
    </row>
  </sheetData>
  <mergeCells count="12">
    <mergeCell ref="B2:O2"/>
    <mergeCell ref="B3:O3"/>
    <mergeCell ref="B4:O4"/>
    <mergeCell ref="E29:G29"/>
    <mergeCell ref="H29:L29"/>
    <mergeCell ref="B7:B9"/>
    <mergeCell ref="C7:C9"/>
    <mergeCell ref="D7:F7"/>
    <mergeCell ref="G7:J7"/>
    <mergeCell ref="K7:O7"/>
    <mergeCell ref="B29:B31"/>
    <mergeCell ref="C29:C31"/>
  </mergeCells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zoomScale="80" zoomScaleNormal="80" zoomScaleSheetLayoutView="90" workbookViewId="0">
      <selection activeCell="E31" sqref="E31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3" ht="15">
      <c r="B1" s="26"/>
    </row>
    <row r="3" spans="2:13" ht="15.75">
      <c r="B3" s="222" t="s">
        <v>416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2:13" ht="15.75">
      <c r="B4" s="222" t="s">
        <v>417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2:13" ht="15.75">
      <c r="B5" s="267" t="s">
        <v>423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</row>
    <row r="6" spans="2:13" ht="15">
      <c r="M6" s="28" t="s">
        <v>4</v>
      </c>
    </row>
    <row r="7" spans="2:13" s="19" customFormat="1" ht="15" customHeight="1">
      <c r="B7" s="252" t="s">
        <v>186</v>
      </c>
      <c r="C7" s="248" t="s">
        <v>18</v>
      </c>
      <c r="D7" s="236" t="s">
        <v>382</v>
      </c>
      <c r="E7" s="237"/>
      <c r="F7" s="238"/>
      <c r="G7" s="236" t="s">
        <v>383</v>
      </c>
      <c r="H7" s="237"/>
      <c r="I7" s="244" t="s">
        <v>225</v>
      </c>
      <c r="J7" s="244"/>
      <c r="K7" s="244"/>
      <c r="L7" s="244"/>
      <c r="M7" s="244"/>
    </row>
    <row r="8" spans="2:13" s="19" customFormat="1" ht="45">
      <c r="B8" s="253"/>
      <c r="C8" s="248"/>
      <c r="D8" s="21" t="s">
        <v>328</v>
      </c>
      <c r="E8" s="21" t="s">
        <v>233</v>
      </c>
      <c r="F8" s="21" t="s">
        <v>201</v>
      </c>
      <c r="G8" s="21" t="s">
        <v>328</v>
      </c>
      <c r="H8" s="21" t="s">
        <v>237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54"/>
      <c r="C9" s="255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4">
        <v>1</v>
      </c>
      <c r="C10" s="29" t="s">
        <v>287</v>
      </c>
      <c r="D10" s="2"/>
      <c r="E10" s="29"/>
      <c r="F10" s="29"/>
      <c r="G10" s="24"/>
      <c r="H10" s="24"/>
      <c r="I10" s="24"/>
      <c r="J10" s="24"/>
      <c r="K10" s="24"/>
      <c r="L10" s="24"/>
      <c r="M10" s="24"/>
    </row>
    <row r="11" spans="2:13">
      <c r="B11" s="23">
        <f>B10+1</f>
        <v>2</v>
      </c>
      <c r="C11" s="29" t="s">
        <v>288</v>
      </c>
      <c r="D11" s="2"/>
      <c r="E11" s="29"/>
      <c r="F11" s="29"/>
      <c r="G11" s="24"/>
      <c r="H11" s="24"/>
      <c r="I11" s="24"/>
      <c r="J11" s="24"/>
      <c r="K11" s="24"/>
      <c r="L11" s="24"/>
      <c r="M11" s="24"/>
    </row>
    <row r="12" spans="2:13">
      <c r="B12" s="23">
        <f t="shared" ref="B12:B20" si="0">B11+1</f>
        <v>3</v>
      </c>
      <c r="C12" s="31" t="s">
        <v>289</v>
      </c>
      <c r="D12" s="2"/>
      <c r="E12" s="29"/>
      <c r="F12" s="29"/>
      <c r="G12" s="24"/>
      <c r="H12" s="24"/>
      <c r="I12" s="24"/>
      <c r="J12" s="24"/>
      <c r="K12" s="24"/>
      <c r="L12" s="24"/>
      <c r="M12" s="24"/>
    </row>
    <row r="13" spans="2:13">
      <c r="B13" s="23">
        <f t="shared" si="0"/>
        <v>4</v>
      </c>
      <c r="C13" s="88" t="s">
        <v>290</v>
      </c>
      <c r="D13" s="157">
        <f>'F2'!E14/12</f>
        <v>2.4858333333333333</v>
      </c>
      <c r="E13" s="157">
        <f>'F2'!F14/12</f>
        <v>3.5133968782578133</v>
      </c>
      <c r="F13" s="157">
        <f>'F2'!G14/12</f>
        <v>3.5133968782578133</v>
      </c>
      <c r="G13" s="157">
        <f>'F2'!H14/12</f>
        <v>2.6040299999999998</v>
      </c>
      <c r="H13" s="157">
        <f>'F2'!I14/12</f>
        <v>3.7961234433057727</v>
      </c>
      <c r="I13" s="157">
        <f>'F2'!J14/12</f>
        <v>3.4740410074688506</v>
      </c>
      <c r="J13" s="157">
        <f>'F2'!K14/12</f>
        <v>3.6760439048676603</v>
      </c>
      <c r="K13" s="157">
        <f>'F2'!L14/12</f>
        <v>3.8791139585323626</v>
      </c>
      <c r="L13" s="157">
        <f>'F2'!M14/12</f>
        <v>4.0848899282539</v>
      </c>
      <c r="M13" s="157">
        <f>'F2'!N14/12</f>
        <v>4.3025576631968336</v>
      </c>
    </row>
    <row r="14" spans="2:13" s="35" customFormat="1" ht="15">
      <c r="B14" s="23">
        <f t="shared" si="0"/>
        <v>5</v>
      </c>
      <c r="C14" s="40" t="s">
        <v>291</v>
      </c>
      <c r="D14" s="157">
        <f>'F1'!F11*15%</f>
        <v>4.4297549999999992</v>
      </c>
      <c r="E14" s="157">
        <f>'F1'!G11*15%</f>
        <v>6.3241143808640636</v>
      </c>
      <c r="F14" s="157">
        <f>'F1'!H11*15%</f>
        <v>6.3241143808640636</v>
      </c>
      <c r="G14" s="157">
        <f>'F1'!I11*15%</f>
        <v>4.6872539999999994</v>
      </c>
      <c r="H14" s="157">
        <f>'F1'!J11*15%</f>
        <v>6.8330221979503909</v>
      </c>
      <c r="I14" s="166">
        <f>'F4'!F47*1%</f>
        <v>4.4076596312600005</v>
      </c>
      <c r="J14" s="166">
        <f>'F4'!F56*1%</f>
        <v>4.6832596312600003</v>
      </c>
      <c r="K14" s="166">
        <f>'F4'!F65*1%</f>
        <v>4.8132596312600002</v>
      </c>
      <c r="L14" s="166">
        <f>'F4'!F74*1%</f>
        <v>4.8132596312600002</v>
      </c>
      <c r="M14" s="166">
        <f>'F4'!F83*1%</f>
        <v>4.8132596312600002</v>
      </c>
    </row>
    <row r="15" spans="2:13">
      <c r="B15" s="23">
        <f t="shared" si="0"/>
        <v>6</v>
      </c>
      <c r="C15" s="88" t="s">
        <v>365</v>
      </c>
      <c r="D15" s="157">
        <f>('F1'!F22+'F1'!F16)*2/12</f>
        <v>15.295283333333332</v>
      </c>
      <c r="E15" s="157">
        <f ca="1">('F1'!G22+'F1'!G16)*2/12</f>
        <v>19.670914247196936</v>
      </c>
      <c r="F15" s="157">
        <f ca="1">('F1'!H22+'F1'!H16)*2/12</f>
        <v>19.670914247196936</v>
      </c>
      <c r="G15" s="157">
        <f>('F1'!I22+'F1'!I16)*2/12</f>
        <v>15.479393333333332</v>
      </c>
      <c r="H15" s="157">
        <f ca="1">('F1'!J22+'F1'!J16)*2/12</f>
        <v>19.948648574338485</v>
      </c>
      <c r="I15" s="157">
        <f ca="1">('F1'!K22+'F1'!K16)*45/365</f>
        <v>12.906891042436124</v>
      </c>
      <c r="J15" s="157">
        <f ca="1">('F1'!L22+'F1'!L16)*45/365</f>
        <v>13.545472731430737</v>
      </c>
      <c r="K15" s="157">
        <f ca="1">('F1'!M22+'F1'!M16)*45/365</f>
        <v>13.887285158102603</v>
      </c>
      <c r="L15" s="157">
        <f ca="1">('F1'!N22+'F1'!N16)*45/365</f>
        <v>14.069811140461175</v>
      </c>
      <c r="M15" s="157">
        <f ca="1">('F1'!O22+'F1'!O16)*45/365</f>
        <v>14.270304062141818</v>
      </c>
    </row>
    <row r="16" spans="2:13">
      <c r="B16" s="23"/>
      <c r="C16" s="88" t="s">
        <v>292</v>
      </c>
      <c r="D16" s="89"/>
      <c r="E16" s="31"/>
      <c r="F16" s="3"/>
      <c r="G16" s="31"/>
      <c r="H16" s="31"/>
      <c r="I16" s="31"/>
      <c r="J16" s="31"/>
      <c r="K16" s="31"/>
      <c r="L16" s="31"/>
      <c r="M16" s="31"/>
    </row>
    <row r="17" spans="2:13">
      <c r="B17" s="23">
        <f>B15+1</f>
        <v>7</v>
      </c>
      <c r="C17" s="29" t="s">
        <v>366</v>
      </c>
      <c r="D17" s="157">
        <f>'F1'!F21/12</f>
        <v>0</v>
      </c>
      <c r="E17" s="157">
        <f>'F1'!G21/12</f>
        <v>0</v>
      </c>
      <c r="F17" s="157">
        <f>'F1'!H21/12</f>
        <v>0</v>
      </c>
      <c r="G17" s="157">
        <f>'F1'!I21/12</f>
        <v>0</v>
      </c>
      <c r="H17" s="157">
        <f>'F1'!J21/12</f>
        <v>0</v>
      </c>
      <c r="I17" s="157">
        <f>'F1'!K21/12</f>
        <v>0</v>
      </c>
      <c r="J17" s="157">
        <f>'F1'!L21/12</f>
        <v>0</v>
      </c>
      <c r="K17" s="157">
        <f>'F1'!M21/12</f>
        <v>0</v>
      </c>
      <c r="L17" s="157">
        <f>'F1'!N21/12</f>
        <v>0</v>
      </c>
      <c r="M17" s="157">
        <f>'F1'!O21/12</f>
        <v>0</v>
      </c>
    </row>
    <row r="18" spans="2:13" ht="15">
      <c r="B18" s="23">
        <f t="shared" si="0"/>
        <v>8</v>
      </c>
      <c r="C18" s="29" t="s">
        <v>44</v>
      </c>
      <c r="D18" s="138">
        <f>SUM(D10:D15)-D17</f>
        <v>22.210871666666662</v>
      </c>
      <c r="E18" s="138">
        <f t="shared" ref="E18:H18" ca="1" si="1">SUM(E10:E15)-E17</f>
        <v>29.508425506318815</v>
      </c>
      <c r="F18" s="138">
        <f t="shared" ca="1" si="1"/>
        <v>29.508425506318815</v>
      </c>
      <c r="G18" s="138">
        <f t="shared" si="1"/>
        <v>22.770677333333332</v>
      </c>
      <c r="H18" s="138">
        <f t="shared" ca="1" si="1"/>
        <v>30.57779421559465</v>
      </c>
      <c r="I18" s="138">
        <f ca="1">SUM(I13:I15)</f>
        <v>20.788591681164974</v>
      </c>
      <c r="J18" s="138">
        <f t="shared" ref="J18:M18" ca="1" si="2">SUM(J13:J15)</f>
        <v>21.904776267558397</v>
      </c>
      <c r="K18" s="138">
        <f t="shared" ca="1" si="2"/>
        <v>22.579658747894968</v>
      </c>
      <c r="L18" s="138">
        <f t="shared" ca="1" si="2"/>
        <v>22.967960699975073</v>
      </c>
      <c r="M18" s="138">
        <f t="shared" ca="1" si="2"/>
        <v>23.38612135659865</v>
      </c>
    </row>
    <row r="19" spans="2:13">
      <c r="B19" s="23">
        <f t="shared" si="0"/>
        <v>9</v>
      </c>
      <c r="C19" s="29" t="s">
        <v>293</v>
      </c>
      <c r="D19" s="155">
        <v>8.5500000000000007E-2</v>
      </c>
      <c r="E19" s="155">
        <v>9.4399999999999998E-2</v>
      </c>
      <c r="F19" s="155">
        <v>9.4399999999999998E-2</v>
      </c>
      <c r="G19" s="155">
        <v>8.5500000000000007E-2</v>
      </c>
      <c r="H19" s="155">
        <v>0.1008</v>
      </c>
      <c r="I19" s="155">
        <v>0.10150000000000001</v>
      </c>
      <c r="J19" s="155">
        <f>I19</f>
        <v>0.10150000000000001</v>
      </c>
      <c r="K19" s="155">
        <f>I19</f>
        <v>0.10150000000000001</v>
      </c>
      <c r="L19" s="155">
        <f>I19</f>
        <v>0.10150000000000001</v>
      </c>
      <c r="M19" s="155">
        <f>I19</f>
        <v>0.10150000000000001</v>
      </c>
    </row>
    <row r="20" spans="2:13" ht="15">
      <c r="B20" s="23">
        <f t="shared" si="0"/>
        <v>10</v>
      </c>
      <c r="C20" s="88" t="s">
        <v>294</v>
      </c>
      <c r="D20" s="138">
        <v>1.99</v>
      </c>
      <c r="E20" s="138">
        <f t="shared" ref="E20:M20" ca="1" si="3">E18*E19</f>
        <v>2.7855953677964962</v>
      </c>
      <c r="F20" s="138">
        <f t="shared" ca="1" si="3"/>
        <v>2.7855953677964962</v>
      </c>
      <c r="G20" s="138">
        <v>2.09</v>
      </c>
      <c r="H20" s="138">
        <f t="shared" ca="1" si="3"/>
        <v>3.0822416569319406</v>
      </c>
      <c r="I20" s="138">
        <f t="shared" ca="1" si="3"/>
        <v>2.1100420556382451</v>
      </c>
      <c r="J20" s="138">
        <f t="shared" ca="1" si="3"/>
        <v>2.2233347911571775</v>
      </c>
      <c r="K20" s="138">
        <f t="shared" ca="1" si="3"/>
        <v>2.2918353629113395</v>
      </c>
      <c r="L20" s="138">
        <f t="shared" ca="1" si="3"/>
        <v>2.33124801104747</v>
      </c>
      <c r="M20" s="138">
        <f t="shared" ca="1" si="3"/>
        <v>2.3736913176947634</v>
      </c>
    </row>
    <row r="22" spans="2:13">
      <c r="C22" s="5" t="s">
        <v>247</v>
      </c>
    </row>
    <row r="23" spans="2:13">
      <c r="C23" s="5" t="s">
        <v>367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E31" sqref="E31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22" t="s">
        <v>416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2:13" ht="15.75">
      <c r="B3" s="222" t="s">
        <v>417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2:13" ht="15.75">
      <c r="B4" s="267" t="s">
        <v>424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52" t="s">
        <v>186</v>
      </c>
      <c r="C7" s="248" t="s">
        <v>18</v>
      </c>
      <c r="D7" s="236" t="s">
        <v>382</v>
      </c>
      <c r="E7" s="237"/>
      <c r="F7" s="238"/>
      <c r="G7" s="236" t="s">
        <v>383</v>
      </c>
      <c r="H7" s="237"/>
      <c r="I7" s="244" t="s">
        <v>225</v>
      </c>
      <c r="J7" s="244"/>
      <c r="K7" s="244"/>
      <c r="L7" s="244"/>
      <c r="M7" s="244"/>
    </row>
    <row r="8" spans="2:13" s="19" customFormat="1" ht="45">
      <c r="B8" s="253"/>
      <c r="C8" s="248"/>
      <c r="D8" s="21" t="s">
        <v>328</v>
      </c>
      <c r="E8" s="21" t="s">
        <v>233</v>
      </c>
      <c r="F8" s="21" t="s">
        <v>201</v>
      </c>
      <c r="G8" s="21" t="s">
        <v>328</v>
      </c>
      <c r="H8" s="21" t="s">
        <v>237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54"/>
      <c r="C9" s="255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4">
        <v>1</v>
      </c>
      <c r="C10" s="29" t="s">
        <v>215</v>
      </c>
      <c r="D10" s="171">
        <f>'F4'!F21*30%</f>
        <v>132.2053452813</v>
      </c>
      <c r="E10" s="166">
        <f>'F4'!F21*30%</f>
        <v>132.2053452813</v>
      </c>
      <c r="F10" s="166">
        <f>E10</f>
        <v>132.2053452813</v>
      </c>
      <c r="G10" s="173">
        <f>'F4'!F38*30%</f>
        <v>132.21778893780001</v>
      </c>
      <c r="H10" s="173">
        <f>F14</f>
        <v>132.2181786738</v>
      </c>
      <c r="I10" s="173">
        <f>H14</f>
        <v>132.2301786738</v>
      </c>
      <c r="J10" s="173">
        <f t="shared" ref="J10:L10" si="0">I14</f>
        <v>140.4981786738</v>
      </c>
      <c r="K10" s="173">
        <f t="shared" si="0"/>
        <v>144.3981786738</v>
      </c>
      <c r="L10" s="173">
        <f t="shared" si="0"/>
        <v>144.3981786738</v>
      </c>
      <c r="M10" s="173">
        <f>L14</f>
        <v>144.3981786738</v>
      </c>
    </row>
    <row r="11" spans="2:13">
      <c r="B11" s="23">
        <f>B10+1</f>
        <v>2</v>
      </c>
      <c r="C11" s="29" t="s">
        <v>216</v>
      </c>
      <c r="D11" s="168"/>
      <c r="E11" s="166">
        <f>F3.1!H12</f>
        <v>4.2777974999999996E-2</v>
      </c>
      <c r="F11" s="166">
        <f>E11</f>
        <v>4.2777974999999996E-2</v>
      </c>
      <c r="G11" s="172"/>
      <c r="H11" s="173">
        <f>F3.1!H18</f>
        <v>0.04</v>
      </c>
      <c r="I11" s="173">
        <f>F3.1!H26</f>
        <v>27.560000000000002</v>
      </c>
      <c r="J11" s="173">
        <f>F3.1!H32</f>
        <v>13</v>
      </c>
      <c r="K11" s="173">
        <f>F3.1!H38</f>
        <v>0</v>
      </c>
      <c r="L11" s="173">
        <f>F3.1!H44</f>
        <v>0</v>
      </c>
      <c r="M11" s="173">
        <f>F3.1!H50</f>
        <v>0</v>
      </c>
    </row>
    <row r="12" spans="2:13">
      <c r="B12" s="23">
        <f t="shared" ref="B12:B22" si="1">B11+1</f>
        <v>3</v>
      </c>
      <c r="C12" s="31" t="s">
        <v>19</v>
      </c>
      <c r="D12" s="171">
        <f>D11*25%</f>
        <v>0</v>
      </c>
      <c r="E12" s="171">
        <f>E11*30%</f>
        <v>1.2833392499999999E-2</v>
      </c>
      <c r="F12" s="171">
        <f>F11*30%</f>
        <v>1.2833392499999999E-2</v>
      </c>
      <c r="G12" s="171">
        <f t="shared" ref="G12" si="2">G11*25%</f>
        <v>0</v>
      </c>
      <c r="H12" s="171">
        <f>H11*30%</f>
        <v>1.2E-2</v>
      </c>
      <c r="I12" s="171">
        <f>I11*30%</f>
        <v>8.2680000000000007</v>
      </c>
      <c r="J12" s="171">
        <f t="shared" ref="J12:M12" si="3">J11*30%</f>
        <v>3.9</v>
      </c>
      <c r="K12" s="171">
        <f t="shared" si="3"/>
        <v>0</v>
      </c>
      <c r="L12" s="171">
        <f t="shared" si="3"/>
        <v>0</v>
      </c>
      <c r="M12" s="171">
        <f t="shared" si="3"/>
        <v>0</v>
      </c>
    </row>
    <row r="13" spans="2:13" ht="28.5">
      <c r="B13" s="23">
        <f t="shared" si="1"/>
        <v>4</v>
      </c>
      <c r="C13" s="88" t="s">
        <v>20</v>
      </c>
      <c r="D13" s="174"/>
      <c r="E13" s="42"/>
      <c r="F13" s="168"/>
      <c r="G13" s="42"/>
      <c r="H13" s="42"/>
      <c r="I13" s="42"/>
      <c r="J13" s="42"/>
      <c r="K13" s="42"/>
      <c r="L13" s="42"/>
      <c r="M13" s="42"/>
    </row>
    <row r="14" spans="2:13" s="35" customFormat="1" ht="15">
      <c r="B14" s="23">
        <f t="shared" si="1"/>
        <v>5</v>
      </c>
      <c r="C14" s="40" t="s">
        <v>21</v>
      </c>
      <c r="D14" s="175">
        <f>D10+D12-D13</f>
        <v>132.2053452813</v>
      </c>
      <c r="E14" s="175">
        <f t="shared" ref="E14:M14" si="4">E10+E12-E13</f>
        <v>132.2181786738</v>
      </c>
      <c r="F14" s="175">
        <f>F10+F12-F13</f>
        <v>132.2181786738</v>
      </c>
      <c r="G14" s="175">
        <f t="shared" si="4"/>
        <v>132.21778893780001</v>
      </c>
      <c r="H14" s="175">
        <f t="shared" si="4"/>
        <v>132.2301786738</v>
      </c>
      <c r="I14" s="175">
        <f t="shared" si="4"/>
        <v>140.4981786738</v>
      </c>
      <c r="J14" s="175">
        <f t="shared" si="4"/>
        <v>144.3981786738</v>
      </c>
      <c r="K14" s="175">
        <f t="shared" si="4"/>
        <v>144.3981786738</v>
      </c>
      <c r="L14" s="175">
        <f t="shared" si="4"/>
        <v>144.3981786738</v>
      </c>
      <c r="M14" s="175">
        <f t="shared" si="4"/>
        <v>144.3981786738</v>
      </c>
    </row>
    <row r="15" spans="2:13" s="35" customFormat="1" ht="15">
      <c r="B15" s="23"/>
      <c r="C15" s="90" t="s">
        <v>295</v>
      </c>
      <c r="D15" s="89"/>
      <c r="E15" s="31"/>
      <c r="F15" s="3"/>
      <c r="G15" s="31"/>
      <c r="H15" s="31"/>
      <c r="I15" s="31"/>
      <c r="J15" s="31"/>
      <c r="K15" s="31"/>
      <c r="L15" s="31"/>
      <c r="M15" s="31"/>
    </row>
    <row r="16" spans="2:13" s="35" customFormat="1" ht="15">
      <c r="B16" s="23">
        <f>B14+1</f>
        <v>6</v>
      </c>
      <c r="C16" s="40" t="s">
        <v>296</v>
      </c>
      <c r="D16" s="154">
        <v>0.16500000000000001</v>
      </c>
      <c r="E16" s="154">
        <v>0.16500000000000001</v>
      </c>
      <c r="F16" s="154">
        <v>0.16500000000000001</v>
      </c>
      <c r="G16" s="154">
        <v>0.16500000000000001</v>
      </c>
      <c r="H16" s="154">
        <v>0.16500000000000001</v>
      </c>
      <c r="I16" s="154">
        <v>0.16500000000000001</v>
      </c>
      <c r="J16" s="154">
        <v>0.16500000000000001</v>
      </c>
      <c r="K16" s="154">
        <v>0.16500000000000001</v>
      </c>
      <c r="L16" s="154">
        <v>0.16500000000000001</v>
      </c>
      <c r="M16" s="154">
        <v>0.16500000000000001</v>
      </c>
    </row>
    <row r="17" spans="2:13" s="35" customFormat="1" ht="15">
      <c r="B17" s="23">
        <f>B16+1</f>
        <v>7</v>
      </c>
      <c r="C17" s="40" t="s">
        <v>297</v>
      </c>
      <c r="D17" s="155">
        <v>0.17471999999999999</v>
      </c>
      <c r="E17" s="155">
        <v>0.25168000000000001</v>
      </c>
      <c r="F17" s="155">
        <v>0.25168000000000001</v>
      </c>
      <c r="G17" s="155">
        <v>0.17471999999999999</v>
      </c>
      <c r="H17" s="155">
        <v>0.25168000000000001</v>
      </c>
      <c r="I17" s="155">
        <v>0.25168000000000001</v>
      </c>
      <c r="J17" s="155">
        <v>0.25168000000000001</v>
      </c>
      <c r="K17" s="155">
        <v>0.25168000000000001</v>
      </c>
      <c r="L17" s="155">
        <v>0.25168000000000001</v>
      </c>
      <c r="M17" s="155">
        <v>0.25168000000000001</v>
      </c>
    </row>
    <row r="18" spans="2:13" s="35" customFormat="1" ht="15">
      <c r="B18" s="23">
        <f>B17+1</f>
        <v>8</v>
      </c>
      <c r="C18" s="32" t="s">
        <v>295</v>
      </c>
      <c r="D18" s="156">
        <f>D16/(1-D17)</f>
        <v>0.19993214424195424</v>
      </c>
      <c r="E18" s="156">
        <f t="shared" ref="E18:M18" si="5">E16/(1-E17)</f>
        <v>0.22049390635022451</v>
      </c>
      <c r="F18" s="156">
        <f t="shared" si="5"/>
        <v>0.22049390635022451</v>
      </c>
      <c r="G18" s="156">
        <f t="shared" si="5"/>
        <v>0.19993214424195424</v>
      </c>
      <c r="H18" s="156">
        <f t="shared" si="5"/>
        <v>0.22049390635022451</v>
      </c>
      <c r="I18" s="156">
        <f t="shared" si="5"/>
        <v>0.22049390635022451</v>
      </c>
      <c r="J18" s="156">
        <f t="shared" si="5"/>
        <v>0.22049390635022451</v>
      </c>
      <c r="K18" s="156">
        <f t="shared" si="5"/>
        <v>0.22049390635022451</v>
      </c>
      <c r="L18" s="156">
        <f t="shared" si="5"/>
        <v>0.22049390635022451</v>
      </c>
      <c r="M18" s="156">
        <f t="shared" si="5"/>
        <v>0.22049390635022451</v>
      </c>
    </row>
    <row r="19" spans="2:13" ht="15">
      <c r="B19" s="23"/>
      <c r="C19" s="90" t="s">
        <v>171</v>
      </c>
      <c r="D19" s="137"/>
      <c r="E19" s="31"/>
      <c r="F19" s="3"/>
      <c r="G19" s="31"/>
      <c r="H19" s="31"/>
      <c r="I19" s="31"/>
      <c r="J19" s="31"/>
      <c r="K19" s="31"/>
      <c r="L19" s="31"/>
      <c r="M19" s="31"/>
    </row>
    <row r="20" spans="2:13" ht="17.25" customHeight="1">
      <c r="B20" s="23">
        <f>B18+1</f>
        <v>9</v>
      </c>
      <c r="C20" s="88" t="s">
        <v>217</v>
      </c>
      <c r="D20" s="138">
        <f>D10*D18</f>
        <v>26.432098162338235</v>
      </c>
      <c r="E20" s="138">
        <f t="shared" ref="E20:M20" si="6">E10*E18</f>
        <v>29.150473021454058</v>
      </c>
      <c r="F20" s="138">
        <f t="shared" si="6"/>
        <v>29.150473021454058</v>
      </c>
      <c r="G20" s="138">
        <f t="shared" si="6"/>
        <v>26.434586049264492</v>
      </c>
      <c r="H20" s="138">
        <f t="shared" si="6"/>
        <v>29.153302706298106</v>
      </c>
      <c r="I20" s="138">
        <f t="shared" si="6"/>
        <v>29.155948633174312</v>
      </c>
      <c r="J20" s="138">
        <f t="shared" si="6"/>
        <v>30.978992250877965</v>
      </c>
      <c r="K20" s="138">
        <f t="shared" si="6"/>
        <v>31.838918485643845</v>
      </c>
      <c r="L20" s="138">
        <f t="shared" si="6"/>
        <v>31.838918485643845</v>
      </c>
      <c r="M20" s="138">
        <f t="shared" si="6"/>
        <v>31.838918485643845</v>
      </c>
    </row>
    <row r="21" spans="2:13" ht="18.75" customHeight="1">
      <c r="B21" s="23">
        <f t="shared" si="1"/>
        <v>10</v>
      </c>
      <c r="C21" s="88" t="s">
        <v>218</v>
      </c>
      <c r="D21" s="138">
        <f>AVERAGE(D10,D14)*D18-D20</f>
        <v>0</v>
      </c>
      <c r="E21" s="138">
        <f t="shared" ref="E21:M21" si="7">AVERAGE(E10,E14)*E18-E20</f>
        <v>1.4148424220259415E-3</v>
      </c>
      <c r="F21" s="138">
        <f t="shared" si="7"/>
        <v>1.4148424220259415E-3</v>
      </c>
      <c r="G21" s="138">
        <f t="shared" si="7"/>
        <v>0</v>
      </c>
      <c r="H21" s="138">
        <f t="shared" si="7"/>
        <v>1.3229634381026756E-3</v>
      </c>
      <c r="I21" s="138">
        <f t="shared" si="7"/>
        <v>0.91152180885182332</v>
      </c>
      <c r="J21" s="138">
        <f t="shared" si="7"/>
        <v>0.42996311738293613</v>
      </c>
      <c r="K21" s="138">
        <f t="shared" si="7"/>
        <v>0</v>
      </c>
      <c r="L21" s="138">
        <f t="shared" si="7"/>
        <v>0</v>
      </c>
      <c r="M21" s="138">
        <f t="shared" si="7"/>
        <v>0</v>
      </c>
    </row>
    <row r="22" spans="2:13" ht="15">
      <c r="B22" s="23">
        <f t="shared" si="1"/>
        <v>11</v>
      </c>
      <c r="C22" s="41" t="s">
        <v>172</v>
      </c>
      <c r="D22" s="138">
        <v>26.61</v>
      </c>
      <c r="E22" s="138">
        <f t="shared" ref="E22:M22" si="8">E20+E21</f>
        <v>29.151887863876084</v>
      </c>
      <c r="F22" s="138">
        <f t="shared" si="8"/>
        <v>29.151887863876084</v>
      </c>
      <c r="G22" s="138">
        <v>26.97</v>
      </c>
      <c r="H22" s="138">
        <f t="shared" si="8"/>
        <v>29.154625669736209</v>
      </c>
      <c r="I22" s="138">
        <f t="shared" si="8"/>
        <v>30.067470442026135</v>
      </c>
      <c r="J22" s="138">
        <f t="shared" si="8"/>
        <v>31.408955368260902</v>
      </c>
      <c r="K22" s="138">
        <f t="shared" si="8"/>
        <v>31.838918485643845</v>
      </c>
      <c r="L22" s="138">
        <f t="shared" si="8"/>
        <v>31.838918485643845</v>
      </c>
      <c r="M22" s="138">
        <f t="shared" si="8"/>
        <v>31.838918485643845</v>
      </c>
    </row>
    <row r="23" spans="2:13">
      <c r="C23" s="5" t="s">
        <v>247</v>
      </c>
    </row>
    <row r="24" spans="2:13">
      <c r="C24" s="5" t="s">
        <v>369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H32" sqref="H32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">
      <c r="G2" s="36"/>
    </row>
    <row r="3" spans="2:13" ht="15.75">
      <c r="B3" s="222" t="s">
        <v>416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2:13" ht="15.75">
      <c r="B4" s="222" t="s">
        <v>417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2:13" ht="15.75">
      <c r="B5" s="267" t="s">
        <v>425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</row>
    <row r="6" spans="2:13" ht="15">
      <c r="M6" s="28" t="s">
        <v>4</v>
      </c>
    </row>
    <row r="7" spans="2:13" s="19" customFormat="1" ht="15" customHeight="1">
      <c r="B7" s="252" t="s">
        <v>186</v>
      </c>
      <c r="C7" s="248" t="s">
        <v>18</v>
      </c>
      <c r="D7" s="236" t="s">
        <v>382</v>
      </c>
      <c r="E7" s="237"/>
      <c r="F7" s="238"/>
      <c r="G7" s="236" t="s">
        <v>383</v>
      </c>
      <c r="H7" s="237"/>
      <c r="I7" s="244" t="s">
        <v>225</v>
      </c>
      <c r="J7" s="244"/>
      <c r="K7" s="244"/>
      <c r="L7" s="244"/>
      <c r="M7" s="244"/>
    </row>
    <row r="8" spans="2:13" s="19" customFormat="1" ht="30">
      <c r="B8" s="253"/>
      <c r="C8" s="248"/>
      <c r="D8" s="21" t="s">
        <v>328</v>
      </c>
      <c r="E8" s="21" t="s">
        <v>233</v>
      </c>
      <c r="F8" s="21" t="s">
        <v>201</v>
      </c>
      <c r="G8" s="21" t="s">
        <v>328</v>
      </c>
      <c r="H8" s="21" t="s">
        <v>237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54"/>
      <c r="C9" s="255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4">
        <v>1</v>
      </c>
      <c r="C10" s="29" t="s">
        <v>298</v>
      </c>
      <c r="D10" s="2"/>
      <c r="E10" s="166">
        <v>2.4123333289130803E-2</v>
      </c>
      <c r="F10" s="166">
        <v>2.4123333289130803E-2</v>
      </c>
      <c r="G10" s="173"/>
      <c r="H10" s="173">
        <v>4.155992905105392E-2</v>
      </c>
      <c r="I10" s="173">
        <v>2.4123333289130803E-2</v>
      </c>
      <c r="J10" s="173">
        <v>2.5088266620696034E-2</v>
      </c>
      <c r="K10" s="173">
        <v>2.6091797285523875E-2</v>
      </c>
      <c r="L10" s="173">
        <v>2.7135469176944833E-2</v>
      </c>
      <c r="M10" s="173">
        <v>2.8220887944022627E-2</v>
      </c>
    </row>
    <row r="11" spans="2:13">
      <c r="B11" s="64">
        <f>B10+1</f>
        <v>2</v>
      </c>
      <c r="C11" s="29" t="s">
        <v>299</v>
      </c>
      <c r="D11" s="2"/>
      <c r="E11" s="166">
        <v>0</v>
      </c>
      <c r="F11" s="166">
        <v>0</v>
      </c>
      <c r="G11" s="173"/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</row>
    <row r="12" spans="2:13">
      <c r="B12" s="64">
        <f>B11+1</f>
        <v>3</v>
      </c>
      <c r="C12" s="29" t="s">
        <v>300</v>
      </c>
      <c r="D12" s="2"/>
      <c r="E12" s="166">
        <v>0.34567265804095415</v>
      </c>
      <c r="F12" s="166">
        <v>0.34567265804095415</v>
      </c>
      <c r="G12" s="173"/>
      <c r="H12" s="173">
        <v>0</v>
      </c>
      <c r="I12" s="173">
        <v>0.34567265804095415</v>
      </c>
      <c r="J12" s="173">
        <v>0.35949956436259234</v>
      </c>
      <c r="K12" s="173">
        <v>0.37387954693709602</v>
      </c>
      <c r="L12" s="173">
        <v>0.38883472881457987</v>
      </c>
      <c r="M12" s="173">
        <v>0.40438811796716306</v>
      </c>
    </row>
    <row r="13" spans="2:13">
      <c r="B13" s="23">
        <f t="shared" ref="B13:B21" si="0">B12+1</f>
        <v>4</v>
      </c>
      <c r="C13" s="31" t="s">
        <v>301</v>
      </c>
      <c r="D13" s="2"/>
      <c r="E13" s="166">
        <v>0</v>
      </c>
      <c r="F13" s="166">
        <v>0</v>
      </c>
      <c r="G13" s="173"/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</row>
    <row r="14" spans="2:13" ht="15.75" customHeight="1">
      <c r="B14" s="23">
        <f t="shared" si="0"/>
        <v>5</v>
      </c>
      <c r="C14" s="88" t="s">
        <v>302</v>
      </c>
      <c r="D14" s="89"/>
      <c r="E14" s="166">
        <v>0</v>
      </c>
      <c r="F14" s="171">
        <v>0</v>
      </c>
      <c r="G14" s="166"/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</row>
    <row r="15" spans="2:13" s="35" customFormat="1" ht="15">
      <c r="B15" s="23">
        <f t="shared" si="0"/>
        <v>6</v>
      </c>
      <c r="C15" s="40" t="s">
        <v>303</v>
      </c>
      <c r="D15" s="89"/>
      <c r="E15" s="166">
        <v>6.0100419225016573E-3</v>
      </c>
      <c r="F15" s="171">
        <v>6.0100419225016573E-3</v>
      </c>
      <c r="G15" s="166"/>
      <c r="H15" s="166">
        <v>1.3837124691224769E-2</v>
      </c>
      <c r="I15" s="166">
        <v>6.0100419225016573E-3</v>
      </c>
      <c r="J15" s="166">
        <v>6.2504435994017241E-3</v>
      </c>
      <c r="K15" s="166">
        <v>6.5004613433777931E-3</v>
      </c>
      <c r="L15" s="166">
        <v>6.760479797112905E-3</v>
      </c>
      <c r="M15" s="166">
        <v>7.0308989889974211E-3</v>
      </c>
    </row>
    <row r="16" spans="2:13" s="35" customFormat="1" ht="15">
      <c r="B16" s="23">
        <f t="shared" si="0"/>
        <v>7</v>
      </c>
      <c r="C16" s="88" t="s">
        <v>304</v>
      </c>
      <c r="D16" s="89"/>
      <c r="E16" s="166">
        <v>0</v>
      </c>
      <c r="F16" s="171">
        <v>0</v>
      </c>
      <c r="G16" s="166"/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</row>
    <row r="17" spans="2:13" s="35" customFormat="1" ht="12.75" customHeight="1">
      <c r="B17" s="23">
        <f t="shared" si="0"/>
        <v>8</v>
      </c>
      <c r="C17" s="40" t="s">
        <v>305</v>
      </c>
      <c r="D17" s="89"/>
      <c r="E17" s="166">
        <v>4.9753442400505762E-4</v>
      </c>
      <c r="F17" s="171">
        <v>4.9753442400505762E-4</v>
      </c>
      <c r="G17" s="166"/>
      <c r="H17" s="166">
        <v>9.564326546497462E-4</v>
      </c>
      <c r="I17" s="166">
        <v>4.9753442400505762E-4</v>
      </c>
      <c r="J17" s="166">
        <v>5.1743580096525995E-4</v>
      </c>
      <c r="K17" s="166">
        <v>5.3813323300387031E-4</v>
      </c>
      <c r="L17" s="166">
        <v>5.5965856232402511E-4</v>
      </c>
      <c r="M17" s="166">
        <v>5.8204490481698619E-4</v>
      </c>
    </row>
    <row r="18" spans="2:13" s="35" customFormat="1" ht="15">
      <c r="B18" s="23">
        <f t="shared" si="0"/>
        <v>9</v>
      </c>
      <c r="C18" s="40" t="s">
        <v>150</v>
      </c>
      <c r="D18" s="89"/>
      <c r="E18" s="166">
        <v>0</v>
      </c>
      <c r="F18" s="171">
        <v>0</v>
      </c>
      <c r="G18" s="166"/>
      <c r="H18" s="166">
        <v>0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</row>
    <row r="19" spans="2:13" s="35" customFormat="1" ht="15">
      <c r="B19" s="23">
        <f t="shared" si="0"/>
        <v>10</v>
      </c>
      <c r="C19" s="40" t="s">
        <v>306</v>
      </c>
      <c r="D19" s="89"/>
      <c r="E19" s="166">
        <v>0</v>
      </c>
      <c r="F19" s="171">
        <v>0</v>
      </c>
      <c r="G19" s="166"/>
      <c r="H19" s="166">
        <v>0</v>
      </c>
      <c r="I19" s="166">
        <v>0</v>
      </c>
      <c r="J19" s="166">
        <v>0</v>
      </c>
      <c r="K19" s="166">
        <v>0</v>
      </c>
      <c r="L19" s="166">
        <v>0</v>
      </c>
      <c r="M19" s="166">
        <v>0</v>
      </c>
    </row>
    <row r="20" spans="2:13">
      <c r="B20" s="23">
        <f t="shared" si="0"/>
        <v>11</v>
      </c>
      <c r="C20" s="88" t="s">
        <v>154</v>
      </c>
      <c r="D20" s="89"/>
      <c r="E20" s="166">
        <v>5.5453608930966947E-3</v>
      </c>
      <c r="F20" s="171">
        <v>5.5453608930966947E-3</v>
      </c>
      <c r="G20" s="166"/>
      <c r="H20" s="166">
        <v>7.1384216612955459E-3</v>
      </c>
      <c r="I20" s="166">
        <v>5.5453608930966947E-3</v>
      </c>
      <c r="J20" s="166">
        <v>5.767175328820563E-3</v>
      </c>
      <c r="K20" s="166">
        <v>5.9978623419733859E-3</v>
      </c>
      <c r="L20" s="166">
        <v>6.2377768356523212E-3</v>
      </c>
      <c r="M20" s="166">
        <v>6.4872879090784145E-3</v>
      </c>
    </row>
    <row r="21" spans="2:13">
      <c r="B21" s="23">
        <f t="shared" si="0"/>
        <v>12</v>
      </c>
      <c r="C21" s="88" t="s">
        <v>9</v>
      </c>
      <c r="D21" s="89">
        <v>0.02</v>
      </c>
      <c r="E21" s="166">
        <v>0.30502194406642708</v>
      </c>
      <c r="F21" s="171">
        <v>0.30502194406642708</v>
      </c>
      <c r="G21" s="166"/>
      <c r="H21" s="166">
        <v>5.8271431015897497E-2</v>
      </c>
      <c r="I21" s="166">
        <v>0.1201503606577953</v>
      </c>
      <c r="J21" s="166">
        <v>0.12495637508410712</v>
      </c>
      <c r="K21" s="166">
        <v>0.12995463008747141</v>
      </c>
      <c r="L21" s="166">
        <v>0.13515281529097026</v>
      </c>
      <c r="M21" s="166">
        <v>0.14055892790260907</v>
      </c>
    </row>
    <row r="22" spans="2:13" ht="15">
      <c r="B22" s="23"/>
      <c r="C22" s="33" t="s">
        <v>127</v>
      </c>
      <c r="D22" s="138">
        <f>SUM(D10:D21)</f>
        <v>0.02</v>
      </c>
      <c r="E22" s="138">
        <f t="shared" ref="E22:M22" si="1">SUM(E10:E21)</f>
        <v>0.68687087263611546</v>
      </c>
      <c r="F22" s="138">
        <f t="shared" si="1"/>
        <v>0.68687087263611546</v>
      </c>
      <c r="G22" s="138">
        <v>0.6</v>
      </c>
      <c r="H22" s="138">
        <f t="shared" si="1"/>
        <v>0.12176333907412148</v>
      </c>
      <c r="I22" s="138">
        <f t="shared" si="1"/>
        <v>0.50199928922748371</v>
      </c>
      <c r="J22" s="138">
        <f t="shared" si="1"/>
        <v>0.52207926079658296</v>
      </c>
      <c r="K22" s="138">
        <f t="shared" si="1"/>
        <v>0.54296243122844634</v>
      </c>
      <c r="L22" s="138">
        <f t="shared" si="1"/>
        <v>0.56468092847758422</v>
      </c>
      <c r="M22" s="138">
        <f t="shared" si="1"/>
        <v>0.5872681656166876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showGridLines="0" zoomScale="80" zoomScaleNormal="80" zoomScaleSheetLayoutView="70" workbookViewId="0">
      <selection activeCell="E31" sqref="E31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4.28515625" style="5" customWidth="1"/>
    <col min="6" max="6" width="15.7109375" style="5" customWidth="1"/>
    <col min="7" max="7" width="18" style="5" bestFit="1" customWidth="1"/>
    <col min="8" max="12" width="15.7109375" style="5" customWidth="1"/>
    <col min="13" max="16384" width="9.28515625" style="5"/>
  </cols>
  <sheetData>
    <row r="2" spans="2:12" ht="14.25" customHeight="1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2:12" ht="14.25" customHeight="1">
      <c r="B3" s="250" t="s">
        <v>381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2:12" ht="14.25" customHeight="1">
      <c r="B4" s="251" t="s">
        <v>308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2:12" ht="15">
      <c r="B5" s="26"/>
      <c r="C5" s="92"/>
      <c r="D5" s="93"/>
      <c r="E5" s="93"/>
      <c r="F5" s="93"/>
    </row>
    <row r="6" spans="2:12" ht="15" customHeight="1">
      <c r="B6" s="243" t="s">
        <v>2</v>
      </c>
      <c r="C6" s="256" t="s">
        <v>18</v>
      </c>
      <c r="D6" s="192" t="s">
        <v>399</v>
      </c>
      <c r="E6" s="237" t="s">
        <v>383</v>
      </c>
      <c r="F6" s="237"/>
      <c r="G6" s="237"/>
      <c r="H6" s="256" t="s">
        <v>225</v>
      </c>
      <c r="I6" s="256"/>
      <c r="J6" s="256"/>
      <c r="K6" s="256"/>
      <c r="L6" s="256"/>
    </row>
    <row r="7" spans="2:12" ht="15">
      <c r="B7" s="243"/>
      <c r="C7" s="256"/>
      <c r="D7" s="21" t="s">
        <v>307</v>
      </c>
      <c r="E7" s="21" t="s">
        <v>235</v>
      </c>
      <c r="F7" s="21" t="s">
        <v>236</v>
      </c>
      <c r="G7" s="21" t="s">
        <v>244</v>
      </c>
      <c r="H7" s="21" t="s">
        <v>384</v>
      </c>
      <c r="I7" s="21" t="s">
        <v>385</v>
      </c>
      <c r="J7" s="21" t="s">
        <v>386</v>
      </c>
      <c r="K7" s="21" t="s">
        <v>387</v>
      </c>
      <c r="L7" s="21" t="s">
        <v>388</v>
      </c>
    </row>
    <row r="8" spans="2:12" ht="24.75" customHeight="1">
      <c r="B8" s="268"/>
      <c r="C8" s="269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  <c r="I8" s="21" t="s">
        <v>8</v>
      </c>
      <c r="J8" s="21" t="s">
        <v>8</v>
      </c>
      <c r="K8" s="21" t="s">
        <v>8</v>
      </c>
      <c r="L8" s="21" t="s">
        <v>8</v>
      </c>
    </row>
    <row r="9" spans="2:12" ht="15">
      <c r="B9" s="94">
        <v>1</v>
      </c>
      <c r="C9" s="95" t="s">
        <v>155</v>
      </c>
      <c r="D9" s="91"/>
      <c r="E9" s="91"/>
      <c r="F9" s="91"/>
      <c r="G9" s="91"/>
      <c r="H9" s="29"/>
      <c r="I9" s="29"/>
      <c r="J9" s="29"/>
      <c r="K9" s="29"/>
      <c r="L9" s="29"/>
    </row>
    <row r="10" spans="2:12" s="35" customFormat="1" ht="15">
      <c r="B10" s="96" t="s">
        <v>45</v>
      </c>
      <c r="C10" s="41" t="s">
        <v>46</v>
      </c>
      <c r="D10" s="97"/>
      <c r="E10" s="98"/>
      <c r="F10" s="98"/>
      <c r="G10" s="41"/>
      <c r="H10" s="41"/>
      <c r="I10" s="41"/>
      <c r="J10" s="41"/>
      <c r="K10" s="41"/>
      <c r="L10" s="41"/>
    </row>
    <row r="11" spans="2:12" s="35" customFormat="1" ht="15">
      <c r="B11" s="99"/>
      <c r="C11" s="31" t="s">
        <v>47</v>
      </c>
      <c r="D11" s="97"/>
      <c r="E11" s="98"/>
      <c r="F11" s="98"/>
      <c r="G11" s="41"/>
      <c r="H11" s="41"/>
      <c r="I11" s="41"/>
      <c r="J11" s="41"/>
      <c r="K11" s="41"/>
      <c r="L11" s="41"/>
    </row>
    <row r="12" spans="2:12" s="35" customFormat="1" ht="15">
      <c r="B12" s="99"/>
      <c r="C12" s="31" t="s">
        <v>48</v>
      </c>
      <c r="D12" s="97"/>
      <c r="E12" s="98"/>
      <c r="F12" s="98"/>
      <c r="G12" s="41"/>
      <c r="H12" s="41"/>
      <c r="I12" s="41"/>
      <c r="J12" s="41"/>
      <c r="K12" s="41"/>
      <c r="L12" s="41"/>
    </row>
    <row r="13" spans="2:12" s="35" customFormat="1" ht="15">
      <c r="B13" s="99"/>
      <c r="C13" s="31" t="s">
        <v>49</v>
      </c>
      <c r="D13" s="97"/>
      <c r="E13" s="98"/>
      <c r="F13" s="98"/>
      <c r="G13" s="41"/>
      <c r="H13" s="41"/>
      <c r="I13" s="41"/>
      <c r="J13" s="41"/>
      <c r="K13" s="41"/>
      <c r="L13" s="41"/>
    </row>
    <row r="14" spans="2:12" s="35" customFormat="1" ht="15">
      <c r="B14" s="99"/>
      <c r="C14" s="100"/>
      <c r="D14" s="97"/>
      <c r="E14" s="98"/>
      <c r="F14" s="98"/>
      <c r="G14" s="41"/>
      <c r="H14" s="41"/>
      <c r="I14" s="41"/>
      <c r="J14" s="41"/>
      <c r="K14" s="41"/>
      <c r="L14" s="41"/>
    </row>
    <row r="15" spans="2:12" s="35" customFormat="1" ht="15">
      <c r="B15" s="96" t="s">
        <v>50</v>
      </c>
      <c r="C15" s="101" t="s">
        <v>51</v>
      </c>
      <c r="D15" s="97"/>
      <c r="E15" s="98"/>
      <c r="F15" s="98"/>
      <c r="G15" s="41"/>
      <c r="H15" s="41"/>
      <c r="I15" s="41"/>
      <c r="J15" s="41"/>
      <c r="K15" s="41"/>
      <c r="L15" s="41"/>
    </row>
    <row r="16" spans="2:12" s="35" customFormat="1" ht="15">
      <c r="B16" s="99"/>
      <c r="C16" s="31" t="s">
        <v>47</v>
      </c>
      <c r="D16" s="97"/>
      <c r="E16" s="98"/>
      <c r="F16" s="98"/>
      <c r="G16" s="41"/>
      <c r="H16" s="41"/>
      <c r="I16" s="41"/>
      <c r="J16" s="41"/>
      <c r="K16" s="41"/>
      <c r="L16" s="41"/>
    </row>
    <row r="17" spans="2:12">
      <c r="B17" s="99"/>
      <c r="C17" s="31" t="s">
        <v>48</v>
      </c>
      <c r="D17" s="97"/>
      <c r="E17" s="98"/>
      <c r="F17" s="98"/>
      <c r="G17" s="29"/>
      <c r="H17" s="29"/>
      <c r="I17" s="29"/>
      <c r="J17" s="29"/>
      <c r="K17" s="29"/>
      <c r="L17" s="29"/>
    </row>
    <row r="18" spans="2:12">
      <c r="B18" s="102"/>
      <c r="C18" s="31" t="s">
        <v>52</v>
      </c>
      <c r="D18" s="97"/>
      <c r="E18" s="98"/>
      <c r="F18" s="98"/>
      <c r="G18" s="29"/>
      <c r="H18" s="29"/>
      <c r="I18" s="29"/>
      <c r="J18" s="29"/>
      <c r="K18" s="29"/>
      <c r="L18" s="29"/>
    </row>
    <row r="19" spans="2:12" ht="15">
      <c r="B19" s="102"/>
      <c r="C19" s="101"/>
      <c r="D19" s="97"/>
      <c r="E19" s="98"/>
      <c r="F19" s="98"/>
      <c r="G19" s="29"/>
      <c r="H19" s="29"/>
      <c r="I19" s="29"/>
      <c r="J19" s="29"/>
      <c r="K19" s="29"/>
      <c r="L19" s="29"/>
    </row>
    <row r="20" spans="2:12" ht="17.25" customHeight="1">
      <c r="B20" s="96">
        <v>2</v>
      </c>
      <c r="C20" s="95" t="s">
        <v>156</v>
      </c>
      <c r="D20" s="97"/>
      <c r="E20" s="98"/>
      <c r="F20" s="98"/>
      <c r="G20" s="29"/>
      <c r="H20" s="29"/>
      <c r="I20" s="29"/>
      <c r="J20" s="29"/>
      <c r="K20" s="29"/>
      <c r="L20" s="29"/>
    </row>
    <row r="21" spans="2:12" ht="17.25" customHeight="1">
      <c r="B21" s="96"/>
      <c r="C21" s="95" t="s">
        <v>53</v>
      </c>
      <c r="D21" s="97"/>
      <c r="E21" s="97"/>
      <c r="F21" s="97"/>
      <c r="G21" s="29"/>
      <c r="H21" s="29"/>
      <c r="I21" s="29"/>
      <c r="J21" s="29"/>
      <c r="K21" s="29"/>
      <c r="L21" s="29"/>
    </row>
    <row r="22" spans="2:12" ht="17.25" customHeight="1">
      <c r="B22" s="96"/>
      <c r="C22" s="95" t="s">
        <v>53</v>
      </c>
      <c r="D22" s="97"/>
      <c r="E22" s="97"/>
      <c r="F22" s="97"/>
      <c r="G22" s="29"/>
      <c r="H22" s="29"/>
      <c r="I22" s="29"/>
      <c r="J22" s="29"/>
      <c r="K22" s="29"/>
      <c r="L22" s="29"/>
    </row>
    <row r="23" spans="2:12" ht="15">
      <c r="B23" s="99"/>
      <c r="C23" s="101" t="s">
        <v>54</v>
      </c>
      <c r="D23" s="97"/>
      <c r="E23" s="97"/>
      <c r="F23" s="97"/>
      <c r="G23" s="29"/>
      <c r="H23" s="29"/>
      <c r="I23" s="29"/>
      <c r="J23" s="29"/>
      <c r="K23" s="29"/>
      <c r="L23" s="29"/>
    </row>
    <row r="25" spans="2:12" ht="15">
      <c r="B25" s="103" t="s">
        <v>43</v>
      </c>
      <c r="C25" s="104"/>
      <c r="D25" s="104"/>
      <c r="E25" s="104"/>
      <c r="F25" s="104"/>
      <c r="G25" s="104"/>
    </row>
    <row r="26" spans="2:12">
      <c r="B26" s="5" t="s">
        <v>202</v>
      </c>
      <c r="D26" s="105"/>
      <c r="G26" s="104"/>
    </row>
    <row r="27" spans="2:12" ht="18" customHeight="1">
      <c r="B27" s="104"/>
      <c r="G27" s="104"/>
    </row>
    <row r="28" spans="2:12">
      <c r="B28" s="104"/>
      <c r="C28" s="104"/>
      <c r="D28" s="104"/>
      <c r="E28" s="104"/>
      <c r="F28" s="104"/>
      <c r="G28" s="104"/>
    </row>
    <row r="29" spans="2:12">
      <c r="B29" s="104"/>
      <c r="C29" s="104"/>
      <c r="D29" s="104"/>
      <c r="E29" s="104"/>
      <c r="F29" s="104"/>
      <c r="G29" s="104"/>
    </row>
    <row r="30" spans="2:12">
      <c r="B30" s="104"/>
      <c r="C30" s="104"/>
      <c r="D30" s="104"/>
      <c r="E30" s="104"/>
      <c r="F30" s="106"/>
      <c r="G30" s="104"/>
    </row>
    <row r="31" spans="2:12">
      <c r="B31" s="104"/>
      <c r="C31" s="104"/>
      <c r="D31" s="104"/>
      <c r="E31" s="104"/>
      <c r="F31" s="104"/>
      <c r="G31" s="104"/>
    </row>
  </sheetData>
  <mergeCells count="7">
    <mergeCell ref="B6:B8"/>
    <mergeCell ref="C6:C8"/>
    <mergeCell ref="H6:L6"/>
    <mergeCell ref="E6:G6"/>
    <mergeCell ref="B2:L2"/>
    <mergeCell ref="B3:L3"/>
    <mergeCell ref="B4:L4"/>
  </mergeCells>
  <pageMargins left="0.75" right="0.75" top="1" bottom="1" header="0.5" footer="0.5"/>
  <pageSetup paperSize="9" scale="7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2"/>
  <sheetViews>
    <sheetView showGridLines="0" topLeftCell="A49" zoomScale="80" zoomScaleNormal="80" workbookViewId="0">
      <selection activeCell="E31" sqref="E31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4" width="10.7109375" style="5" customWidth="1"/>
    <col min="15" max="15" width="10.7109375" style="189" customWidth="1"/>
    <col min="16" max="16384" width="9.28515625" style="5"/>
  </cols>
  <sheetData>
    <row r="1" spans="1:17" ht="15">
      <c r="B1" s="113"/>
    </row>
    <row r="2" spans="1:17" ht="15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1:17" ht="15">
      <c r="B3" s="250" t="s">
        <v>381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1:17" ht="15">
      <c r="B4" s="251" t="s">
        <v>314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1:17" ht="15">
      <c r="B5" s="26" t="s">
        <v>232</v>
      </c>
      <c r="C5" s="26" t="s">
        <v>374</v>
      </c>
      <c r="D5" s="92"/>
      <c r="E5" s="92"/>
      <c r="F5" s="92"/>
      <c r="G5" s="92"/>
      <c r="H5" s="92"/>
      <c r="I5" s="38"/>
    </row>
    <row r="6" spans="1:17" ht="15">
      <c r="B6" s="26" t="s">
        <v>12</v>
      </c>
      <c r="C6" s="27"/>
      <c r="D6" s="27"/>
      <c r="O6" s="190" t="s">
        <v>128</v>
      </c>
    </row>
    <row r="7" spans="1:17" s="35" customFormat="1" ht="15" customHeight="1">
      <c r="B7" s="33" t="s">
        <v>315</v>
      </c>
      <c r="C7" s="33" t="s">
        <v>129</v>
      </c>
      <c r="D7" s="33" t="s">
        <v>130</v>
      </c>
      <c r="E7" s="114" t="s">
        <v>131</v>
      </c>
      <c r="F7" s="114" t="s">
        <v>132</v>
      </c>
      <c r="G7" s="114" t="s">
        <v>133</v>
      </c>
      <c r="H7" s="114" t="s">
        <v>134</v>
      </c>
      <c r="I7" s="114" t="s">
        <v>135</v>
      </c>
      <c r="J7" s="114" t="s">
        <v>136</v>
      </c>
      <c r="K7" s="114" t="s">
        <v>137</v>
      </c>
      <c r="L7" s="114" t="s">
        <v>138</v>
      </c>
      <c r="M7" s="114" t="s">
        <v>139</v>
      </c>
      <c r="N7" s="114" t="s">
        <v>140</v>
      </c>
      <c r="O7" s="169" t="s">
        <v>127</v>
      </c>
    </row>
    <row r="8" spans="1:17" s="35" customFormat="1" ht="15">
      <c r="B8" s="90" t="s">
        <v>372</v>
      </c>
      <c r="C8" s="170">
        <v>8.2046574020000005</v>
      </c>
      <c r="D8" s="170">
        <v>5.4858805180000001</v>
      </c>
      <c r="E8" s="170">
        <v>5.7851028219999998</v>
      </c>
      <c r="F8" s="170">
        <v>11.532539704500001</v>
      </c>
      <c r="G8" s="170">
        <v>35.020224901500001</v>
      </c>
      <c r="H8" s="170">
        <v>32.638726402499998</v>
      </c>
      <c r="I8" s="170">
        <v>35.874987536500001</v>
      </c>
      <c r="J8" s="170">
        <v>32.653881953499997</v>
      </c>
      <c r="K8" s="170">
        <v>19.994589610000002</v>
      </c>
      <c r="L8" s="170">
        <v>14.6818211545</v>
      </c>
      <c r="M8" s="170">
        <v>12.413446758500001</v>
      </c>
      <c r="N8" s="170">
        <v>10.5318387505</v>
      </c>
      <c r="O8" s="170">
        <f>SUM(C8:N8)</f>
        <v>224.81769751399997</v>
      </c>
    </row>
    <row r="9" spans="1:17" s="35" customFormat="1" ht="15">
      <c r="B9" s="9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</row>
    <row r="10" spans="1:17" s="35" customFormat="1" ht="15">
      <c r="B10" s="90" t="s">
        <v>373</v>
      </c>
      <c r="C10" s="170">
        <v>3.4249065979999997</v>
      </c>
      <c r="D10" s="170">
        <v>2.2899954820000001</v>
      </c>
      <c r="E10" s="170">
        <v>2.414901178</v>
      </c>
      <c r="F10" s="170">
        <v>4.8140792955</v>
      </c>
      <c r="G10" s="170">
        <v>14.618648098499998</v>
      </c>
      <c r="H10" s="170">
        <v>13.624528597499999</v>
      </c>
      <c r="I10" s="170">
        <v>14.975455463499999</v>
      </c>
      <c r="J10" s="170">
        <v>13.630855046499999</v>
      </c>
      <c r="K10" s="170">
        <v>8.3464303900000001</v>
      </c>
      <c r="L10" s="170">
        <v>6.1286978454999996</v>
      </c>
      <c r="M10" s="170">
        <v>5.1818002414999995</v>
      </c>
      <c r="N10" s="170">
        <v>4.3963522494999996</v>
      </c>
      <c r="O10" s="170">
        <f>SUM(C10:N10)</f>
        <v>93.846650485999987</v>
      </c>
    </row>
    <row r="11" spans="1:17" s="35" customFormat="1" ht="15"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170"/>
    </row>
    <row r="12" spans="1:17" ht="15">
      <c r="B12" s="41" t="s">
        <v>127</v>
      </c>
      <c r="C12" s="136">
        <f>C8+C10</f>
        <v>11.629564</v>
      </c>
      <c r="D12" s="136">
        <f t="shared" ref="D12:O12" si="0">D8+D10</f>
        <v>7.7758760000000002</v>
      </c>
      <c r="E12" s="136">
        <f t="shared" si="0"/>
        <v>8.2000039999999998</v>
      </c>
      <c r="F12" s="136">
        <f t="shared" si="0"/>
        <v>16.346619</v>
      </c>
      <c r="G12" s="136">
        <f t="shared" si="0"/>
        <v>49.638872999999997</v>
      </c>
      <c r="H12" s="136">
        <f t="shared" si="0"/>
        <v>46.263255000000001</v>
      </c>
      <c r="I12" s="136">
        <f t="shared" si="0"/>
        <v>50.850442999999999</v>
      </c>
      <c r="J12" s="136">
        <f t="shared" si="0"/>
        <v>46.284736999999993</v>
      </c>
      <c r="K12" s="136">
        <f t="shared" si="0"/>
        <v>28.34102</v>
      </c>
      <c r="L12" s="136">
        <f t="shared" si="0"/>
        <v>20.810518999999999</v>
      </c>
      <c r="M12" s="136">
        <f t="shared" si="0"/>
        <v>17.595247000000001</v>
      </c>
      <c r="N12" s="136">
        <f t="shared" si="0"/>
        <v>14.928191</v>
      </c>
      <c r="O12" s="136">
        <f t="shared" si="0"/>
        <v>318.66434799999996</v>
      </c>
    </row>
    <row r="13" spans="1:17" ht="16.5">
      <c r="B13" s="26"/>
      <c r="C13" s="92"/>
      <c r="D13" s="92"/>
      <c r="E13" s="92"/>
      <c r="F13" s="92"/>
      <c r="G13" s="92"/>
      <c r="H13" s="92"/>
      <c r="I13" s="107"/>
    </row>
    <row r="14" spans="1:17" ht="16.5">
      <c r="B14" s="26" t="s">
        <v>231</v>
      </c>
      <c r="C14" s="26" t="s">
        <v>375</v>
      </c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191"/>
      <c r="P14" s="107"/>
    </row>
    <row r="15" spans="1:17" ht="16.5">
      <c r="A15" s="5" t="s">
        <v>313</v>
      </c>
      <c r="B15" s="26" t="s">
        <v>5</v>
      </c>
      <c r="C15" s="27"/>
      <c r="D15" s="27"/>
      <c r="O15" s="190" t="s">
        <v>128</v>
      </c>
      <c r="P15" s="107"/>
    </row>
    <row r="16" spans="1:17" ht="18.75" customHeight="1">
      <c r="B16" s="239" t="s">
        <v>315</v>
      </c>
      <c r="C16" s="245" t="s">
        <v>141</v>
      </c>
      <c r="D16" s="246"/>
      <c r="E16" s="246"/>
      <c r="F16" s="246"/>
      <c r="G16" s="246"/>
      <c r="H16" s="247"/>
      <c r="I16" s="245" t="s">
        <v>5</v>
      </c>
      <c r="J16" s="246"/>
      <c r="K16" s="246"/>
      <c r="L16" s="246"/>
      <c r="M16" s="246"/>
      <c r="N16" s="247"/>
      <c r="O16" s="169" t="s">
        <v>142</v>
      </c>
      <c r="P16" s="107"/>
      <c r="Q16" s="107"/>
    </row>
    <row r="17" spans="2:16" ht="15">
      <c r="B17" s="241"/>
      <c r="C17" s="33" t="s">
        <v>129</v>
      </c>
      <c r="D17" s="33" t="s">
        <v>130</v>
      </c>
      <c r="E17" s="114" t="s">
        <v>131</v>
      </c>
      <c r="F17" s="114" t="s">
        <v>132</v>
      </c>
      <c r="G17" s="114" t="s">
        <v>133</v>
      </c>
      <c r="H17" s="114" t="s">
        <v>134</v>
      </c>
      <c r="I17" s="114" t="s">
        <v>135</v>
      </c>
      <c r="J17" s="114" t="s">
        <v>136</v>
      </c>
      <c r="K17" s="114" t="s">
        <v>137</v>
      </c>
      <c r="L17" s="114" t="s">
        <v>138</v>
      </c>
      <c r="M17" s="114" t="s">
        <v>139</v>
      </c>
      <c r="N17" s="114" t="s">
        <v>140</v>
      </c>
      <c r="O17" s="133"/>
    </row>
    <row r="18" spans="2:16" s="35" customFormat="1" ht="15">
      <c r="B18" s="90" t="s">
        <v>372</v>
      </c>
      <c r="C18" s="170">
        <v>12.422632368500002</v>
      </c>
      <c r="D18" s="170">
        <v>1.1117868675</v>
      </c>
      <c r="E18" s="170">
        <v>5.7865314594999999</v>
      </c>
      <c r="F18" s="188">
        <v>11.2774958105</v>
      </c>
      <c r="G18" s="170">
        <v>14.048548128</v>
      </c>
      <c r="H18" s="170">
        <v>3.0799110460000003</v>
      </c>
      <c r="I18" s="170">
        <f>17.08*0.7055</f>
        <v>12.049939999999999</v>
      </c>
      <c r="J18" s="170">
        <f>9.426864*0.7055</f>
        <v>6.6506525520000004</v>
      </c>
      <c r="K18" s="170">
        <v>0</v>
      </c>
      <c r="L18" s="170">
        <f>5.941805*0.7055</f>
        <v>4.1919434275</v>
      </c>
      <c r="M18" s="170">
        <f>-0.003242*0.7055</f>
        <v>-2.2872310000000002E-3</v>
      </c>
      <c r="N18" s="170">
        <f>-0.007738*0.7055</f>
        <v>-5.4591589999999999E-3</v>
      </c>
      <c r="O18" s="188">
        <f>SUM(C18:N18)</f>
        <v>70.611695269500018</v>
      </c>
    </row>
    <row r="19" spans="2:16" s="35" customFormat="1" ht="15">
      <c r="B19" s="9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</row>
    <row r="20" spans="2:16" s="35" customFormat="1" ht="15">
      <c r="B20" s="90" t="s">
        <v>373</v>
      </c>
      <c r="C20" s="170">
        <v>5.1856346315000001</v>
      </c>
      <c r="D20" s="170">
        <v>0.46409813249999998</v>
      </c>
      <c r="E20" s="170">
        <v>2.4154975404999997</v>
      </c>
      <c r="F20" s="170">
        <v>4.7076151894999994</v>
      </c>
      <c r="G20" s="170">
        <v>5.8643478719999997</v>
      </c>
      <c r="H20" s="170">
        <v>1.2856609539999999</v>
      </c>
      <c r="I20" s="170">
        <f>17.08*0.2945</f>
        <v>5.0300599999999989</v>
      </c>
      <c r="J20" s="170">
        <f>9.426864*0.2945</f>
        <v>2.7762114479999997</v>
      </c>
      <c r="K20" s="170">
        <v>0</v>
      </c>
      <c r="L20" s="170">
        <f>5.941805*0.2945</f>
        <v>1.7498615724999997</v>
      </c>
      <c r="M20" s="170">
        <f>-0.003242*0.2945</f>
        <v>-9.5476899999999995E-4</v>
      </c>
      <c r="N20" s="170">
        <f>-0.007738*0.2945</f>
        <v>-2.2788409999999998E-3</v>
      </c>
      <c r="O20" s="170">
        <f>SUM(C20:N20)</f>
        <v>29.475753730499996</v>
      </c>
    </row>
    <row r="21" spans="2:16" s="35" customFormat="1" ht="15"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170"/>
    </row>
    <row r="22" spans="2:16" ht="15">
      <c r="B22" s="41" t="s">
        <v>127</v>
      </c>
      <c r="C22" s="136">
        <f>C18+C20</f>
        <v>17.608267000000001</v>
      </c>
      <c r="D22" s="136">
        <f t="shared" ref="D22:O22" si="1">D18+D20</f>
        <v>1.575885</v>
      </c>
      <c r="E22" s="136">
        <f t="shared" si="1"/>
        <v>8.2020289999999996</v>
      </c>
      <c r="F22" s="136">
        <f t="shared" si="1"/>
        <v>15.985111</v>
      </c>
      <c r="G22" s="136">
        <f t="shared" si="1"/>
        <v>19.912896</v>
      </c>
      <c r="H22" s="136">
        <f t="shared" si="1"/>
        <v>4.3655720000000002</v>
      </c>
      <c r="I22" s="136">
        <f t="shared" si="1"/>
        <v>17.079999999999998</v>
      </c>
      <c r="J22" s="136">
        <f t="shared" si="1"/>
        <v>9.4268640000000001</v>
      </c>
      <c r="K22" s="136">
        <f t="shared" si="1"/>
        <v>0</v>
      </c>
      <c r="L22" s="136">
        <f t="shared" si="1"/>
        <v>5.9418049999999996</v>
      </c>
      <c r="M22" s="136">
        <f t="shared" si="1"/>
        <v>-3.2420000000000001E-3</v>
      </c>
      <c r="N22" s="136">
        <f t="shared" si="1"/>
        <v>-7.7380000000000001E-3</v>
      </c>
      <c r="O22" s="136">
        <f t="shared" si="1"/>
        <v>100.08744900000002</v>
      </c>
    </row>
    <row r="24" spans="2:16" ht="16.5">
      <c r="B24" s="26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191"/>
      <c r="P24" s="107"/>
    </row>
    <row r="25" spans="2:16" ht="15">
      <c r="B25" s="26" t="s">
        <v>319</v>
      </c>
      <c r="C25" s="26" t="s">
        <v>376</v>
      </c>
      <c r="D25" s="92"/>
      <c r="E25" s="92"/>
      <c r="F25" s="92"/>
      <c r="G25" s="92"/>
      <c r="H25" s="92"/>
      <c r="I25" s="38"/>
    </row>
    <row r="26" spans="2:16" ht="15">
      <c r="B26" s="26" t="s">
        <v>8</v>
      </c>
      <c r="C26" s="27"/>
      <c r="D26" s="27"/>
      <c r="O26" s="190" t="s">
        <v>128</v>
      </c>
    </row>
    <row r="27" spans="2:16" ht="15">
      <c r="B27" s="33" t="s">
        <v>315</v>
      </c>
      <c r="C27" s="33" t="s">
        <v>129</v>
      </c>
      <c r="D27" s="33" t="s">
        <v>130</v>
      </c>
      <c r="E27" s="114" t="s">
        <v>131</v>
      </c>
      <c r="F27" s="114" t="s">
        <v>132</v>
      </c>
      <c r="G27" s="114" t="s">
        <v>133</v>
      </c>
      <c r="H27" s="114" t="s">
        <v>134</v>
      </c>
      <c r="I27" s="114" t="s">
        <v>135</v>
      </c>
      <c r="J27" s="114" t="s">
        <v>136</v>
      </c>
      <c r="K27" s="114" t="s">
        <v>137</v>
      </c>
      <c r="L27" s="114" t="s">
        <v>138</v>
      </c>
      <c r="M27" s="114" t="s">
        <v>139</v>
      </c>
      <c r="N27" s="114" t="s">
        <v>140</v>
      </c>
      <c r="O27" s="169" t="s">
        <v>127</v>
      </c>
    </row>
    <row r="28" spans="2:16" ht="15">
      <c r="B28" s="90" t="s">
        <v>372</v>
      </c>
      <c r="C28" s="170">
        <v>4.9062939249999999</v>
      </c>
      <c r="D28" s="170">
        <v>2.8029162250000001</v>
      </c>
      <c r="E28" s="170">
        <v>2.0967389449999998</v>
      </c>
      <c r="F28" s="170">
        <v>9.8260981750000003</v>
      </c>
      <c r="G28" s="170">
        <v>19.687266755</v>
      </c>
      <c r="H28" s="170">
        <v>36.526211305000004</v>
      </c>
      <c r="I28" s="170">
        <v>41.387748309999999</v>
      </c>
      <c r="J28" s="170">
        <v>25.957271015</v>
      </c>
      <c r="K28" s="170">
        <v>7.7020634350000003</v>
      </c>
      <c r="L28" s="170">
        <v>9.82624633</v>
      </c>
      <c r="M28" s="170">
        <v>9.7983367500000007</v>
      </c>
      <c r="N28" s="170">
        <v>9.8062947900000008</v>
      </c>
      <c r="O28" s="170">
        <f>SUM(C28:N28)</f>
        <v>180.32348596000003</v>
      </c>
    </row>
    <row r="29" spans="2:16" ht="15">
      <c r="B29" s="9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</row>
    <row r="30" spans="2:16" ht="15">
      <c r="B30" s="90" t="s">
        <v>373</v>
      </c>
      <c r="C30" s="170">
        <v>2.0480560749999999</v>
      </c>
      <c r="D30" s="170">
        <v>1.1700337749999998</v>
      </c>
      <c r="E30" s="170">
        <v>0.87525105499999989</v>
      </c>
      <c r="F30" s="170">
        <v>4.101751825</v>
      </c>
      <c r="G30" s="170">
        <v>8.2181432450000003</v>
      </c>
      <c r="H30" s="170">
        <v>15.247298695</v>
      </c>
      <c r="I30" s="170">
        <v>17.276671690000001</v>
      </c>
      <c r="J30" s="170">
        <v>10.835458984999999</v>
      </c>
      <c r="K30" s="170">
        <v>3.2151065650000001</v>
      </c>
      <c r="L30" s="170">
        <v>4.1018136700000003</v>
      </c>
      <c r="M30" s="170">
        <v>4.10405175</v>
      </c>
      <c r="N30" s="170">
        <v>4.0934852099999999</v>
      </c>
      <c r="O30" s="170">
        <f>SUM(C30:N30)</f>
        <v>75.287122539999984</v>
      </c>
    </row>
    <row r="31" spans="2:16" ht="1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170"/>
    </row>
    <row r="32" spans="2:16" ht="15">
      <c r="B32" s="41" t="s">
        <v>127</v>
      </c>
      <c r="C32" s="136">
        <f>C28+C30</f>
        <v>6.9543499999999998</v>
      </c>
      <c r="D32" s="136">
        <f t="shared" ref="D32:N32" si="2">D28+D30</f>
        <v>3.97295</v>
      </c>
      <c r="E32" s="136">
        <f t="shared" si="2"/>
        <v>2.9719899999999999</v>
      </c>
      <c r="F32" s="136">
        <f t="shared" si="2"/>
        <v>13.927849999999999</v>
      </c>
      <c r="G32" s="136">
        <f t="shared" si="2"/>
        <v>27.90541</v>
      </c>
      <c r="H32" s="136">
        <f t="shared" si="2"/>
        <v>51.773510000000002</v>
      </c>
      <c r="I32" s="136">
        <f t="shared" si="2"/>
        <v>58.66442</v>
      </c>
      <c r="J32" s="136">
        <f t="shared" si="2"/>
        <v>36.792729999999999</v>
      </c>
      <c r="K32" s="136">
        <f t="shared" si="2"/>
        <v>10.91717</v>
      </c>
      <c r="L32" s="136">
        <f t="shared" si="2"/>
        <v>13.92806</v>
      </c>
      <c r="M32" s="136">
        <f t="shared" si="2"/>
        <v>13.902388500000001</v>
      </c>
      <c r="N32" s="136">
        <f t="shared" si="2"/>
        <v>13.89978</v>
      </c>
      <c r="O32" s="136">
        <f>O28+O30</f>
        <v>255.61060850000001</v>
      </c>
    </row>
    <row r="35" spans="2:15" ht="15">
      <c r="B35" s="26" t="s">
        <v>320</v>
      </c>
      <c r="C35" s="26" t="s">
        <v>377</v>
      </c>
      <c r="D35" s="92"/>
      <c r="E35" s="92"/>
      <c r="F35" s="92"/>
      <c r="G35" s="92"/>
      <c r="H35" s="92"/>
      <c r="I35" s="38"/>
    </row>
    <row r="36" spans="2:15" ht="15">
      <c r="B36" s="26" t="s">
        <v>8</v>
      </c>
      <c r="C36" s="27"/>
      <c r="D36" s="27"/>
      <c r="O36" s="190" t="s">
        <v>128</v>
      </c>
    </row>
    <row r="37" spans="2:15" ht="15">
      <c r="B37" s="33" t="s">
        <v>315</v>
      </c>
      <c r="C37" s="33" t="s">
        <v>129</v>
      </c>
      <c r="D37" s="33" t="s">
        <v>130</v>
      </c>
      <c r="E37" s="114" t="s">
        <v>131</v>
      </c>
      <c r="F37" s="114" t="s">
        <v>132</v>
      </c>
      <c r="G37" s="114" t="s">
        <v>133</v>
      </c>
      <c r="H37" s="114" t="s">
        <v>134</v>
      </c>
      <c r="I37" s="114" t="s">
        <v>135</v>
      </c>
      <c r="J37" s="114" t="s">
        <v>136</v>
      </c>
      <c r="K37" s="114" t="s">
        <v>137</v>
      </c>
      <c r="L37" s="114" t="s">
        <v>138</v>
      </c>
      <c r="M37" s="114" t="s">
        <v>139</v>
      </c>
      <c r="N37" s="114" t="s">
        <v>140</v>
      </c>
      <c r="O37" s="169" t="s">
        <v>127</v>
      </c>
    </row>
    <row r="38" spans="2:15" ht="15">
      <c r="B38" s="90" t="s">
        <v>372</v>
      </c>
      <c r="C38" s="187">
        <v>5.6085697899999998</v>
      </c>
      <c r="D38" s="187">
        <v>3.5065043200000003</v>
      </c>
      <c r="E38" s="187">
        <v>2.8002635450000004</v>
      </c>
      <c r="F38" s="187">
        <v>11.23201152</v>
      </c>
      <c r="G38" s="187">
        <v>21.797092724999999</v>
      </c>
      <c r="H38" s="187">
        <v>40.743231730000005</v>
      </c>
      <c r="I38" s="187">
        <v>45.597071730000003</v>
      </c>
      <c r="J38" s="187">
        <v>28.764653055</v>
      </c>
      <c r="K38" s="187">
        <v>9.1072148399999993</v>
      </c>
      <c r="L38" s="187">
        <v>11.232173785000001</v>
      </c>
      <c r="M38" s="187">
        <v>11.201470425</v>
      </c>
      <c r="N38" s="187">
        <v>11.210225680000001</v>
      </c>
      <c r="O38" s="170">
        <f>SUM(C38:N38)</f>
        <v>202.80048314500002</v>
      </c>
    </row>
    <row r="39" spans="2:15" ht="15">
      <c r="B39" s="90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70"/>
    </row>
    <row r="40" spans="2:15" ht="15">
      <c r="B40" s="90" t="s">
        <v>373</v>
      </c>
      <c r="C40" s="187">
        <v>2.3412102099999998</v>
      </c>
      <c r="D40" s="187">
        <v>1.4637356800000001</v>
      </c>
      <c r="E40" s="187">
        <v>1.168926455</v>
      </c>
      <c r="F40" s="187">
        <v>4.6886284800000002</v>
      </c>
      <c r="G40" s="187">
        <v>9.0988572749999985</v>
      </c>
      <c r="H40" s="187">
        <v>17.010515813000001</v>
      </c>
      <c r="I40" s="187">
        <v>19.033788269999999</v>
      </c>
      <c r="J40" s="187">
        <v>12.007356945</v>
      </c>
      <c r="K40" s="187">
        <v>3.8016651599999998</v>
      </c>
      <c r="L40" s="187">
        <v>4.6886962150000002</v>
      </c>
      <c r="M40" s="187">
        <v>4.6758795749999997</v>
      </c>
      <c r="N40" s="187">
        <v>4.6795343200000001</v>
      </c>
      <c r="O40" s="170">
        <f>SUM(C40:N40)</f>
        <v>84.658794397999998</v>
      </c>
    </row>
    <row r="41" spans="2:15" ht="15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170"/>
    </row>
    <row r="42" spans="2:15" ht="15">
      <c r="B42" s="41" t="s">
        <v>127</v>
      </c>
      <c r="C42" s="136">
        <f>C38+C40</f>
        <v>7.9497799999999996</v>
      </c>
      <c r="D42" s="136">
        <f t="shared" ref="D42:O42" si="3">D38+D40</f>
        <v>4.9702400000000004</v>
      </c>
      <c r="E42" s="136">
        <f t="shared" si="3"/>
        <v>3.9691900000000002</v>
      </c>
      <c r="F42" s="136">
        <f t="shared" si="3"/>
        <v>15.920640000000001</v>
      </c>
      <c r="G42" s="136">
        <f t="shared" si="3"/>
        <v>30.895949999999999</v>
      </c>
      <c r="H42" s="136">
        <f t="shared" si="3"/>
        <v>57.753747543000003</v>
      </c>
      <c r="I42" s="136">
        <f t="shared" si="3"/>
        <v>64.630859999999998</v>
      </c>
      <c r="J42" s="136">
        <f t="shared" si="3"/>
        <v>40.772010000000002</v>
      </c>
      <c r="K42" s="136">
        <f t="shared" si="3"/>
        <v>12.90888</v>
      </c>
      <c r="L42" s="136">
        <f t="shared" si="3"/>
        <v>15.920870000000001</v>
      </c>
      <c r="M42" s="136">
        <f t="shared" si="3"/>
        <v>15.87735</v>
      </c>
      <c r="N42" s="136">
        <f t="shared" si="3"/>
        <v>15.889760000000001</v>
      </c>
      <c r="O42" s="136">
        <f t="shared" si="3"/>
        <v>287.45927754299998</v>
      </c>
    </row>
    <row r="45" spans="2:15" ht="15">
      <c r="B45" s="26" t="s">
        <v>321</v>
      </c>
      <c r="C45" s="26" t="s">
        <v>378</v>
      </c>
      <c r="D45" s="92"/>
      <c r="E45" s="92"/>
      <c r="F45" s="92"/>
      <c r="G45" s="92"/>
      <c r="H45" s="92"/>
      <c r="I45" s="38"/>
    </row>
    <row r="46" spans="2:15" ht="15">
      <c r="B46" s="26" t="s">
        <v>8</v>
      </c>
      <c r="C46" s="27"/>
      <c r="D46" s="27"/>
      <c r="O46" s="190" t="s">
        <v>128</v>
      </c>
    </row>
    <row r="47" spans="2:15" ht="15">
      <c r="B47" s="33" t="s">
        <v>315</v>
      </c>
      <c r="C47" s="33" t="s">
        <v>129</v>
      </c>
      <c r="D47" s="33" t="s">
        <v>130</v>
      </c>
      <c r="E47" s="114" t="s">
        <v>131</v>
      </c>
      <c r="F47" s="114" t="s">
        <v>132</v>
      </c>
      <c r="G47" s="114" t="s">
        <v>133</v>
      </c>
      <c r="H47" s="114" t="s">
        <v>134</v>
      </c>
      <c r="I47" s="114" t="s">
        <v>135</v>
      </c>
      <c r="J47" s="114" t="s">
        <v>136</v>
      </c>
      <c r="K47" s="114" t="s">
        <v>137</v>
      </c>
      <c r="L47" s="114" t="s">
        <v>138</v>
      </c>
      <c r="M47" s="114" t="s">
        <v>139</v>
      </c>
      <c r="N47" s="114" t="s">
        <v>140</v>
      </c>
      <c r="O47" s="169" t="s">
        <v>127</v>
      </c>
    </row>
    <row r="48" spans="2:15" ht="15">
      <c r="B48" s="90" t="s">
        <v>372</v>
      </c>
      <c r="C48" s="170">
        <v>6.3105281800000004</v>
      </c>
      <c r="D48" s="170">
        <v>4.2099089850000002</v>
      </c>
      <c r="E48" s="170">
        <v>3.5035906049999999</v>
      </c>
      <c r="F48" s="170">
        <v>12.637409850000001</v>
      </c>
      <c r="G48" s="170">
        <v>24.611755525000003</v>
      </c>
      <c r="H48" s="170">
        <v>44.958657725000002</v>
      </c>
      <c r="I48" s="170">
        <v>50.509531725000009</v>
      </c>
      <c r="J48" s="170">
        <v>32.276067654999999</v>
      </c>
      <c r="K48" s="170">
        <v>10.511787735</v>
      </c>
      <c r="L48" s="170">
        <v>12.637586225</v>
      </c>
      <c r="M48" s="170">
        <v>12.60381394</v>
      </c>
      <c r="N48" s="170">
        <v>12.61345107</v>
      </c>
      <c r="O48" s="170">
        <f>SUM(C48:N48)</f>
        <v>227.38408922000005</v>
      </c>
    </row>
    <row r="49" spans="2:15" ht="15">
      <c r="B49" s="9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</row>
    <row r="50" spans="2:15" ht="15">
      <c r="B50" s="90" t="s">
        <v>373</v>
      </c>
      <c r="C50" s="170">
        <v>2.6342318200000001</v>
      </c>
      <c r="D50" s="170">
        <v>1.7573610149999999</v>
      </c>
      <c r="E50" s="170">
        <v>1.4625193949999997</v>
      </c>
      <c r="F50" s="170">
        <v>5.27529015</v>
      </c>
      <c r="G50" s="170">
        <v>10.273794475000001</v>
      </c>
      <c r="H50" s="170">
        <v>18.767292274999999</v>
      </c>
      <c r="I50" s="170">
        <v>21.084418275000001</v>
      </c>
      <c r="J50" s="170">
        <v>13.473142344999999</v>
      </c>
      <c r="K50" s="170">
        <v>4.3879822649999998</v>
      </c>
      <c r="L50" s="170">
        <v>5.2753637749999989</v>
      </c>
      <c r="M50" s="170">
        <v>5.2612660599999996</v>
      </c>
      <c r="N50" s="170">
        <v>5.2652889299999996</v>
      </c>
      <c r="O50" s="170">
        <f>SUM(C50:N50)</f>
        <v>94.917950779999998</v>
      </c>
    </row>
    <row r="51" spans="2:15" ht="15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170"/>
    </row>
    <row r="52" spans="2:15" ht="15">
      <c r="B52" s="41" t="s">
        <v>127</v>
      </c>
      <c r="C52" s="136">
        <f>C48+C50</f>
        <v>8.9447600000000005</v>
      </c>
      <c r="D52" s="136">
        <f t="shared" ref="D52:O52" si="4">D48+D50</f>
        <v>5.9672700000000001</v>
      </c>
      <c r="E52" s="136">
        <f t="shared" si="4"/>
        <v>4.9661099999999996</v>
      </c>
      <c r="F52" s="136">
        <f t="shared" si="4"/>
        <v>17.912700000000001</v>
      </c>
      <c r="G52" s="136">
        <f t="shared" si="4"/>
        <v>34.885550000000002</v>
      </c>
      <c r="H52" s="136">
        <f t="shared" si="4"/>
        <v>63.725949999999997</v>
      </c>
      <c r="I52" s="136">
        <f t="shared" si="4"/>
        <v>71.593950000000007</v>
      </c>
      <c r="J52" s="136">
        <f t="shared" si="4"/>
        <v>45.749209999999998</v>
      </c>
      <c r="K52" s="136">
        <f t="shared" si="4"/>
        <v>14.89977</v>
      </c>
      <c r="L52" s="136">
        <f t="shared" si="4"/>
        <v>17.912949999999999</v>
      </c>
      <c r="M52" s="136">
        <f t="shared" si="4"/>
        <v>17.865079999999999</v>
      </c>
      <c r="N52" s="136">
        <f t="shared" si="4"/>
        <v>17.878740000000001</v>
      </c>
      <c r="O52" s="136">
        <f t="shared" si="4"/>
        <v>322.30204000000003</v>
      </c>
    </row>
    <row r="55" spans="2:15" ht="15">
      <c r="B55" s="26" t="s">
        <v>322</v>
      </c>
      <c r="C55" s="26" t="s">
        <v>379</v>
      </c>
      <c r="D55" s="92"/>
      <c r="E55" s="92"/>
      <c r="F55" s="92"/>
      <c r="G55" s="92"/>
      <c r="H55" s="92"/>
      <c r="I55" s="38"/>
    </row>
    <row r="56" spans="2:15" ht="15">
      <c r="B56" s="26" t="s">
        <v>8</v>
      </c>
      <c r="C56" s="27"/>
      <c r="D56" s="27"/>
      <c r="O56" s="190" t="s">
        <v>128</v>
      </c>
    </row>
    <row r="57" spans="2:15" ht="15">
      <c r="B57" s="33" t="s">
        <v>315</v>
      </c>
      <c r="C57" s="33" t="s">
        <v>129</v>
      </c>
      <c r="D57" s="33" t="s">
        <v>130</v>
      </c>
      <c r="E57" s="114" t="s">
        <v>131</v>
      </c>
      <c r="F57" s="114" t="s">
        <v>132</v>
      </c>
      <c r="G57" s="114" t="s">
        <v>133</v>
      </c>
      <c r="H57" s="114" t="s">
        <v>134</v>
      </c>
      <c r="I57" s="114" t="s">
        <v>135</v>
      </c>
      <c r="J57" s="114" t="s">
        <v>136</v>
      </c>
      <c r="K57" s="114" t="s">
        <v>137</v>
      </c>
      <c r="L57" s="114" t="s">
        <v>138</v>
      </c>
      <c r="M57" s="114" t="s">
        <v>139</v>
      </c>
      <c r="N57" s="114" t="s">
        <v>140</v>
      </c>
      <c r="O57" s="169" t="s">
        <v>127</v>
      </c>
    </row>
    <row r="58" spans="2:15" ht="15">
      <c r="B58" s="90" t="s">
        <v>372</v>
      </c>
      <c r="C58" s="170">
        <v>7.0121338199999999</v>
      </c>
      <c r="D58" s="170">
        <v>4.9130949450000001</v>
      </c>
      <c r="E58" s="170">
        <v>4.2066989599999998</v>
      </c>
      <c r="F58" s="170">
        <v>14.042250835000001</v>
      </c>
      <c r="G58" s="170">
        <v>27.42567755</v>
      </c>
      <c r="H58" s="170">
        <v>49.877819969999997</v>
      </c>
      <c r="I58" s="170">
        <v>56.124881370000004</v>
      </c>
      <c r="J58" s="170">
        <v>35.785873715000001</v>
      </c>
      <c r="K58" s="170">
        <v>11.915718625</v>
      </c>
      <c r="L58" s="170">
        <v>14.042448375000001</v>
      </c>
      <c r="M58" s="170">
        <v>14.005296745000001</v>
      </c>
      <c r="N58" s="170">
        <v>14.015893355000001</v>
      </c>
      <c r="O58" s="170">
        <f>SUM(C58:N58)</f>
        <v>253.36778826500003</v>
      </c>
    </row>
    <row r="59" spans="2:15" ht="15">
      <c r="B59" s="9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</row>
    <row r="60" spans="2:15" ht="15">
      <c r="B60" s="90" t="s">
        <v>373</v>
      </c>
      <c r="C60" s="170">
        <v>2.92710618</v>
      </c>
      <c r="D60" s="170">
        <v>2.0508950549999998</v>
      </c>
      <c r="E60" s="170">
        <v>1.7560210399999998</v>
      </c>
      <c r="F60" s="170">
        <v>5.8617191650000002</v>
      </c>
      <c r="G60" s="170">
        <v>11.448422449999999</v>
      </c>
      <c r="H60" s="170">
        <v>20.820720029999997</v>
      </c>
      <c r="I60" s="170">
        <v>23.428458630000002</v>
      </c>
      <c r="J60" s="170">
        <v>14.938256285</v>
      </c>
      <c r="K60" s="170">
        <v>4.9740313749999991</v>
      </c>
      <c r="L60" s="170">
        <v>5.861801625</v>
      </c>
      <c r="M60" s="170">
        <v>5.846293255</v>
      </c>
      <c r="N60" s="170">
        <v>5.8507166450000003</v>
      </c>
      <c r="O60" s="170">
        <f>SUM(C60:N60)</f>
        <v>105.76444173500001</v>
      </c>
    </row>
    <row r="61" spans="2:15" ht="15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170"/>
    </row>
    <row r="62" spans="2:15" ht="15">
      <c r="B62" s="41" t="s">
        <v>127</v>
      </c>
      <c r="C62" s="136">
        <f>C58+C60</f>
        <v>9.9392399999999999</v>
      </c>
      <c r="D62" s="136">
        <f t="shared" ref="D62:O62" si="5">D58+D60</f>
        <v>6.9639899999999999</v>
      </c>
      <c r="E62" s="136">
        <f t="shared" si="5"/>
        <v>5.9627199999999991</v>
      </c>
      <c r="F62" s="136">
        <f t="shared" si="5"/>
        <v>19.903970000000001</v>
      </c>
      <c r="G62" s="136">
        <f t="shared" si="5"/>
        <v>38.874099999999999</v>
      </c>
      <c r="H62" s="136">
        <f t="shared" si="5"/>
        <v>70.698539999999994</v>
      </c>
      <c r="I62" s="136">
        <f t="shared" si="5"/>
        <v>79.553340000000006</v>
      </c>
      <c r="J62" s="136">
        <f t="shared" si="5"/>
        <v>50.724130000000002</v>
      </c>
      <c r="K62" s="136">
        <f t="shared" si="5"/>
        <v>16.889749999999999</v>
      </c>
      <c r="L62" s="136">
        <f t="shared" si="5"/>
        <v>19.904250000000001</v>
      </c>
      <c r="M62" s="136">
        <f t="shared" si="5"/>
        <v>19.851590000000002</v>
      </c>
      <c r="N62" s="136">
        <f t="shared" si="5"/>
        <v>19.866610000000001</v>
      </c>
      <c r="O62" s="136">
        <f t="shared" si="5"/>
        <v>359.13223000000005</v>
      </c>
    </row>
    <row r="65" spans="2:15" ht="15">
      <c r="B65" s="26" t="s">
        <v>323</v>
      </c>
      <c r="C65" s="26" t="s">
        <v>380</v>
      </c>
      <c r="D65" s="92"/>
      <c r="E65" s="92"/>
      <c r="F65" s="92"/>
      <c r="G65" s="92"/>
      <c r="H65" s="92"/>
      <c r="I65" s="38"/>
    </row>
    <row r="66" spans="2:15" ht="15">
      <c r="B66" s="26" t="s">
        <v>8</v>
      </c>
      <c r="C66" s="27"/>
      <c r="D66" s="27"/>
      <c r="O66" s="190" t="s">
        <v>128</v>
      </c>
    </row>
    <row r="67" spans="2:15" ht="15">
      <c r="B67" s="33" t="s">
        <v>315</v>
      </c>
      <c r="C67" s="33" t="s">
        <v>129</v>
      </c>
      <c r="D67" s="33" t="s">
        <v>130</v>
      </c>
      <c r="E67" s="114" t="s">
        <v>131</v>
      </c>
      <c r="F67" s="114" t="s">
        <v>132</v>
      </c>
      <c r="G67" s="114" t="s">
        <v>133</v>
      </c>
      <c r="H67" s="114" t="s">
        <v>134</v>
      </c>
      <c r="I67" s="114" t="s">
        <v>135</v>
      </c>
      <c r="J67" s="114" t="s">
        <v>136</v>
      </c>
      <c r="K67" s="114" t="s">
        <v>137</v>
      </c>
      <c r="L67" s="114" t="s">
        <v>138</v>
      </c>
      <c r="M67" s="114" t="s">
        <v>139</v>
      </c>
      <c r="N67" s="114" t="s">
        <v>140</v>
      </c>
      <c r="O67" s="169" t="s">
        <v>127</v>
      </c>
    </row>
    <row r="68" spans="2:15" ht="15">
      <c r="B68" s="90" t="s">
        <v>372</v>
      </c>
      <c r="C68" s="170">
        <v>7.7133443800000006</v>
      </c>
      <c r="D68" s="170">
        <v>5.6160551450000007</v>
      </c>
      <c r="E68" s="170">
        <v>4.9095674450000004</v>
      </c>
      <c r="F68" s="170">
        <v>15.446428650000001</v>
      </c>
      <c r="G68" s="170">
        <v>30.238795305000004</v>
      </c>
      <c r="H68" s="170">
        <v>55.500556200000005</v>
      </c>
      <c r="I68" s="170">
        <v>61.737373740000002</v>
      </c>
      <c r="J68" s="170">
        <v>39.999408969999998</v>
      </c>
      <c r="K68" s="170">
        <v>13.318936960000002</v>
      </c>
      <c r="L68" s="170">
        <v>15.446689685000001</v>
      </c>
      <c r="M68" s="170">
        <v>15.405827125</v>
      </c>
      <c r="N68" s="170">
        <v>15.417481984999998</v>
      </c>
      <c r="O68" s="170">
        <f>SUM(C68:N68)</f>
        <v>280.75046558999998</v>
      </c>
    </row>
    <row r="69" spans="2:15" ht="15">
      <c r="B69" s="90"/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170"/>
      <c r="O69" s="170"/>
    </row>
    <row r="70" spans="2:15" ht="15">
      <c r="B70" s="90" t="s">
        <v>373</v>
      </c>
      <c r="C70" s="170">
        <v>3.2198156199999999</v>
      </c>
      <c r="D70" s="170">
        <v>2.3443348550000001</v>
      </c>
      <c r="E70" s="170">
        <v>2.049422555</v>
      </c>
      <c r="F70" s="170">
        <v>6.4478919649999993</v>
      </c>
      <c r="G70" s="170">
        <v>12.622714695000001</v>
      </c>
      <c r="H70" s="170">
        <v>23.1678438</v>
      </c>
      <c r="I70" s="170">
        <v>25.771306259999999</v>
      </c>
      <c r="J70" s="170">
        <v>16.697131029999998</v>
      </c>
      <c r="K70" s="170">
        <v>5.5597830400000001</v>
      </c>
      <c r="L70" s="170">
        <v>6.4479803149999997</v>
      </c>
      <c r="M70" s="170">
        <v>6.4309228749999994</v>
      </c>
      <c r="N70" s="170">
        <v>6.4357880149999991</v>
      </c>
      <c r="O70" s="170">
        <f>SUM(C70:N70)</f>
        <v>117.19493502499998</v>
      </c>
    </row>
    <row r="71" spans="2:15" ht="15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170"/>
    </row>
    <row r="72" spans="2:15" ht="15">
      <c r="B72" s="41" t="s">
        <v>127</v>
      </c>
      <c r="C72" s="136">
        <f>C68+C70</f>
        <v>10.933160000000001</v>
      </c>
      <c r="D72" s="136">
        <f t="shared" ref="D72:O72" si="6">D68+D70</f>
        <v>7.9603900000000003</v>
      </c>
      <c r="E72" s="136">
        <f t="shared" si="6"/>
        <v>6.95899</v>
      </c>
      <c r="F72" s="136">
        <f t="shared" si="6"/>
        <v>21.894320615000002</v>
      </c>
      <c r="G72" s="136">
        <f t="shared" si="6"/>
        <v>42.861510000000003</v>
      </c>
      <c r="H72" s="136">
        <f t="shared" si="6"/>
        <v>78.668400000000005</v>
      </c>
      <c r="I72" s="136">
        <f t="shared" si="6"/>
        <v>87.508679999999998</v>
      </c>
      <c r="J72" s="136">
        <f t="shared" si="6"/>
        <v>56.696539999999999</v>
      </c>
      <c r="K72" s="136">
        <f t="shared" si="6"/>
        <v>18.878720000000001</v>
      </c>
      <c r="L72" s="136">
        <f t="shared" si="6"/>
        <v>21.894670000000001</v>
      </c>
      <c r="M72" s="136">
        <f t="shared" si="6"/>
        <v>21.836749999999999</v>
      </c>
      <c r="N72" s="136">
        <f t="shared" si="6"/>
        <v>21.853269999999998</v>
      </c>
      <c r="O72" s="136">
        <f t="shared" si="6"/>
        <v>397.94540061499993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1.63" right="1.33" top="1" bottom="0.37" header="0.5" footer="0.5"/>
  <pageSetup paperSize="9" scale="47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E31" sqref="E31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3"/>
    </row>
    <row r="2" spans="2:14" s="5" customFormat="1" ht="15" customHeight="1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2:14" s="5" customFormat="1" ht="15" customHeight="1">
      <c r="B3" s="250" t="s">
        <v>381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14.25" customHeight="1">
      <c r="B4" s="251" t="s">
        <v>324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</row>
    <row r="5" spans="2:14" ht="15">
      <c r="B5" s="26" t="s">
        <v>398</v>
      </c>
    </row>
    <row r="6" spans="2:14" ht="15">
      <c r="B6" s="26" t="s">
        <v>12</v>
      </c>
      <c r="N6" s="39" t="s">
        <v>4</v>
      </c>
    </row>
    <row r="7" spans="2:14" s="58" customFormat="1" ht="45.75" customHeight="1">
      <c r="B7" s="248" t="s">
        <v>315</v>
      </c>
      <c r="C7" s="256" t="s">
        <v>143</v>
      </c>
      <c r="D7" s="256"/>
      <c r="E7" s="256"/>
      <c r="F7" s="256"/>
      <c r="G7" s="243" t="s">
        <v>144</v>
      </c>
      <c r="H7" s="243"/>
      <c r="I7" s="243"/>
      <c r="J7" s="243" t="s">
        <v>145</v>
      </c>
      <c r="K7" s="243"/>
      <c r="L7" s="243"/>
      <c r="M7" s="243"/>
      <c r="N7" s="243"/>
    </row>
    <row r="8" spans="2:14" ht="45">
      <c r="B8" s="249"/>
      <c r="C8" s="33" t="s">
        <v>161</v>
      </c>
      <c r="D8" s="33" t="s">
        <v>159</v>
      </c>
      <c r="E8" s="33" t="s">
        <v>221</v>
      </c>
      <c r="F8" s="33" t="s">
        <v>160</v>
      </c>
      <c r="G8" s="33" t="s">
        <v>146</v>
      </c>
      <c r="H8" s="33" t="s">
        <v>222</v>
      </c>
      <c r="I8" s="33" t="s">
        <v>147</v>
      </c>
      <c r="J8" s="33" t="s">
        <v>148</v>
      </c>
      <c r="K8" s="33" t="s">
        <v>149</v>
      </c>
      <c r="L8" s="33" t="s">
        <v>223</v>
      </c>
      <c r="M8" s="33" t="s">
        <v>224</v>
      </c>
      <c r="N8" s="25" t="s">
        <v>127</v>
      </c>
    </row>
    <row r="9" spans="2:14" ht="15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>
      <c r="B10" s="90" t="s">
        <v>316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90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90" t="s">
        <v>317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0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90" t="s">
        <v>318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8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90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90" t="s">
        <v>127</v>
      </c>
      <c r="C18" s="135">
        <f>C10+C12+C14</f>
        <v>0</v>
      </c>
      <c r="D18" s="135">
        <f>D10+D12+D14</f>
        <v>0</v>
      </c>
      <c r="E18" s="135">
        <f>E10+E12+E14</f>
        <v>0</v>
      </c>
      <c r="F18" s="135">
        <f>F10+F12+F14</f>
        <v>0</v>
      </c>
      <c r="G18" s="135">
        <f>G10+G12+G14</f>
        <v>0</v>
      </c>
      <c r="H18" s="3"/>
      <c r="I18" s="3"/>
      <c r="J18" s="135">
        <f>J10+J12+J14</f>
        <v>0</v>
      </c>
      <c r="K18" s="135">
        <f>K10+K12+K14</f>
        <v>0</v>
      </c>
      <c r="L18" s="135">
        <f>L10+L12+L14</f>
        <v>0</v>
      </c>
      <c r="M18" s="135">
        <f>M10+M12+M14</f>
        <v>0</v>
      </c>
      <c r="N18" s="135">
        <f>N10+N12+N14</f>
        <v>0</v>
      </c>
    </row>
    <row r="19" spans="2:14" ht="15">
      <c r="B19" s="39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zoomScale="80" zoomScaleNormal="80" workbookViewId="0">
      <selection activeCell="E31" sqref="E31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13"/>
    </row>
    <row r="2" spans="2:17" s="5" customFormat="1" ht="15" customHeight="1"/>
    <row r="3" spans="2:17" s="5" customFormat="1" ht="15" customHeight="1">
      <c r="B3" s="250" t="s">
        <v>411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</row>
    <row r="4" spans="2:17" s="5" customFormat="1" ht="15" customHeight="1">
      <c r="B4" s="250" t="s">
        <v>381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</row>
    <row r="5" spans="2:17" ht="15">
      <c r="B5" s="26" t="s">
        <v>398</v>
      </c>
      <c r="I5" s="38" t="s">
        <v>327</v>
      </c>
    </row>
    <row r="6" spans="2:17" ht="15">
      <c r="B6" s="39" t="s">
        <v>12</v>
      </c>
    </row>
    <row r="7" spans="2:17" ht="30">
      <c r="B7" s="115" t="s">
        <v>186</v>
      </c>
      <c r="C7" s="115" t="s">
        <v>18</v>
      </c>
      <c r="D7" s="115" t="s">
        <v>39</v>
      </c>
      <c r="E7" s="33" t="s">
        <v>129</v>
      </c>
      <c r="F7" s="33" t="s">
        <v>130</v>
      </c>
      <c r="G7" s="114" t="s">
        <v>131</v>
      </c>
      <c r="H7" s="114" t="s">
        <v>132</v>
      </c>
      <c r="I7" s="114" t="s">
        <v>133</v>
      </c>
      <c r="J7" s="114" t="s">
        <v>134</v>
      </c>
      <c r="K7" s="114" t="s">
        <v>135</v>
      </c>
      <c r="L7" s="114" t="s">
        <v>136</v>
      </c>
      <c r="M7" s="114" t="s">
        <v>137</v>
      </c>
      <c r="N7" s="114" t="s">
        <v>138</v>
      </c>
      <c r="O7" s="114" t="s">
        <v>139</v>
      </c>
      <c r="P7" s="114" t="s">
        <v>140</v>
      </c>
      <c r="Q7" s="116" t="s">
        <v>127</v>
      </c>
    </row>
    <row r="8" spans="2:17">
      <c r="B8" s="117">
        <v>1</v>
      </c>
      <c r="C8" s="118" t="s">
        <v>164</v>
      </c>
      <c r="D8" s="117" t="s">
        <v>40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>
        <v>85</v>
      </c>
    </row>
    <row r="9" spans="2:17">
      <c r="B9" s="117">
        <f>B8+1</f>
        <v>2</v>
      </c>
      <c r="C9" s="118" t="s">
        <v>187</v>
      </c>
      <c r="D9" s="117" t="s">
        <v>40</v>
      </c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20"/>
    </row>
    <row r="10" spans="2:17">
      <c r="B10" s="117">
        <f t="shared" ref="B10:B26" si="0">B9+1</f>
        <v>3</v>
      </c>
      <c r="C10" s="118" t="s">
        <v>188</v>
      </c>
      <c r="D10" s="117" t="s">
        <v>40</v>
      </c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>
        <v>96.14</v>
      </c>
    </row>
    <row r="11" spans="2:17">
      <c r="B11" s="117">
        <f t="shared" si="0"/>
        <v>4</v>
      </c>
      <c r="C11" s="118" t="s">
        <v>41</v>
      </c>
      <c r="D11" s="117" t="s">
        <v>40</v>
      </c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</row>
    <row r="12" spans="2:17">
      <c r="B12" s="117">
        <f t="shared" si="0"/>
        <v>5</v>
      </c>
      <c r="C12" s="118" t="s">
        <v>189</v>
      </c>
      <c r="D12" s="117" t="s">
        <v>40</v>
      </c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</row>
    <row r="13" spans="2:17">
      <c r="B13" s="117">
        <f t="shared" si="0"/>
        <v>6</v>
      </c>
      <c r="C13" s="118" t="s">
        <v>190</v>
      </c>
      <c r="D13" s="117" t="s">
        <v>40</v>
      </c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</row>
    <row r="14" spans="2:17" ht="16.5">
      <c r="B14" s="117">
        <f t="shared" si="0"/>
        <v>7</v>
      </c>
      <c r="C14" s="112" t="s">
        <v>191</v>
      </c>
      <c r="D14" s="121" t="s">
        <v>42</v>
      </c>
      <c r="E14" s="178">
        <v>0</v>
      </c>
      <c r="F14" s="178">
        <v>0</v>
      </c>
      <c r="G14" s="178">
        <v>3.3715130000000002</v>
      </c>
      <c r="H14" s="178">
        <v>70.083365999999998</v>
      </c>
      <c r="I14" s="178">
        <v>108.316312</v>
      </c>
      <c r="J14" s="178">
        <v>96.139140999999995</v>
      </c>
      <c r="K14" s="178">
        <v>116.252753</v>
      </c>
      <c r="L14" s="178">
        <v>35.397528999999999</v>
      </c>
      <c r="M14" s="178">
        <v>1.3846020000000001</v>
      </c>
      <c r="N14" s="178">
        <v>0.55757599999999996</v>
      </c>
      <c r="O14" s="178">
        <v>0.30824099999999999</v>
      </c>
      <c r="P14" s="178">
        <v>0.35984100000000002</v>
      </c>
      <c r="Q14" s="178">
        <f>SUM(E14:P14)</f>
        <v>432.17087399999997</v>
      </c>
    </row>
    <row r="15" spans="2:17" ht="16.5">
      <c r="B15" s="117">
        <f t="shared" si="0"/>
        <v>8</v>
      </c>
      <c r="C15" s="112" t="s">
        <v>192</v>
      </c>
      <c r="D15" s="121" t="s">
        <v>42</v>
      </c>
      <c r="E15" s="178">
        <v>0.15651379999999998</v>
      </c>
      <c r="F15" s="178">
        <v>0.16884700000000033</v>
      </c>
      <c r="G15" s="178">
        <v>0.28901889999999991</v>
      </c>
      <c r="H15" s="178">
        <v>1.9070682999999971</v>
      </c>
      <c r="I15" s="178">
        <v>2.6005935</v>
      </c>
      <c r="J15" s="178">
        <v>2.8110059000000058</v>
      </c>
      <c r="K15" s="178">
        <v>3.0031458999999909</v>
      </c>
      <c r="L15" s="178">
        <v>1.0391416999999956</v>
      </c>
      <c r="M15" s="178">
        <v>0.23042980000000354</v>
      </c>
      <c r="N15" s="178">
        <v>0.14990899999999999</v>
      </c>
      <c r="O15" s="178">
        <v>0.12608120000000261</v>
      </c>
      <c r="P15" s="178">
        <v>0.15309849999999423</v>
      </c>
      <c r="Q15" s="178">
        <f>SUM(E15:P15)</f>
        <v>12.63485349999999</v>
      </c>
    </row>
    <row r="16" spans="2:17" ht="15">
      <c r="B16" s="117">
        <f t="shared" si="0"/>
        <v>9</v>
      </c>
      <c r="C16" s="112" t="s">
        <v>207</v>
      </c>
      <c r="D16" s="121" t="s">
        <v>42</v>
      </c>
      <c r="E16" s="134">
        <f>E14-E15</f>
        <v>-0.15651379999999998</v>
      </c>
      <c r="F16" s="134">
        <f t="shared" ref="F16:Q16" si="1">F14-F15</f>
        <v>-0.16884700000000033</v>
      </c>
      <c r="G16" s="134">
        <f t="shared" si="1"/>
        <v>3.0824941000000003</v>
      </c>
      <c r="H16" s="134">
        <f t="shared" si="1"/>
        <v>68.176297700000006</v>
      </c>
      <c r="I16" s="134">
        <f t="shared" si="1"/>
        <v>105.71571849999999</v>
      </c>
      <c r="J16" s="134">
        <f t="shared" si="1"/>
        <v>93.328135099999983</v>
      </c>
      <c r="K16" s="134">
        <f t="shared" si="1"/>
        <v>113.24960710000001</v>
      </c>
      <c r="L16" s="134">
        <f t="shared" si="1"/>
        <v>34.358387300000004</v>
      </c>
      <c r="M16" s="134">
        <f t="shared" si="1"/>
        <v>1.1541721999999965</v>
      </c>
      <c r="N16" s="134">
        <f t="shared" si="1"/>
        <v>0.407667</v>
      </c>
      <c r="O16" s="134">
        <f t="shared" si="1"/>
        <v>0.18215979999999737</v>
      </c>
      <c r="P16" s="134">
        <f t="shared" si="1"/>
        <v>0.2067425000000058</v>
      </c>
      <c r="Q16" s="134">
        <f t="shared" si="1"/>
        <v>419.53602050000001</v>
      </c>
    </row>
    <row r="17" spans="2:17">
      <c r="B17" s="117">
        <f t="shared" si="0"/>
        <v>10</v>
      </c>
      <c r="C17" s="112" t="s">
        <v>208</v>
      </c>
      <c r="D17" s="121" t="s">
        <v>42</v>
      </c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3"/>
    </row>
    <row r="18" spans="2:17">
      <c r="B18" s="117">
        <f t="shared" si="0"/>
        <v>11</v>
      </c>
      <c r="C18" s="112" t="s">
        <v>193</v>
      </c>
      <c r="D18" s="121" t="s">
        <v>197</v>
      </c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</row>
    <row r="19" spans="2:17" ht="16.5">
      <c r="B19" s="117">
        <f t="shared" si="0"/>
        <v>12</v>
      </c>
      <c r="C19" s="112" t="s">
        <v>209</v>
      </c>
      <c r="D19" s="121" t="s">
        <v>198</v>
      </c>
      <c r="E19" s="179">
        <v>22.113333300000001</v>
      </c>
      <c r="F19" s="179">
        <v>22.113333300000001</v>
      </c>
      <c r="G19" s="179">
        <v>22.113333300000001</v>
      </c>
      <c r="H19" s="179">
        <v>22.113333300000001</v>
      </c>
      <c r="I19" s="179">
        <v>22.113333300000001</v>
      </c>
      <c r="J19" s="179">
        <v>22.113333300000001</v>
      </c>
      <c r="K19" s="179">
        <v>22.113333300000001</v>
      </c>
      <c r="L19" s="179">
        <v>22.113333300000001</v>
      </c>
      <c r="M19" s="179">
        <v>22.113333300000001</v>
      </c>
      <c r="N19" s="179">
        <v>22.113333300000001</v>
      </c>
      <c r="O19" s="179">
        <v>22.113333300000001</v>
      </c>
      <c r="P19" s="179">
        <v>22.113333300000001</v>
      </c>
      <c r="Q19" s="179">
        <f>SUM(E19:P19)</f>
        <v>265.35999959999998</v>
      </c>
    </row>
    <row r="20" spans="2:17" ht="16.5">
      <c r="B20" s="117">
        <f t="shared" si="0"/>
        <v>13</v>
      </c>
      <c r="C20" s="112" t="s">
        <v>325</v>
      </c>
      <c r="D20" s="121" t="s">
        <v>197</v>
      </c>
      <c r="E20" s="180">
        <v>0</v>
      </c>
      <c r="F20" s="180">
        <v>0</v>
      </c>
      <c r="G20" s="180">
        <v>0</v>
      </c>
      <c r="H20" s="180">
        <v>0</v>
      </c>
      <c r="I20" s="180">
        <v>0</v>
      </c>
      <c r="J20" s="180">
        <v>0</v>
      </c>
      <c r="K20" s="180">
        <v>0</v>
      </c>
      <c r="L20" s="180">
        <v>0</v>
      </c>
      <c r="M20" s="180">
        <v>0</v>
      </c>
      <c r="N20" s="180">
        <v>0</v>
      </c>
      <c r="O20" s="180">
        <v>0</v>
      </c>
      <c r="P20" s="180">
        <v>0</v>
      </c>
      <c r="Q20" s="180">
        <v>0</v>
      </c>
    </row>
    <row r="21" spans="2:17" ht="16.5">
      <c r="B21" s="117">
        <f t="shared" si="0"/>
        <v>14</v>
      </c>
      <c r="C21" s="112" t="s">
        <v>194</v>
      </c>
      <c r="D21" s="121" t="s">
        <v>198</v>
      </c>
      <c r="E21" s="179">
        <v>22.113333300000001</v>
      </c>
      <c r="F21" s="179">
        <v>22.113333300000001</v>
      </c>
      <c r="G21" s="179">
        <v>22.113333300000001</v>
      </c>
      <c r="H21" s="179">
        <v>22.113333300000001</v>
      </c>
      <c r="I21" s="179">
        <v>22.113333300000001</v>
      </c>
      <c r="J21" s="179">
        <v>22.113333300000001</v>
      </c>
      <c r="K21" s="179">
        <v>22.113333300000001</v>
      </c>
      <c r="L21" s="179">
        <v>22.113333300000001</v>
      </c>
      <c r="M21" s="179">
        <v>22.113333300000001</v>
      </c>
      <c r="N21" s="179">
        <v>22.113333300000001</v>
      </c>
      <c r="O21" s="179">
        <v>22.113333300000001</v>
      </c>
      <c r="P21" s="179">
        <v>22.113333300000001</v>
      </c>
      <c r="Q21" s="179">
        <f>SUM(E21:P21)</f>
        <v>265.35999959999998</v>
      </c>
    </row>
    <row r="22" spans="2:17">
      <c r="B22" s="117">
        <f t="shared" si="0"/>
        <v>15</v>
      </c>
      <c r="C22" s="112" t="s">
        <v>326</v>
      </c>
      <c r="D22" s="121" t="s">
        <v>198</v>
      </c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0"/>
    </row>
    <row r="23" spans="2:17">
      <c r="B23" s="117">
        <f t="shared" si="0"/>
        <v>16</v>
      </c>
      <c r="C23" s="112" t="s">
        <v>210</v>
      </c>
      <c r="D23" s="121" t="s">
        <v>198</v>
      </c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0"/>
    </row>
    <row r="24" spans="2:17">
      <c r="B24" s="117">
        <f t="shared" si="0"/>
        <v>17</v>
      </c>
      <c r="C24" s="112" t="s">
        <v>195</v>
      </c>
      <c r="D24" s="121" t="s">
        <v>198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0"/>
    </row>
    <row r="25" spans="2:17" ht="16.5">
      <c r="B25" s="117">
        <f t="shared" si="0"/>
        <v>18</v>
      </c>
      <c r="C25" s="126" t="s">
        <v>151</v>
      </c>
      <c r="D25" s="121" t="s">
        <v>198</v>
      </c>
      <c r="E25" s="181">
        <f>E21+E22+E23+E24</f>
        <v>22.113333300000001</v>
      </c>
      <c r="F25" s="181">
        <f t="shared" ref="F25:Q25" si="2">F21+F22+F23+F24</f>
        <v>22.113333300000001</v>
      </c>
      <c r="G25" s="181">
        <f t="shared" si="2"/>
        <v>22.113333300000001</v>
      </c>
      <c r="H25" s="181">
        <f t="shared" si="2"/>
        <v>22.113333300000001</v>
      </c>
      <c r="I25" s="181">
        <f t="shared" si="2"/>
        <v>22.113333300000001</v>
      </c>
      <c r="J25" s="181">
        <f t="shared" si="2"/>
        <v>22.113333300000001</v>
      </c>
      <c r="K25" s="181">
        <f t="shared" si="2"/>
        <v>22.113333300000001</v>
      </c>
      <c r="L25" s="181">
        <f t="shared" si="2"/>
        <v>22.113333300000001</v>
      </c>
      <c r="M25" s="181">
        <f t="shared" si="2"/>
        <v>22.113333300000001</v>
      </c>
      <c r="N25" s="181">
        <f t="shared" si="2"/>
        <v>22.113333300000001</v>
      </c>
      <c r="O25" s="181">
        <f t="shared" si="2"/>
        <v>22.113333300000001</v>
      </c>
      <c r="P25" s="181">
        <f t="shared" si="2"/>
        <v>22.113333300000001</v>
      </c>
      <c r="Q25" s="181">
        <f t="shared" si="2"/>
        <v>265.35999959999998</v>
      </c>
    </row>
    <row r="26" spans="2:17" ht="15">
      <c r="B26" s="117">
        <f t="shared" si="0"/>
        <v>19</v>
      </c>
      <c r="C26" s="128" t="s">
        <v>196</v>
      </c>
      <c r="D26" s="121" t="s">
        <v>198</v>
      </c>
      <c r="E26" s="125"/>
      <c r="F26" s="119"/>
      <c r="G26" s="119"/>
      <c r="H26" s="119"/>
      <c r="I26" s="119"/>
      <c r="J26" s="119"/>
      <c r="K26" s="119"/>
      <c r="L26" s="119"/>
      <c r="M26" s="120"/>
      <c r="N26" s="120"/>
      <c r="O26" s="120"/>
      <c r="P26" s="120"/>
      <c r="Q26" s="127"/>
    </row>
    <row r="27" spans="2:17" ht="33">
      <c r="B27" s="182"/>
      <c r="C27" s="183" t="s">
        <v>370</v>
      </c>
      <c r="D27" s="184" t="s">
        <v>198</v>
      </c>
      <c r="E27" s="185"/>
      <c r="F27" s="178"/>
      <c r="G27" s="178"/>
      <c r="H27" s="178"/>
      <c r="I27" s="178"/>
      <c r="J27" s="178"/>
      <c r="K27" s="178"/>
      <c r="L27" s="178"/>
      <c r="M27" s="179"/>
      <c r="N27" s="179"/>
      <c r="O27" s="179"/>
      <c r="P27" s="179"/>
      <c r="Q27" s="186">
        <v>0</v>
      </c>
    </row>
    <row r="28" spans="2:17" ht="33">
      <c r="B28" s="182"/>
      <c r="C28" s="183" t="s">
        <v>371</v>
      </c>
      <c r="D28" s="184" t="s">
        <v>198</v>
      </c>
      <c r="E28" s="185"/>
      <c r="F28" s="178"/>
      <c r="G28" s="178"/>
      <c r="H28" s="178"/>
      <c r="I28" s="178"/>
      <c r="J28" s="178"/>
      <c r="K28" s="178"/>
      <c r="L28" s="178"/>
      <c r="M28" s="179"/>
      <c r="N28" s="179"/>
      <c r="O28" s="179"/>
      <c r="P28" s="179"/>
      <c r="Q28" s="186">
        <v>4.4299999999999988</v>
      </c>
    </row>
    <row r="29" spans="2:17" ht="16.5">
      <c r="B29" s="182"/>
      <c r="C29" s="183" t="s">
        <v>93</v>
      </c>
      <c r="D29" s="184" t="s">
        <v>198</v>
      </c>
      <c r="E29" s="185"/>
      <c r="F29" s="178"/>
      <c r="G29" s="178"/>
      <c r="H29" s="178"/>
      <c r="I29" s="178"/>
      <c r="J29" s="178"/>
      <c r="K29" s="178"/>
      <c r="L29" s="178"/>
      <c r="M29" s="179"/>
      <c r="N29" s="179"/>
      <c r="O29" s="179"/>
      <c r="P29" s="179"/>
      <c r="Q29" s="186">
        <v>0</v>
      </c>
    </row>
    <row r="30" spans="2:17" ht="15">
      <c r="B30" s="121">
        <f>B26+1</f>
        <v>20</v>
      </c>
      <c r="C30" s="111" t="s">
        <v>163</v>
      </c>
      <c r="D30" s="121" t="s">
        <v>198</v>
      </c>
      <c r="E30" s="134">
        <f>E25+E26</f>
        <v>22.113333300000001</v>
      </c>
      <c r="F30" s="134">
        <f t="shared" ref="F30:P30" si="3">F25+F26</f>
        <v>22.113333300000001</v>
      </c>
      <c r="G30" s="134">
        <f t="shared" si="3"/>
        <v>22.113333300000001</v>
      </c>
      <c r="H30" s="134">
        <f t="shared" si="3"/>
        <v>22.113333300000001</v>
      </c>
      <c r="I30" s="134">
        <f t="shared" si="3"/>
        <v>22.113333300000001</v>
      </c>
      <c r="J30" s="134">
        <f t="shared" si="3"/>
        <v>22.113333300000001</v>
      </c>
      <c r="K30" s="134">
        <f t="shared" si="3"/>
        <v>22.113333300000001</v>
      </c>
      <c r="L30" s="134">
        <f t="shared" si="3"/>
        <v>22.113333300000001</v>
      </c>
      <c r="M30" s="134">
        <f t="shared" si="3"/>
        <v>22.113333300000001</v>
      </c>
      <c r="N30" s="134">
        <f t="shared" si="3"/>
        <v>22.113333300000001</v>
      </c>
      <c r="O30" s="134">
        <f t="shared" si="3"/>
        <v>22.113333300000001</v>
      </c>
      <c r="P30" s="134">
        <f t="shared" si="3"/>
        <v>22.113333300000001</v>
      </c>
      <c r="Q30" s="134">
        <f>Q25+Q26+Q27+Q28+Q29</f>
        <v>269.78999959999999</v>
      </c>
    </row>
    <row r="31" spans="2:17" ht="15">
      <c r="B31" s="121">
        <f>B30+1</f>
        <v>21</v>
      </c>
      <c r="C31" s="111" t="s">
        <v>199</v>
      </c>
      <c r="D31" s="121" t="s">
        <v>198</v>
      </c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9"/>
    </row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D2" sqref="D2:D3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>
      <c r="B2" s="36"/>
      <c r="C2" s="36"/>
      <c r="D2" s="36" t="s">
        <v>411</v>
      </c>
      <c r="E2" s="36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>
      <c r="B3" s="36"/>
      <c r="C3" s="36"/>
      <c r="D3" s="36" t="s">
        <v>381</v>
      </c>
      <c r="E3" s="36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20" t="s">
        <v>330</v>
      </c>
      <c r="C4" s="220"/>
      <c r="D4" s="221"/>
      <c r="E4" s="22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6" t="s">
        <v>332</v>
      </c>
    </row>
    <row r="6" spans="2:15" ht="15.75">
      <c r="N6" s="7"/>
    </row>
    <row r="7" spans="2:15" ht="15.75">
      <c r="B7" s="17" t="s">
        <v>186</v>
      </c>
      <c r="C7" s="17" t="s">
        <v>331</v>
      </c>
      <c r="D7" s="18" t="s">
        <v>7</v>
      </c>
      <c r="E7" s="18" t="s">
        <v>333</v>
      </c>
    </row>
    <row r="8" spans="2:15">
      <c r="B8" s="8">
        <v>1</v>
      </c>
      <c r="C8" s="8" t="s">
        <v>6</v>
      </c>
      <c r="D8" s="9" t="s">
        <v>335</v>
      </c>
      <c r="E8" s="10"/>
    </row>
    <row r="9" spans="2:15">
      <c r="B9" s="8">
        <f>B8+1</f>
        <v>2</v>
      </c>
      <c r="C9" s="8" t="s">
        <v>275</v>
      </c>
      <c r="D9" s="9" t="s">
        <v>337</v>
      </c>
      <c r="E9" s="10"/>
    </row>
    <row r="10" spans="2:15">
      <c r="B10" s="8">
        <f>B9+1</f>
        <v>3</v>
      </c>
      <c r="C10" s="8" t="s">
        <v>24</v>
      </c>
      <c r="D10" s="9" t="s">
        <v>338</v>
      </c>
      <c r="E10" s="10"/>
    </row>
    <row r="11" spans="2:15">
      <c r="B11" s="8">
        <f>B10+1</f>
        <v>4</v>
      </c>
      <c r="C11" s="8" t="s">
        <v>25</v>
      </c>
      <c r="D11" s="9" t="s">
        <v>339</v>
      </c>
      <c r="E11" s="10"/>
    </row>
    <row r="12" spans="2:15">
      <c r="B12" s="8">
        <f>B11+1</f>
        <v>5</v>
      </c>
      <c r="C12" s="8" t="s">
        <v>276</v>
      </c>
      <c r="D12" s="9" t="s">
        <v>340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341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342</v>
      </c>
      <c r="E16" s="10"/>
    </row>
    <row r="17" spans="2:5">
      <c r="B17" s="8">
        <f t="shared" si="0"/>
        <v>10</v>
      </c>
      <c r="C17" s="8" t="s">
        <v>29</v>
      </c>
      <c r="D17" s="9" t="s">
        <v>238</v>
      </c>
      <c r="E17" s="10"/>
    </row>
    <row r="18" spans="2:5">
      <c r="B18" s="8">
        <f t="shared" si="0"/>
        <v>11</v>
      </c>
      <c r="C18" s="8" t="s">
        <v>30</v>
      </c>
      <c r="D18" s="11" t="s">
        <v>294</v>
      </c>
      <c r="E18" s="10"/>
    </row>
    <row r="19" spans="2:5">
      <c r="B19" s="8">
        <f t="shared" si="0"/>
        <v>12</v>
      </c>
      <c r="C19" s="8" t="s">
        <v>31</v>
      </c>
      <c r="D19" s="11" t="s">
        <v>239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343</v>
      </c>
      <c r="E22" s="10"/>
    </row>
    <row r="23" spans="2:5">
      <c r="B23" s="8">
        <f t="shared" si="0"/>
        <v>16</v>
      </c>
      <c r="C23" s="8" t="s">
        <v>35</v>
      </c>
      <c r="D23" s="9" t="s">
        <v>344</v>
      </c>
      <c r="E23" s="10"/>
    </row>
    <row r="24" spans="2:5">
      <c r="B24" s="8">
        <f t="shared" si="0"/>
        <v>17</v>
      </c>
      <c r="C24" s="8" t="s">
        <v>153</v>
      </c>
      <c r="D24" s="9" t="s">
        <v>242</v>
      </c>
      <c r="E24" s="10"/>
    </row>
    <row r="25" spans="2:5">
      <c r="B25" s="8">
        <f t="shared" si="0"/>
        <v>18</v>
      </c>
      <c r="C25" s="8" t="s">
        <v>162</v>
      </c>
      <c r="D25" s="9" t="s">
        <v>345</v>
      </c>
      <c r="E25" s="10"/>
    </row>
    <row r="26" spans="2:5">
      <c r="B26" s="8">
        <f t="shared" si="0"/>
        <v>19</v>
      </c>
      <c r="C26" s="8" t="s">
        <v>334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346</v>
      </c>
      <c r="E27" s="10"/>
    </row>
    <row r="28" spans="2:5">
      <c r="B28" s="8">
        <f t="shared" si="0"/>
        <v>21</v>
      </c>
      <c r="C28" s="8" t="s">
        <v>214</v>
      </c>
      <c r="D28" s="11" t="s">
        <v>347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353</v>
      </c>
      <c r="D30" s="9" t="s">
        <v>361</v>
      </c>
      <c r="E30" s="10"/>
    </row>
    <row r="31" spans="2:5">
      <c r="B31" s="8">
        <f>B30+1</f>
        <v>23</v>
      </c>
      <c r="C31" s="8" t="s">
        <v>354</v>
      </c>
      <c r="D31" s="9" t="s">
        <v>362</v>
      </c>
      <c r="E31" s="10"/>
    </row>
    <row r="32" spans="2:5">
      <c r="B32" s="8">
        <f>B31+1</f>
        <v>24</v>
      </c>
      <c r="C32" s="8" t="s">
        <v>351</v>
      </c>
      <c r="D32" s="9" t="s">
        <v>178</v>
      </c>
      <c r="E32" s="10"/>
    </row>
    <row r="33" spans="2:5">
      <c r="B33" s="8">
        <f t="shared" si="0"/>
        <v>25</v>
      </c>
      <c r="C33" s="8" t="s">
        <v>352</v>
      </c>
      <c r="D33" s="9" t="s">
        <v>179</v>
      </c>
      <c r="E33" s="10"/>
    </row>
    <row r="34" spans="2:5">
      <c r="B34" s="8">
        <f t="shared" si="0"/>
        <v>26</v>
      </c>
      <c r="C34" s="8" t="s">
        <v>355</v>
      </c>
      <c r="D34" s="9" t="s">
        <v>180</v>
      </c>
      <c r="E34" s="10"/>
    </row>
    <row r="35" spans="2:5">
      <c r="B35" s="8">
        <f t="shared" si="0"/>
        <v>27</v>
      </c>
      <c r="C35" s="8" t="s">
        <v>356</v>
      </c>
      <c r="D35" s="9" t="s">
        <v>181</v>
      </c>
      <c r="E35" s="10"/>
    </row>
    <row r="36" spans="2:5">
      <c r="B36" s="8">
        <f t="shared" si="0"/>
        <v>28</v>
      </c>
      <c r="C36" s="8" t="s">
        <v>357</v>
      </c>
      <c r="D36" s="9" t="s">
        <v>200</v>
      </c>
      <c r="E36" s="10"/>
    </row>
    <row r="37" spans="2:5">
      <c r="B37" s="8">
        <f t="shared" si="0"/>
        <v>29</v>
      </c>
      <c r="C37" s="8" t="s">
        <v>358</v>
      </c>
      <c r="D37" s="9" t="s">
        <v>182</v>
      </c>
      <c r="E37" s="10"/>
    </row>
    <row r="38" spans="2:5">
      <c r="B38" s="8">
        <f t="shared" si="0"/>
        <v>30</v>
      </c>
      <c r="C38" s="8" t="s">
        <v>359</v>
      </c>
      <c r="D38" s="9" t="s">
        <v>348</v>
      </c>
      <c r="E38" s="10"/>
    </row>
    <row r="39" spans="2:5">
      <c r="B39" s="8">
        <f t="shared" si="0"/>
        <v>31</v>
      </c>
      <c r="C39" s="8" t="s">
        <v>360</v>
      </c>
      <c r="D39" s="9" t="s">
        <v>349</v>
      </c>
      <c r="E39" s="10"/>
    </row>
    <row r="41" spans="2:5" ht="15.75">
      <c r="B41" s="16" t="s">
        <v>350</v>
      </c>
      <c r="C41" s="16"/>
    </row>
  </sheetData>
  <mergeCells count="1">
    <mergeCell ref="B4:E4"/>
  </mergeCells>
  <phoneticPr fontId="10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4"/>
  <sheetViews>
    <sheetView showGridLines="0" zoomScale="80" zoomScaleNormal="80" workbookViewId="0">
      <selection activeCell="E31" sqref="E31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6384" width="9.28515625" style="19"/>
  </cols>
  <sheetData>
    <row r="1" spans="2:16" s="6" customFormat="1" ht="15"/>
    <row r="2" spans="2:16" s="6" customFormat="1" ht="15"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</row>
    <row r="3" spans="2:16" s="6" customFormat="1" ht="15.75">
      <c r="B3" s="222" t="s">
        <v>416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2:16" s="15" customFormat="1" ht="15.75">
      <c r="B4" s="222" t="s">
        <v>417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</row>
    <row r="5" spans="2:16" s="6" customFormat="1" ht="15.75">
      <c r="B5" s="222" t="s">
        <v>420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</row>
    <row r="6" spans="2:16" s="6" customFormat="1" ht="15"/>
    <row r="7" spans="2:16" s="6" customFormat="1" ht="12.75" customHeight="1">
      <c r="B7" s="226" t="s">
        <v>186</v>
      </c>
      <c r="C7" s="229" t="s">
        <v>18</v>
      </c>
      <c r="D7" s="223" t="s">
        <v>39</v>
      </c>
      <c r="E7" s="229" t="s">
        <v>1</v>
      </c>
      <c r="F7" s="233" t="s">
        <v>382</v>
      </c>
      <c r="G7" s="234"/>
      <c r="H7" s="235"/>
      <c r="I7" s="233" t="s">
        <v>383</v>
      </c>
      <c r="J7" s="234"/>
      <c r="K7" s="231" t="s">
        <v>225</v>
      </c>
      <c r="L7" s="231"/>
      <c r="M7" s="231"/>
      <c r="N7" s="231"/>
      <c r="O7" s="231"/>
      <c r="P7" s="231" t="s">
        <v>11</v>
      </c>
    </row>
    <row r="8" spans="2:16" s="6" customFormat="1" ht="30" customHeight="1">
      <c r="B8" s="227"/>
      <c r="C8" s="229"/>
      <c r="D8" s="224"/>
      <c r="E8" s="229"/>
      <c r="F8" s="200" t="s">
        <v>328</v>
      </c>
      <c r="G8" s="200" t="s">
        <v>233</v>
      </c>
      <c r="H8" s="200" t="s">
        <v>201</v>
      </c>
      <c r="I8" s="200" t="s">
        <v>328</v>
      </c>
      <c r="J8" s="200" t="s">
        <v>237</v>
      </c>
      <c r="K8" s="200" t="s">
        <v>384</v>
      </c>
      <c r="L8" s="200" t="s">
        <v>385</v>
      </c>
      <c r="M8" s="200" t="s">
        <v>386</v>
      </c>
      <c r="N8" s="200" t="s">
        <v>387</v>
      </c>
      <c r="O8" s="200" t="s">
        <v>388</v>
      </c>
      <c r="P8" s="231"/>
    </row>
    <row r="9" spans="2:16" s="6" customFormat="1" ht="31.5">
      <c r="B9" s="228"/>
      <c r="C9" s="230"/>
      <c r="D9" s="225"/>
      <c r="E9" s="230"/>
      <c r="F9" s="200" t="s">
        <v>10</v>
      </c>
      <c r="G9" s="200" t="s">
        <v>12</v>
      </c>
      <c r="H9" s="200" t="s">
        <v>234</v>
      </c>
      <c r="I9" s="200" t="s">
        <v>10</v>
      </c>
      <c r="J9" s="200" t="s">
        <v>5</v>
      </c>
      <c r="K9" s="200" t="s">
        <v>8</v>
      </c>
      <c r="L9" s="200" t="s">
        <v>8</v>
      </c>
      <c r="M9" s="200" t="s">
        <v>8</v>
      </c>
      <c r="N9" s="200" t="s">
        <v>8</v>
      </c>
      <c r="O9" s="200" t="s">
        <v>8</v>
      </c>
      <c r="P9" s="232"/>
    </row>
    <row r="10" spans="2:16" s="6" customFormat="1" ht="15.75">
      <c r="B10" s="201" t="s">
        <v>55</v>
      </c>
      <c r="C10" s="202" t="s">
        <v>240</v>
      </c>
      <c r="D10" s="203"/>
      <c r="E10" s="203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4"/>
    </row>
    <row r="11" spans="2:16" s="6" customFormat="1" ht="15.75">
      <c r="B11" s="8">
        <v>1</v>
      </c>
      <c r="C11" s="9" t="s">
        <v>36</v>
      </c>
      <c r="D11" s="8" t="s">
        <v>198</v>
      </c>
      <c r="E11" s="205" t="s">
        <v>275</v>
      </c>
      <c r="F11" s="206">
        <f>'F2'!E14*0.99</f>
        <v>29.531699999999997</v>
      </c>
      <c r="G11" s="206">
        <f>'F2'!F14</f>
        <v>42.16076253909376</v>
      </c>
      <c r="H11" s="206">
        <f>'F2'!G14</f>
        <v>42.16076253909376</v>
      </c>
      <c r="I11" s="206">
        <f>'F2'!H14</f>
        <v>31.248359999999998</v>
      </c>
      <c r="J11" s="206">
        <f>'F2'!I14</f>
        <v>45.553481319669274</v>
      </c>
      <c r="K11" s="206">
        <f>'F2'!J14</f>
        <v>41.688492089626209</v>
      </c>
      <c r="L11" s="206">
        <f>'F2'!K14</f>
        <v>44.112526858411925</v>
      </c>
      <c r="M11" s="206">
        <f>'F2'!L14</f>
        <v>46.54936750238835</v>
      </c>
      <c r="N11" s="206">
        <f>'F2'!M14</f>
        <v>49.018679139046796</v>
      </c>
      <c r="O11" s="206">
        <f>'F2'!N14</f>
        <v>51.630691958362007</v>
      </c>
      <c r="P11" s="207"/>
    </row>
    <row r="12" spans="2:16" s="6" customFormat="1" ht="15.75">
      <c r="B12" s="8">
        <f t="shared" ref="B12:B17" si="0">B11+1</f>
        <v>2</v>
      </c>
      <c r="C12" s="11" t="s">
        <v>157</v>
      </c>
      <c r="D12" s="8" t="s">
        <v>198</v>
      </c>
      <c r="E12" s="205" t="s">
        <v>23</v>
      </c>
      <c r="F12" s="208">
        <v>11.24</v>
      </c>
      <c r="G12" s="208">
        <f>H12</f>
        <v>19.243307118255153</v>
      </c>
      <c r="H12" s="206">
        <f>'F4'!K21-'F4'!L21</f>
        <v>19.243307118255153</v>
      </c>
      <c r="I12" s="207">
        <v>10.894</v>
      </c>
      <c r="J12" s="206">
        <f>'F4'!K38-'F4'!L38</f>
        <v>19.247272000633902</v>
      </c>
      <c r="K12" s="206">
        <f>'F4'!K47-'F4'!L47</f>
        <v>8.6198197085179693</v>
      </c>
      <c r="L12" s="206">
        <f>'F4'!K56-'F4'!L56</f>
        <v>9.3714560721543343</v>
      </c>
      <c r="M12" s="206">
        <f>'F4'!K65-'F4'!L65</f>
        <v>9.7370810721543339</v>
      </c>
      <c r="N12" s="206">
        <f>'F4'!K74-'F4'!L74</f>
        <v>9.7370810721543339</v>
      </c>
      <c r="O12" s="206">
        <f>'F4'!K83-'F4'!L83</f>
        <v>9.7370810721543339</v>
      </c>
      <c r="P12" s="207"/>
    </row>
    <row r="13" spans="2:16" s="6" customFormat="1" ht="15.75">
      <c r="B13" s="8">
        <f t="shared" si="0"/>
        <v>3</v>
      </c>
      <c r="C13" s="9" t="s">
        <v>238</v>
      </c>
      <c r="D13" s="8" t="s">
        <v>198</v>
      </c>
      <c r="E13" s="10" t="s">
        <v>29</v>
      </c>
      <c r="F13" s="206">
        <f>'F5'!D22</f>
        <v>22.4</v>
      </c>
      <c r="G13" s="206">
        <f>'F5'!E22</f>
        <v>24.68393259416013</v>
      </c>
      <c r="H13" s="206">
        <f>'F5'!F22</f>
        <v>24.68393259416013</v>
      </c>
      <c r="I13" s="206">
        <f>'F5'!G22</f>
        <v>21.673999999999999</v>
      </c>
      <c r="J13" s="206">
        <f>'F5'!J22</f>
        <v>22.654270799059589</v>
      </c>
      <c r="K13" s="206">
        <f>'F5'!K22</f>
        <v>22.203403048395568</v>
      </c>
      <c r="L13" s="206">
        <f>'F5'!L22</f>
        <v>22.752561287176071</v>
      </c>
      <c r="M13" s="206">
        <f>'F5'!M22</f>
        <v>22.224110525956579</v>
      </c>
      <c r="N13" s="206">
        <f>'F5'!N22</f>
        <v>21.195874764737081</v>
      </c>
      <c r="O13" s="206">
        <f>'F5'!O22</f>
        <v>20.167639003517586</v>
      </c>
      <c r="P13" s="207"/>
    </row>
    <row r="14" spans="2:16" s="6" customFormat="1" ht="15.75">
      <c r="B14" s="8">
        <f t="shared" si="0"/>
        <v>4</v>
      </c>
      <c r="C14" s="11" t="s">
        <v>37</v>
      </c>
      <c r="D14" s="8" t="s">
        <v>198</v>
      </c>
      <c r="E14" s="10" t="s">
        <v>30</v>
      </c>
      <c r="F14" s="206">
        <f>'F6'!D20</f>
        <v>1.99</v>
      </c>
      <c r="G14" s="206">
        <f ca="1">'F6'!E20</f>
        <v>2.7855953677964962</v>
      </c>
      <c r="H14" s="206">
        <f ca="1">'F6'!F20</f>
        <v>2.7855953677964962</v>
      </c>
      <c r="I14" s="206">
        <f>'F6'!G20</f>
        <v>2.09</v>
      </c>
      <c r="J14" s="206">
        <f ca="1">'F6'!H20</f>
        <v>3.0822416569319406</v>
      </c>
      <c r="K14" s="206">
        <f ca="1">'F6'!I20</f>
        <v>2.1100420556382451</v>
      </c>
      <c r="L14" s="206">
        <f ca="1">'F6'!J20</f>
        <v>2.2233347911571775</v>
      </c>
      <c r="M14" s="206">
        <f ca="1">'F6'!K20</f>
        <v>2.2918353629113395</v>
      </c>
      <c r="N14" s="206">
        <f ca="1">'F6'!L20</f>
        <v>2.33124801104747</v>
      </c>
      <c r="O14" s="206">
        <f ca="1">'F6'!M20</f>
        <v>2.3736913176947634</v>
      </c>
      <c r="P14" s="207"/>
    </row>
    <row r="15" spans="2:16" s="6" customFormat="1" ht="15.75">
      <c r="B15" s="8">
        <f t="shared" si="0"/>
        <v>5</v>
      </c>
      <c r="C15" s="9" t="s">
        <v>239</v>
      </c>
      <c r="D15" s="8" t="s">
        <v>198</v>
      </c>
      <c r="E15" s="10" t="s">
        <v>31</v>
      </c>
      <c r="F15" s="206">
        <f>'F7'!D22</f>
        <v>26.61</v>
      </c>
      <c r="G15" s="206">
        <f>'F7'!E22</f>
        <v>29.151887863876084</v>
      </c>
      <c r="H15" s="206">
        <f>'F7'!F22</f>
        <v>29.151887863876084</v>
      </c>
      <c r="I15" s="206">
        <f>'F7'!G22</f>
        <v>26.97</v>
      </c>
      <c r="J15" s="206">
        <f>'F7'!H22</f>
        <v>29.154625669736209</v>
      </c>
      <c r="K15" s="206">
        <f>'F7'!I22</f>
        <v>30.067470442026135</v>
      </c>
      <c r="L15" s="206">
        <f>'F7'!J22</f>
        <v>31.408955368260902</v>
      </c>
      <c r="M15" s="206">
        <f>'F7'!K22</f>
        <v>31.838918485643845</v>
      </c>
      <c r="N15" s="206">
        <f>'F7'!L22</f>
        <v>31.838918485643845</v>
      </c>
      <c r="O15" s="206">
        <f>'F7'!M22</f>
        <v>31.838918485643845</v>
      </c>
      <c r="P15" s="207"/>
    </row>
    <row r="16" spans="2:16" s="6" customFormat="1" ht="15.75">
      <c r="B16" s="8">
        <f t="shared" si="0"/>
        <v>6</v>
      </c>
      <c r="C16" s="9" t="s">
        <v>38</v>
      </c>
      <c r="D16" s="8" t="s">
        <v>198</v>
      </c>
      <c r="E16" s="10" t="s">
        <v>32</v>
      </c>
      <c r="F16" s="206"/>
      <c r="G16" s="206">
        <f>'F8'!E22</f>
        <v>0.68687087263611546</v>
      </c>
      <c r="H16" s="206">
        <f>'F8'!F22</f>
        <v>0.68687087263611546</v>
      </c>
      <c r="I16" s="206"/>
      <c r="J16" s="206">
        <f>'F8'!H22</f>
        <v>0.12176333907412148</v>
      </c>
      <c r="K16" s="206">
        <f>'F8'!I22</f>
        <v>0.50199928922748371</v>
      </c>
      <c r="L16" s="206">
        <f>'F8'!J22</f>
        <v>0.52207926079658296</v>
      </c>
      <c r="M16" s="206">
        <f>'F8'!K22</f>
        <v>0.54296243122844634</v>
      </c>
      <c r="N16" s="206">
        <f>'F8'!L22</f>
        <v>0.56468092847758422</v>
      </c>
      <c r="O16" s="206">
        <f>'F8'!M22</f>
        <v>0.5872681656166876</v>
      </c>
      <c r="P16" s="207"/>
    </row>
    <row r="17" spans="2:16" s="6" customFormat="1" ht="15.75">
      <c r="B17" s="18">
        <f t="shared" si="0"/>
        <v>7</v>
      </c>
      <c r="C17" s="209" t="s">
        <v>240</v>
      </c>
      <c r="D17" s="18" t="s">
        <v>198</v>
      </c>
      <c r="E17" s="10"/>
      <c r="F17" s="206">
        <f>SUM(F11:F15)-F16</f>
        <v>91.771699999999996</v>
      </c>
      <c r="G17" s="206">
        <f t="shared" ref="G17:O17" ca="1" si="1">SUM(G11:G15)-G16</f>
        <v>117.33861461054551</v>
      </c>
      <c r="H17" s="206">
        <f t="shared" ca="1" si="1"/>
        <v>117.33861461054551</v>
      </c>
      <c r="I17" s="206">
        <f t="shared" si="1"/>
        <v>92.876359999999991</v>
      </c>
      <c r="J17" s="206">
        <f t="shared" ca="1" si="1"/>
        <v>119.57012810695679</v>
      </c>
      <c r="K17" s="206">
        <f t="shared" ca="1" si="1"/>
        <v>104.18722805497664</v>
      </c>
      <c r="L17" s="206">
        <f t="shared" ca="1" si="1"/>
        <v>109.34675511636382</v>
      </c>
      <c r="M17" s="206">
        <f t="shared" ca="1" si="1"/>
        <v>112.09835051782601</v>
      </c>
      <c r="N17" s="206">
        <f t="shared" ca="1" si="1"/>
        <v>113.55712054415193</v>
      </c>
      <c r="O17" s="206">
        <f t="shared" ca="1" si="1"/>
        <v>115.16075367175584</v>
      </c>
      <c r="P17" s="207"/>
    </row>
    <row r="18" spans="2:16" s="6" customFormat="1" ht="15.75">
      <c r="B18" s="18" t="s">
        <v>59</v>
      </c>
      <c r="C18" s="18" t="s">
        <v>241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2:16" s="6" customFormat="1" ht="15.75">
      <c r="B19" s="8">
        <v>1</v>
      </c>
      <c r="C19" s="10" t="s">
        <v>242</v>
      </c>
      <c r="D19" s="8" t="s">
        <v>197</v>
      </c>
      <c r="E19" s="10" t="s">
        <v>153</v>
      </c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9"/>
    </row>
    <row r="20" spans="2:16" s="6" customFormat="1" ht="15.75">
      <c r="B20" s="8">
        <f>B19+1</f>
        <v>2</v>
      </c>
      <c r="C20" s="10" t="s">
        <v>243</v>
      </c>
      <c r="D20" s="8" t="s">
        <v>42</v>
      </c>
      <c r="E20" s="10" t="s">
        <v>34</v>
      </c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9"/>
    </row>
    <row r="21" spans="2:16" s="6" customFormat="1" ht="15.75">
      <c r="B21" s="8">
        <f>B20+1</f>
        <v>3</v>
      </c>
      <c r="C21" s="10" t="s">
        <v>241</v>
      </c>
      <c r="D21" s="8" t="s">
        <v>198</v>
      </c>
      <c r="E21" s="10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9"/>
    </row>
    <row r="22" spans="2:16" s="6" customFormat="1" ht="15.75">
      <c r="B22" s="18" t="s">
        <v>60</v>
      </c>
      <c r="C22" s="18" t="s">
        <v>364</v>
      </c>
      <c r="D22" s="8" t="s">
        <v>198</v>
      </c>
      <c r="E22" s="9"/>
      <c r="F22" s="206">
        <f>F17+F21</f>
        <v>91.771699999999996</v>
      </c>
      <c r="G22" s="206">
        <f t="shared" ref="G22:O22" ca="1" si="2">G17+G21</f>
        <v>117.33861461054551</v>
      </c>
      <c r="H22" s="206">
        <f t="shared" ca="1" si="2"/>
        <v>117.33861461054551</v>
      </c>
      <c r="I22" s="206">
        <f t="shared" si="2"/>
        <v>92.876359999999991</v>
      </c>
      <c r="J22" s="206">
        <f t="shared" ca="1" si="2"/>
        <v>119.57012810695679</v>
      </c>
      <c r="K22" s="206">
        <f t="shared" ca="1" si="2"/>
        <v>104.18722805497664</v>
      </c>
      <c r="L22" s="206">
        <f t="shared" ca="1" si="2"/>
        <v>109.34675511636382</v>
      </c>
      <c r="M22" s="206">
        <f t="shared" ca="1" si="2"/>
        <v>112.09835051782601</v>
      </c>
      <c r="N22" s="206">
        <f t="shared" ca="1" si="2"/>
        <v>113.55712054415193</v>
      </c>
      <c r="O22" s="206">
        <f t="shared" ca="1" si="2"/>
        <v>115.16075367175584</v>
      </c>
      <c r="P22" s="9"/>
    </row>
    <row r="23" spans="2:16" hidden="1">
      <c r="F23" s="214">
        <f>F17+F16</f>
        <v>91.771699999999996</v>
      </c>
      <c r="G23" s="214">
        <f t="shared" ref="G23:O23" ca="1" si="3">G17+G16</f>
        <v>118.02548548318163</v>
      </c>
      <c r="H23" s="214">
        <f t="shared" ca="1" si="3"/>
        <v>118.02548548318163</v>
      </c>
      <c r="I23" s="214">
        <f t="shared" si="3"/>
        <v>92.876359999999991</v>
      </c>
      <c r="J23" s="214">
        <f t="shared" ca="1" si="3"/>
        <v>119.69189144603091</v>
      </c>
      <c r="K23" s="214">
        <f t="shared" ca="1" si="3"/>
        <v>104.68922734420413</v>
      </c>
      <c r="L23" s="214">
        <f t="shared" ca="1" si="3"/>
        <v>109.86883437716041</v>
      </c>
      <c r="M23" s="214">
        <f t="shared" ca="1" si="3"/>
        <v>112.64131294905445</v>
      </c>
      <c r="N23" s="214">
        <f t="shared" ca="1" si="3"/>
        <v>114.12180147262951</v>
      </c>
      <c r="O23" s="214">
        <f t="shared" ca="1" si="3"/>
        <v>115.74802183737253</v>
      </c>
    </row>
    <row r="24" spans="2:16">
      <c r="G24" s="217"/>
    </row>
  </sheetData>
  <mergeCells count="11">
    <mergeCell ref="B3:P3"/>
    <mergeCell ref="B4:P4"/>
    <mergeCell ref="B5:P5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8"/>
  <sheetViews>
    <sheetView showGridLines="0" zoomScale="80" zoomScaleNormal="80" zoomScaleSheetLayoutView="80" workbookViewId="0">
      <selection activeCell="E31" sqref="E31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39"/>
      <c r="D1" s="39"/>
      <c r="E1" s="39"/>
      <c r="F1" s="39"/>
      <c r="G1" s="39"/>
      <c r="I1" s="36"/>
      <c r="J1" s="39"/>
    </row>
    <row r="2" spans="2:14" ht="15">
      <c r="C2" s="39"/>
      <c r="D2" s="39"/>
      <c r="E2" s="39"/>
      <c r="F2" s="39"/>
      <c r="G2" s="39"/>
      <c r="H2" s="36" t="s">
        <v>411</v>
      </c>
      <c r="I2" s="36"/>
      <c r="J2" s="39"/>
    </row>
    <row r="3" spans="2:14" ht="15">
      <c r="C3" s="35"/>
      <c r="D3" s="35"/>
      <c r="E3" s="35"/>
      <c r="F3" s="35"/>
      <c r="G3" s="35"/>
      <c r="H3" s="36" t="s">
        <v>381</v>
      </c>
      <c r="I3" s="38"/>
      <c r="J3" s="35"/>
    </row>
    <row r="4" spans="2:14" ht="15">
      <c r="B4" s="38"/>
      <c r="C4" s="38"/>
      <c r="D4" s="38"/>
      <c r="E4" s="38"/>
      <c r="F4" s="38"/>
      <c r="G4" s="38"/>
      <c r="H4" s="38" t="s">
        <v>336</v>
      </c>
      <c r="I4" s="38"/>
      <c r="J4" s="38"/>
    </row>
    <row r="5" spans="2:14" ht="15">
      <c r="B5" s="38"/>
      <c r="C5" s="38"/>
      <c r="D5" s="38"/>
      <c r="E5" s="38"/>
      <c r="F5" s="38"/>
      <c r="G5" s="38"/>
      <c r="H5" s="38"/>
      <c r="I5" s="38"/>
      <c r="J5" s="38"/>
    </row>
    <row r="6" spans="2:14" ht="15">
      <c r="B6" s="242" t="s">
        <v>56</v>
      </c>
      <c r="C6" s="242"/>
      <c r="D6" s="242"/>
      <c r="E6" s="242"/>
      <c r="F6" s="242"/>
      <c r="G6" s="242"/>
      <c r="H6" s="242"/>
      <c r="I6" s="242"/>
      <c r="J6" s="242"/>
    </row>
    <row r="7" spans="2:14" ht="15">
      <c r="N7" s="28" t="s">
        <v>4</v>
      </c>
    </row>
    <row r="8" spans="2:14" ht="15" customHeight="1">
      <c r="B8" s="243" t="s">
        <v>186</v>
      </c>
      <c r="C8" s="243" t="s">
        <v>18</v>
      </c>
      <c r="D8" s="239" t="s">
        <v>1</v>
      </c>
      <c r="E8" s="236" t="s">
        <v>382</v>
      </c>
      <c r="F8" s="237"/>
      <c r="G8" s="238"/>
      <c r="H8" s="236" t="s">
        <v>383</v>
      </c>
      <c r="I8" s="237"/>
      <c r="J8" s="244" t="s">
        <v>225</v>
      </c>
      <c r="K8" s="244"/>
      <c r="L8" s="244"/>
      <c r="M8" s="244"/>
      <c r="N8" s="244"/>
    </row>
    <row r="9" spans="2:14" ht="30">
      <c r="B9" s="243"/>
      <c r="C9" s="243"/>
      <c r="D9" s="240"/>
      <c r="E9" s="21" t="s">
        <v>328</v>
      </c>
      <c r="F9" s="21" t="s">
        <v>233</v>
      </c>
      <c r="G9" s="21" t="s">
        <v>201</v>
      </c>
      <c r="H9" s="21" t="s">
        <v>328</v>
      </c>
      <c r="I9" s="21" t="s">
        <v>237</v>
      </c>
      <c r="J9" s="21" t="s">
        <v>384</v>
      </c>
      <c r="K9" s="21" t="s">
        <v>385</v>
      </c>
      <c r="L9" s="21" t="s">
        <v>386</v>
      </c>
      <c r="M9" s="21" t="s">
        <v>387</v>
      </c>
      <c r="N9" s="21" t="s">
        <v>388</v>
      </c>
    </row>
    <row r="10" spans="2:14" ht="15">
      <c r="B10" s="243"/>
      <c r="C10" s="243"/>
      <c r="D10" s="241"/>
      <c r="E10" s="21" t="s">
        <v>10</v>
      </c>
      <c r="F10" s="195" t="s">
        <v>12</v>
      </c>
      <c r="G10" s="195" t="s">
        <v>234</v>
      </c>
      <c r="H10" s="195" t="s">
        <v>10</v>
      </c>
      <c r="I10" s="195" t="s">
        <v>5</v>
      </c>
      <c r="J10" s="195" t="s">
        <v>8</v>
      </c>
      <c r="K10" s="195" t="s">
        <v>8</v>
      </c>
      <c r="L10" s="195" t="s">
        <v>8</v>
      </c>
      <c r="M10" s="195" t="s">
        <v>8</v>
      </c>
      <c r="N10" s="195" t="s">
        <v>8</v>
      </c>
    </row>
    <row r="11" spans="2:14">
      <c r="B11" s="23">
        <v>1</v>
      </c>
      <c r="C11" s="31" t="s">
        <v>57</v>
      </c>
      <c r="D11" s="31" t="s">
        <v>24</v>
      </c>
      <c r="E11" s="166">
        <v>28.45</v>
      </c>
      <c r="F11" s="196">
        <f>F2.1!G36</f>
        <v>37.590021297729635</v>
      </c>
      <c r="G11" s="196">
        <f>F11</f>
        <v>37.590021297729635</v>
      </c>
      <c r="H11" s="166">
        <v>30.164000000000001</v>
      </c>
      <c r="I11" s="196">
        <f>F2.1!H36</f>
        <v>40.882891459737905</v>
      </c>
      <c r="J11" s="196">
        <f>F2.1!I36</f>
        <v>37.146354599517352</v>
      </c>
      <c r="K11" s="196">
        <f>F2.1!J36</f>
        <v>39.300843166289361</v>
      </c>
      <c r="L11" s="196">
        <f>F2.1!K36</f>
        <v>41.580292069934146</v>
      </c>
      <c r="M11" s="196">
        <f>F2.1!L36</f>
        <v>43.991949009990329</v>
      </c>
      <c r="N11" s="196">
        <f>F2.1!M36</f>
        <v>46.543482052569772</v>
      </c>
    </row>
    <row r="12" spans="2:14">
      <c r="B12" s="23">
        <f>B11+1</f>
        <v>2</v>
      </c>
      <c r="C12" s="40" t="s">
        <v>246</v>
      </c>
      <c r="D12" s="40" t="s">
        <v>25</v>
      </c>
      <c r="E12" s="173">
        <v>0.56999999999999995</v>
      </c>
      <c r="F12" s="197">
        <f>F2.2!G40</f>
        <v>0.98207352462597364</v>
      </c>
      <c r="G12" s="196">
        <f>F12</f>
        <v>0.98207352462597364</v>
      </c>
      <c r="H12" s="166">
        <v>0.57999999999999996</v>
      </c>
      <c r="I12" s="196">
        <f>F2.2!H40</f>
        <v>0.93030454987126487</v>
      </c>
      <c r="J12" s="196">
        <f>F2.2!I40</f>
        <v>1.0692706215921495</v>
      </c>
      <c r="K12" s="196">
        <f>F2.2!J40</f>
        <v>1.1216648820501647</v>
      </c>
      <c r="L12" s="196">
        <f>F2.2!K40</f>
        <v>1.1766264612706228</v>
      </c>
      <c r="M12" s="196">
        <f>F2.2!L40</f>
        <v>1.2342811578728832</v>
      </c>
      <c r="N12" s="196">
        <f>F2.2!M40</f>
        <v>1.2947609346086544</v>
      </c>
    </row>
    <row r="13" spans="2:14">
      <c r="B13" s="23">
        <f>B12+1</f>
        <v>3</v>
      </c>
      <c r="C13" s="31" t="s">
        <v>203</v>
      </c>
      <c r="D13" s="31" t="s">
        <v>276</v>
      </c>
      <c r="E13" s="166">
        <v>0.81</v>
      </c>
      <c r="F13" s="196">
        <f>F2.3!G18</f>
        <v>3.5886677167381511</v>
      </c>
      <c r="G13" s="196">
        <f>F13</f>
        <v>3.5886677167381511</v>
      </c>
      <c r="H13" s="166">
        <v>0.82</v>
      </c>
      <c r="I13" s="196">
        <f>F2.3!H18</f>
        <v>3.7402853100600995</v>
      </c>
      <c r="J13" s="196">
        <f>F2.3!I18</f>
        <v>3.4728668685167134</v>
      </c>
      <c r="K13" s="196">
        <f>F2.3!J18</f>
        <v>3.6900188100724041</v>
      </c>
      <c r="L13" s="196">
        <f>F2.3!K18</f>
        <v>3.7924489711835787</v>
      </c>
      <c r="M13" s="196">
        <f>F2.3!L18</f>
        <v>3.7924489711835787</v>
      </c>
      <c r="N13" s="196">
        <f>F2.3!M18</f>
        <v>3.7924489711835787</v>
      </c>
    </row>
    <row r="14" spans="2:14" ht="15">
      <c r="B14" s="23">
        <f>B13+1</f>
        <v>4</v>
      </c>
      <c r="C14" s="31" t="s">
        <v>58</v>
      </c>
      <c r="D14" s="31"/>
      <c r="E14" s="198">
        <f>SUM(E11:E13)</f>
        <v>29.83</v>
      </c>
      <c r="F14" s="198">
        <f t="shared" ref="F14:I14" si="0">SUM(F11:F13)</f>
        <v>42.16076253909376</v>
      </c>
      <c r="G14" s="198">
        <f>SUM(G11:G13)</f>
        <v>42.16076253909376</v>
      </c>
      <c r="H14" s="198">
        <f>SUM(H11:H13)*0.99</f>
        <v>31.248359999999998</v>
      </c>
      <c r="I14" s="198">
        <f t="shared" si="0"/>
        <v>45.553481319669274</v>
      </c>
      <c r="J14" s="198">
        <f>SUM(J11:J13)</f>
        <v>41.688492089626209</v>
      </c>
      <c r="K14" s="198">
        <f t="shared" ref="K14:N14" si="1">SUM(K11:K13)</f>
        <v>44.112526858411925</v>
      </c>
      <c r="L14" s="198">
        <f t="shared" si="1"/>
        <v>46.54936750238835</v>
      </c>
      <c r="M14" s="198">
        <f t="shared" si="1"/>
        <v>49.018679139046796</v>
      </c>
      <c r="N14" s="198">
        <f t="shared" si="1"/>
        <v>51.630691958362007</v>
      </c>
    </row>
    <row r="15" spans="2:14">
      <c r="B15" s="52" t="s">
        <v>247</v>
      </c>
      <c r="C15" s="53"/>
      <c r="D15" s="50"/>
      <c r="E15" s="50"/>
      <c r="F15" s="50"/>
      <c r="G15" s="51"/>
      <c r="H15" s="51"/>
      <c r="I15" s="51"/>
      <c r="J15" s="51"/>
      <c r="K15" s="51"/>
      <c r="L15" s="51"/>
      <c r="M15" s="51"/>
      <c r="N15" s="51"/>
    </row>
    <row r="16" spans="2:14">
      <c r="B16" s="54">
        <v>1</v>
      </c>
      <c r="C16" s="53" t="s">
        <v>248</v>
      </c>
    </row>
    <row r="18" spans="2:2">
      <c r="B18" s="37"/>
    </row>
  </sheetData>
  <mergeCells count="7">
    <mergeCell ref="E8:G8"/>
    <mergeCell ref="D8:D10"/>
    <mergeCell ref="B6:J6"/>
    <mergeCell ref="B8:B10"/>
    <mergeCell ref="C8:C10"/>
    <mergeCell ref="J8:N8"/>
    <mergeCell ref="H8:I8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M39"/>
  <sheetViews>
    <sheetView showGridLines="0" zoomScale="80" zoomScaleNormal="80" zoomScaleSheetLayoutView="70" workbookViewId="0">
      <selection activeCell="E31" sqref="E31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8.28515625" style="19" customWidth="1"/>
    <col min="4" max="4" width="14" style="19" customWidth="1"/>
    <col min="5" max="5" width="13.7109375" style="19" customWidth="1"/>
    <col min="6" max="6" width="14.140625" style="19" customWidth="1"/>
    <col min="7" max="7" width="16" style="19" customWidth="1"/>
    <col min="8" max="8" width="18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2:13" ht="15">
      <c r="B3" s="250" t="s">
        <v>417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 s="4" customFormat="1" ht="15.75">
      <c r="B4" s="222" t="s">
        <v>421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2:13" s="4" customFormat="1" ht="15">
      <c r="C5" s="43"/>
      <c r="D5" s="43"/>
      <c r="E5" s="43"/>
      <c r="F5" s="43"/>
      <c r="G5" s="44"/>
      <c r="H5" s="44"/>
    </row>
    <row r="6" spans="2:13" ht="15">
      <c r="M6" s="28" t="s">
        <v>4</v>
      </c>
    </row>
    <row r="7" spans="2:13" ht="12.75" customHeight="1">
      <c r="B7" s="248" t="s">
        <v>2</v>
      </c>
      <c r="C7" s="248" t="s">
        <v>18</v>
      </c>
      <c r="D7" s="21" t="s">
        <v>389</v>
      </c>
      <c r="E7" s="21" t="s">
        <v>390</v>
      </c>
      <c r="F7" s="21" t="s">
        <v>391</v>
      </c>
      <c r="G7" s="21" t="s">
        <v>382</v>
      </c>
      <c r="H7" s="192" t="s">
        <v>383</v>
      </c>
      <c r="I7" s="245" t="s">
        <v>225</v>
      </c>
      <c r="J7" s="246"/>
      <c r="K7" s="246"/>
      <c r="L7" s="246"/>
      <c r="M7" s="247"/>
    </row>
    <row r="8" spans="2:13" ht="15">
      <c r="B8" s="248"/>
      <c r="C8" s="248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ht="15">
      <c r="B9" s="249"/>
      <c r="C9" s="24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413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5" t="s">
        <v>61</v>
      </c>
      <c r="D10" s="165"/>
      <c r="E10" s="165"/>
      <c r="F10" s="165"/>
      <c r="G10" s="162">
        <v>19.327832737541826</v>
      </c>
      <c r="H10" s="211">
        <v>19.765313729679306</v>
      </c>
      <c r="I10" s="3"/>
      <c r="J10" s="3"/>
      <c r="K10" s="3"/>
      <c r="L10" s="3"/>
      <c r="M10" s="3"/>
    </row>
    <row r="11" spans="2:13">
      <c r="B11" s="2">
        <v>2</v>
      </c>
      <c r="C11" s="45" t="s">
        <v>62</v>
      </c>
      <c r="D11" s="165"/>
      <c r="E11" s="165"/>
      <c r="F11" s="165"/>
      <c r="G11" s="162">
        <v>0.67705628354463165</v>
      </c>
      <c r="H11" s="211">
        <v>1.7193553413630018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62"/>
      <c r="E12" s="162"/>
      <c r="F12" s="162"/>
      <c r="G12" s="162">
        <v>1.9227082197378531</v>
      </c>
      <c r="H12" s="211">
        <v>1.9491047707071636</v>
      </c>
      <c r="I12" s="3"/>
      <c r="J12" s="3"/>
      <c r="K12" s="3"/>
      <c r="L12" s="3"/>
      <c r="M12" s="3"/>
    </row>
    <row r="13" spans="2:13">
      <c r="B13" s="2">
        <v>4</v>
      </c>
      <c r="C13" s="45" t="s">
        <v>64</v>
      </c>
      <c r="D13" s="165"/>
      <c r="E13" s="165"/>
      <c r="F13" s="165"/>
      <c r="G13" s="162">
        <v>0.10574420264906789</v>
      </c>
      <c r="H13" s="211">
        <v>0.11027067623904052</v>
      </c>
      <c r="I13" s="3"/>
      <c r="J13" s="3"/>
      <c r="K13" s="3"/>
      <c r="L13" s="3"/>
      <c r="M13" s="3"/>
    </row>
    <row r="14" spans="2:13">
      <c r="B14" s="2">
        <v>5</v>
      </c>
      <c r="C14" s="45" t="s">
        <v>65</v>
      </c>
      <c r="D14" s="165"/>
      <c r="E14" s="165"/>
      <c r="F14" s="165"/>
      <c r="G14" s="162">
        <v>5.4381447273063699E-5</v>
      </c>
      <c r="H14" s="211">
        <v>8.6022765471237853E-5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62"/>
      <c r="E15" s="162"/>
      <c r="F15" s="162"/>
      <c r="G15" s="162">
        <v>4.7395451499946031</v>
      </c>
      <c r="H15" s="211">
        <v>3.9602794084989652</v>
      </c>
      <c r="I15" s="3"/>
      <c r="J15" s="3"/>
      <c r="K15" s="3"/>
      <c r="L15" s="3"/>
      <c r="M15" s="3"/>
    </row>
    <row r="16" spans="2:13">
      <c r="B16" s="2">
        <v>7</v>
      </c>
      <c r="C16" s="45" t="s">
        <v>67</v>
      </c>
      <c r="D16" s="165"/>
      <c r="E16" s="165"/>
      <c r="F16" s="165"/>
      <c r="G16" s="162">
        <v>3.9526225256015755</v>
      </c>
      <c r="H16" s="211">
        <v>3.5602677466233672</v>
      </c>
      <c r="I16" s="3"/>
      <c r="J16" s="3"/>
      <c r="K16" s="3"/>
      <c r="L16" s="3"/>
      <c r="M16" s="3"/>
    </row>
    <row r="17" spans="2:13">
      <c r="B17" s="2">
        <v>8</v>
      </c>
      <c r="C17" s="45" t="s">
        <v>68</v>
      </c>
      <c r="D17" s="165"/>
      <c r="E17" s="165"/>
      <c r="F17" s="165"/>
      <c r="G17" s="162">
        <v>0.6589297475829955</v>
      </c>
      <c r="H17" s="211">
        <v>0.17354955822896845</v>
      </c>
      <c r="I17" s="3"/>
      <c r="J17" s="3"/>
      <c r="K17" s="3"/>
      <c r="L17" s="3"/>
      <c r="M17" s="3"/>
    </row>
    <row r="18" spans="2:13">
      <c r="B18" s="2">
        <v>9</v>
      </c>
      <c r="C18" s="45" t="s">
        <v>69</v>
      </c>
      <c r="D18" s="165"/>
      <c r="E18" s="165"/>
      <c r="F18" s="165"/>
      <c r="G18" s="162">
        <v>0</v>
      </c>
      <c r="H18" s="211">
        <v>0</v>
      </c>
      <c r="I18" s="3"/>
      <c r="J18" s="3"/>
      <c r="K18" s="3"/>
      <c r="L18" s="3"/>
      <c r="M18" s="3"/>
    </row>
    <row r="19" spans="2:13">
      <c r="B19" s="2">
        <v>10</v>
      </c>
      <c r="C19" s="45" t="s">
        <v>70</v>
      </c>
      <c r="D19" s="165"/>
      <c r="E19" s="165"/>
      <c r="F19" s="165"/>
      <c r="G19" s="165">
        <v>0</v>
      </c>
      <c r="H19" s="211">
        <v>0</v>
      </c>
      <c r="I19" s="3"/>
      <c r="J19" s="3"/>
      <c r="K19" s="3"/>
      <c r="L19" s="3"/>
      <c r="M19" s="3"/>
    </row>
    <row r="20" spans="2:13">
      <c r="B20" s="2">
        <v>11</v>
      </c>
      <c r="C20" s="45" t="s">
        <v>71</v>
      </c>
      <c r="D20" s="165"/>
      <c r="E20" s="165"/>
      <c r="F20" s="165"/>
      <c r="G20" s="165">
        <v>0</v>
      </c>
      <c r="H20" s="211">
        <v>2.0108122110755773E-4</v>
      </c>
      <c r="I20" s="3"/>
      <c r="J20" s="3"/>
      <c r="K20" s="3"/>
      <c r="L20" s="3"/>
      <c r="M20" s="3"/>
    </row>
    <row r="21" spans="2:13">
      <c r="B21" s="2">
        <v>12</v>
      </c>
      <c r="C21" s="45" t="s">
        <v>72</v>
      </c>
      <c r="D21" s="165"/>
      <c r="E21" s="165"/>
      <c r="F21" s="165"/>
      <c r="G21" s="165">
        <v>0.28529235011476722</v>
      </c>
      <c r="H21" s="211">
        <v>0.23420699797952588</v>
      </c>
      <c r="I21" s="3"/>
      <c r="J21" s="3"/>
      <c r="K21" s="3"/>
      <c r="L21" s="3"/>
      <c r="M21" s="3"/>
    </row>
    <row r="22" spans="2:13">
      <c r="B22" s="2">
        <v>13</v>
      </c>
      <c r="C22" s="45" t="s">
        <v>73</v>
      </c>
      <c r="D22" s="165"/>
      <c r="E22" s="165"/>
      <c r="F22" s="165"/>
      <c r="G22" s="165">
        <v>0</v>
      </c>
      <c r="H22" s="211">
        <v>0</v>
      </c>
      <c r="I22" s="3"/>
      <c r="J22" s="3"/>
      <c r="K22" s="3"/>
      <c r="L22" s="3"/>
      <c r="M22" s="3"/>
    </row>
    <row r="23" spans="2:13">
      <c r="B23" s="2">
        <v>14</v>
      </c>
      <c r="C23" s="45" t="s">
        <v>74</v>
      </c>
      <c r="D23" s="165"/>
      <c r="E23" s="165"/>
      <c r="F23" s="165"/>
      <c r="G23" s="165">
        <v>0</v>
      </c>
      <c r="H23" s="211">
        <v>0</v>
      </c>
      <c r="I23" s="3"/>
      <c r="J23" s="3"/>
      <c r="K23" s="3"/>
      <c r="L23" s="3"/>
      <c r="M23" s="3"/>
    </row>
    <row r="24" spans="2:13">
      <c r="B24" s="2">
        <v>15</v>
      </c>
      <c r="C24" s="45" t="s">
        <v>75</v>
      </c>
      <c r="D24" s="165"/>
      <c r="E24" s="165"/>
      <c r="F24" s="165"/>
      <c r="G24" s="162">
        <v>0</v>
      </c>
      <c r="H24" s="211">
        <v>0</v>
      </c>
      <c r="I24" s="3"/>
      <c r="J24" s="3"/>
      <c r="K24" s="3"/>
      <c r="L24" s="3"/>
      <c r="M24" s="3"/>
    </row>
    <row r="25" spans="2:13">
      <c r="B25" s="2">
        <v>16</v>
      </c>
      <c r="C25" s="45" t="s">
        <v>76</v>
      </c>
      <c r="D25" s="165"/>
      <c r="E25" s="165"/>
      <c r="F25" s="165"/>
      <c r="G25" s="193">
        <v>0</v>
      </c>
      <c r="H25" s="211">
        <v>0</v>
      </c>
      <c r="I25" s="3"/>
      <c r="J25" s="3"/>
      <c r="K25" s="3"/>
      <c r="L25" s="3"/>
      <c r="M25" s="3"/>
    </row>
    <row r="26" spans="2:13" ht="15">
      <c r="B26" s="2">
        <v>17</v>
      </c>
      <c r="C26" s="45" t="s">
        <v>77</v>
      </c>
      <c r="D26" s="165"/>
      <c r="E26" s="165"/>
      <c r="F26" s="165"/>
      <c r="G26" s="193">
        <v>31.669785598214588</v>
      </c>
      <c r="H26" s="212">
        <v>31.47263533330592</v>
      </c>
      <c r="I26" s="3"/>
      <c r="J26" s="3"/>
      <c r="K26" s="3"/>
      <c r="L26" s="3"/>
      <c r="M26" s="3"/>
    </row>
    <row r="27" spans="2:13">
      <c r="B27" s="2">
        <v>18</v>
      </c>
      <c r="C27" s="45" t="s">
        <v>78</v>
      </c>
      <c r="D27" s="165"/>
      <c r="E27" s="165"/>
      <c r="F27" s="165"/>
      <c r="G27" s="193">
        <v>0</v>
      </c>
      <c r="H27" s="211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5" t="s">
        <v>79</v>
      </c>
      <c r="D28" s="165"/>
      <c r="E28" s="165"/>
      <c r="F28" s="165"/>
      <c r="G28" s="193">
        <v>1.8392641994018011</v>
      </c>
      <c r="H28" s="211">
        <v>1.9252025762095397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5" t="s">
        <v>80</v>
      </c>
      <c r="D29" s="165"/>
      <c r="E29" s="165"/>
      <c r="F29" s="165"/>
      <c r="G29" s="193">
        <v>0</v>
      </c>
      <c r="H29" s="211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5" t="s">
        <v>81</v>
      </c>
      <c r="D30" s="165"/>
      <c r="E30" s="165"/>
      <c r="F30" s="165"/>
      <c r="G30" s="193">
        <v>0</v>
      </c>
      <c r="H30" s="211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5" t="s">
        <v>82</v>
      </c>
      <c r="D31" s="165"/>
      <c r="E31" s="165"/>
      <c r="F31" s="165"/>
      <c r="G31" s="162">
        <v>4.0809715001132396</v>
      </c>
      <c r="H31" s="211">
        <v>7.4850535502224487</v>
      </c>
      <c r="I31" s="3"/>
      <c r="J31" s="3"/>
      <c r="K31" s="3"/>
      <c r="L31" s="3"/>
      <c r="M31" s="3"/>
    </row>
    <row r="32" spans="2:13">
      <c r="B32" s="2">
        <v>19</v>
      </c>
      <c r="C32" s="49" t="s">
        <v>363</v>
      </c>
      <c r="D32" s="165"/>
      <c r="E32" s="165"/>
      <c r="F32" s="165"/>
      <c r="G32" s="162">
        <v>0</v>
      </c>
      <c r="H32" s="211">
        <v>0</v>
      </c>
      <c r="I32" s="3"/>
      <c r="J32" s="3"/>
      <c r="K32" s="3"/>
      <c r="L32" s="3"/>
      <c r="M32" s="3"/>
    </row>
    <row r="33" spans="2:13">
      <c r="B33" s="2">
        <v>20</v>
      </c>
      <c r="C33" s="45" t="s">
        <v>83</v>
      </c>
      <c r="D33" s="165"/>
      <c r="E33" s="165"/>
      <c r="F33" s="165"/>
      <c r="G33" s="162">
        <v>0</v>
      </c>
      <c r="H33" s="211">
        <v>0</v>
      </c>
      <c r="I33" s="162">
        <v>37.146354599517352</v>
      </c>
      <c r="J33" s="162">
        <v>39.300843166289361</v>
      </c>
      <c r="K33" s="162">
        <v>41.580292069934146</v>
      </c>
      <c r="L33" s="162">
        <v>43.991949009990329</v>
      </c>
      <c r="M33" s="162">
        <v>46.543482052569772</v>
      </c>
    </row>
    <row r="34" spans="2:13" ht="15">
      <c r="B34" s="20">
        <v>21</v>
      </c>
      <c r="C34" s="46" t="s">
        <v>84</v>
      </c>
      <c r="D34" s="164">
        <f>SUM(D26:D33)</f>
        <v>0</v>
      </c>
      <c r="E34" s="164">
        <f t="shared" ref="E34:H34" si="0">SUM(E26:E33)</f>
        <v>0</v>
      </c>
      <c r="F34" s="164">
        <f t="shared" si="0"/>
        <v>0</v>
      </c>
      <c r="G34" s="164">
        <f t="shared" si="0"/>
        <v>37.590021297729635</v>
      </c>
      <c r="H34" s="164">
        <f t="shared" si="0"/>
        <v>40.882891459737905</v>
      </c>
      <c r="I34" s="164">
        <f t="shared" ref="I34:M34" si="1">SUM(I10:I33)</f>
        <v>37.146354599517352</v>
      </c>
      <c r="J34" s="164">
        <f t="shared" si="1"/>
        <v>39.300843166289361</v>
      </c>
      <c r="K34" s="164">
        <f t="shared" si="1"/>
        <v>41.580292069934146</v>
      </c>
      <c r="L34" s="164">
        <f t="shared" si="1"/>
        <v>43.991949009990329</v>
      </c>
      <c r="M34" s="164">
        <f t="shared" si="1"/>
        <v>46.543482052569772</v>
      </c>
    </row>
    <row r="35" spans="2:13">
      <c r="B35" s="2">
        <v>22</v>
      </c>
      <c r="C35" s="45" t="s">
        <v>17</v>
      </c>
      <c r="D35" s="165"/>
      <c r="E35" s="165"/>
      <c r="F35" s="165"/>
      <c r="G35" s="162"/>
      <c r="H35" s="162"/>
      <c r="I35" s="162"/>
      <c r="J35" s="162"/>
      <c r="K35" s="162"/>
      <c r="L35" s="162"/>
      <c r="M35" s="162"/>
    </row>
    <row r="36" spans="2:13" ht="15">
      <c r="B36" s="20">
        <v>23</v>
      </c>
      <c r="C36" s="22" t="s">
        <v>85</v>
      </c>
      <c r="D36" s="135">
        <v>24.34</v>
      </c>
      <c r="E36" s="135">
        <v>27.18</v>
      </c>
      <c r="F36" s="135">
        <v>26.84</v>
      </c>
      <c r="G36" s="135">
        <f t="shared" ref="G36:M36" si="2">G34-G35</f>
        <v>37.590021297729635</v>
      </c>
      <c r="H36" s="135">
        <f t="shared" si="2"/>
        <v>40.882891459737905</v>
      </c>
      <c r="I36" s="135">
        <f t="shared" si="2"/>
        <v>37.146354599517352</v>
      </c>
      <c r="J36" s="135">
        <f t="shared" si="2"/>
        <v>39.300843166289361</v>
      </c>
      <c r="K36" s="135">
        <f t="shared" si="2"/>
        <v>41.580292069934146</v>
      </c>
      <c r="L36" s="135">
        <f t="shared" si="2"/>
        <v>43.991949009990329</v>
      </c>
      <c r="M36" s="135">
        <f t="shared" si="2"/>
        <v>46.543482052569772</v>
      </c>
    </row>
    <row r="38" spans="2:13" ht="15">
      <c r="B38" s="47"/>
    </row>
    <row r="39" spans="2:13">
      <c r="B39" s="48"/>
    </row>
  </sheetData>
  <mergeCells count="6">
    <mergeCell ref="I7:M7"/>
    <mergeCell ref="B7:B9"/>
    <mergeCell ref="C7:C9"/>
    <mergeCell ref="B2:M2"/>
    <mergeCell ref="B3:M3"/>
    <mergeCell ref="B4:M4"/>
  </mergeCells>
  <pageMargins left="0.23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40"/>
  <sheetViews>
    <sheetView showGridLines="0" zoomScale="80" zoomScaleNormal="80" zoomScaleSheetLayoutView="70" workbookViewId="0">
      <selection activeCell="E31" sqref="E31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4" width="0" style="19" hidden="1" customWidth="1"/>
    <col min="15" max="16384" width="9.28515625" style="19"/>
  </cols>
  <sheetData>
    <row r="2" spans="2:13" ht="15.75">
      <c r="B2" s="222" t="s">
        <v>416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</row>
    <row r="3" spans="2:13" ht="15.75">
      <c r="B3" s="222" t="s">
        <v>417</v>
      </c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</row>
    <row r="4" spans="2:13" s="4" customFormat="1" ht="15.75">
      <c r="B4" s="222" t="s">
        <v>422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6" spans="2:13" ht="15">
      <c r="M6" s="28" t="s">
        <v>4</v>
      </c>
    </row>
    <row r="7" spans="2:13" ht="12.75" customHeight="1">
      <c r="B7" s="244" t="s">
        <v>186</v>
      </c>
      <c r="C7" s="248" t="s">
        <v>18</v>
      </c>
      <c r="D7" s="21" t="s">
        <v>389</v>
      </c>
      <c r="E7" s="21" t="s">
        <v>390</v>
      </c>
      <c r="F7" s="21" t="s">
        <v>391</v>
      </c>
      <c r="G7" s="21" t="s">
        <v>382</v>
      </c>
      <c r="H7" s="192" t="s">
        <v>383</v>
      </c>
      <c r="I7" s="245" t="s">
        <v>225</v>
      </c>
      <c r="J7" s="246"/>
      <c r="K7" s="246"/>
      <c r="L7" s="246"/>
      <c r="M7" s="247"/>
    </row>
    <row r="8" spans="2:13" ht="15">
      <c r="B8" s="244"/>
      <c r="C8" s="248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ht="15">
      <c r="B9" s="244"/>
      <c r="C9" s="24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5" t="s">
        <v>86</v>
      </c>
      <c r="D10" s="162">
        <v>3.8550925240042177E-3</v>
      </c>
      <c r="E10" s="162">
        <v>1.1944999369245715E-2</v>
      </c>
      <c r="F10" s="162">
        <v>5.9734380408062553E-2</v>
      </c>
      <c r="G10" s="162">
        <v>9.2048141970605929E-2</v>
      </c>
      <c r="H10" s="213">
        <v>1.5628293681240229E-2</v>
      </c>
      <c r="I10" s="3"/>
      <c r="J10" s="3"/>
      <c r="K10" s="3"/>
      <c r="L10" s="3"/>
      <c r="M10" s="3"/>
    </row>
    <row r="11" spans="2:13">
      <c r="B11" s="3">
        <v>2</v>
      </c>
      <c r="C11" s="56" t="s">
        <v>87</v>
      </c>
      <c r="D11" s="162">
        <v>1.192207648049137E-3</v>
      </c>
      <c r="E11" s="162">
        <v>7.682790740712182E-4</v>
      </c>
      <c r="F11" s="162">
        <v>6.1624975402125139E-4</v>
      </c>
      <c r="G11" s="162">
        <v>7.3556559690328958E-4</v>
      </c>
      <c r="H11" s="213">
        <v>6.2784961589820601E-4</v>
      </c>
      <c r="I11" s="3"/>
      <c r="J11" s="3"/>
      <c r="K11" s="3"/>
      <c r="L11" s="3"/>
      <c r="M11" s="3"/>
    </row>
    <row r="12" spans="2:13">
      <c r="B12" s="3">
        <v>3</v>
      </c>
      <c r="C12" s="56" t="s">
        <v>88</v>
      </c>
      <c r="D12" s="162">
        <v>2.9487883899358032E-2</v>
      </c>
      <c r="E12" s="162">
        <v>3.7054023858519809E-2</v>
      </c>
      <c r="F12" s="162">
        <v>2.5642800737165152E-2</v>
      </c>
      <c r="G12" s="162">
        <v>7.5159783088382698E-2</v>
      </c>
      <c r="H12" s="213">
        <v>3.4201048474849116E-2</v>
      </c>
      <c r="I12" s="3"/>
      <c r="J12" s="3"/>
      <c r="K12" s="3"/>
      <c r="L12" s="3"/>
      <c r="M12" s="3"/>
    </row>
    <row r="13" spans="2:13">
      <c r="B13" s="3">
        <v>4</v>
      </c>
      <c r="C13" s="56" t="s">
        <v>89</v>
      </c>
      <c r="D13" s="162">
        <v>3.2221692716407971E-2</v>
      </c>
      <c r="E13" s="162">
        <v>2.3602393473466682E-2</v>
      </c>
      <c r="F13" s="162">
        <v>1.9329193899110159E-2</v>
      </c>
      <c r="G13" s="162">
        <v>3.1351819625865557E-2</v>
      </c>
      <c r="H13" s="213">
        <v>2.1229584010509985E-2</v>
      </c>
      <c r="I13" s="3"/>
      <c r="J13" s="3"/>
      <c r="K13" s="3"/>
      <c r="L13" s="3"/>
      <c r="M13" s="3"/>
    </row>
    <row r="14" spans="2:13">
      <c r="B14" s="3">
        <v>5</v>
      </c>
      <c r="C14" s="56" t="s">
        <v>90</v>
      </c>
      <c r="D14" s="162">
        <v>4.3421952380071401E-3</v>
      </c>
      <c r="E14" s="162">
        <v>3.6967950279906854E-3</v>
      </c>
      <c r="F14" s="162">
        <v>1.5676770044569188E-2</v>
      </c>
      <c r="G14" s="162">
        <v>1.1767974689634964E-2</v>
      </c>
      <c r="H14" s="213">
        <v>3.1097035431116096E-3</v>
      </c>
      <c r="I14" s="3"/>
      <c r="J14" s="3"/>
      <c r="K14" s="3"/>
      <c r="L14" s="3"/>
      <c r="M14" s="3"/>
    </row>
    <row r="15" spans="2:13">
      <c r="B15" s="3">
        <v>6</v>
      </c>
      <c r="C15" s="56" t="s">
        <v>91</v>
      </c>
      <c r="D15" s="162">
        <v>3.8534551873161529E-2</v>
      </c>
      <c r="E15" s="162">
        <v>3.0698753745199942E-2</v>
      </c>
      <c r="F15" s="162">
        <v>3.6013745300186605E-2</v>
      </c>
      <c r="G15" s="162">
        <v>2.661315877581235E-2</v>
      </c>
      <c r="H15" s="213">
        <v>2.1671604383478843E-2</v>
      </c>
      <c r="I15" s="3"/>
      <c r="J15" s="3"/>
      <c r="K15" s="3"/>
      <c r="L15" s="3"/>
      <c r="M15" s="3"/>
    </row>
    <row r="16" spans="2:13">
      <c r="B16" s="3">
        <v>7</v>
      </c>
      <c r="C16" s="56" t="s">
        <v>92</v>
      </c>
      <c r="D16" s="162">
        <v>-7.7876827794942011E-2</v>
      </c>
      <c r="E16" s="162">
        <v>3.7537414757182738E-2</v>
      </c>
      <c r="F16" s="162">
        <v>0.16666608378545103</v>
      </c>
      <c r="G16" s="162">
        <v>6.5076025563283624E-2</v>
      </c>
      <c r="H16" s="213">
        <v>6.1739780239805336E-2</v>
      </c>
      <c r="I16" s="3"/>
      <c r="J16" s="3"/>
      <c r="K16" s="3"/>
      <c r="L16" s="3"/>
      <c r="M16" s="3"/>
    </row>
    <row r="17" spans="2:13">
      <c r="B17" s="3">
        <v>8</v>
      </c>
      <c r="C17" s="56" t="s">
        <v>93</v>
      </c>
      <c r="D17" s="162">
        <v>1.766415962111261E-3</v>
      </c>
      <c r="E17" s="162">
        <v>2.3257712012090745E-3</v>
      </c>
      <c r="F17" s="162">
        <v>8.9423993337754281E-4</v>
      </c>
      <c r="G17" s="162">
        <v>4.6652347978964578E-4</v>
      </c>
      <c r="H17" s="213">
        <v>4.0625328822591533E-4</v>
      </c>
      <c r="I17" s="3"/>
      <c r="J17" s="3"/>
      <c r="K17" s="3"/>
      <c r="L17" s="3"/>
      <c r="M17" s="3"/>
    </row>
    <row r="18" spans="2:13">
      <c r="B18" s="3">
        <v>9</v>
      </c>
      <c r="C18" s="56" t="s">
        <v>94</v>
      </c>
      <c r="D18" s="162">
        <v>7.3138312188037666E-2</v>
      </c>
      <c r="E18" s="162">
        <v>1.3287180926237221E-2</v>
      </c>
      <c r="F18" s="162">
        <v>1.3073432839319589E-2</v>
      </c>
      <c r="G18" s="162">
        <v>1.3877548854926517E-2</v>
      </c>
      <c r="H18" s="213">
        <v>1.5898490577093284E-2</v>
      </c>
      <c r="I18" s="3"/>
      <c r="J18" s="3"/>
      <c r="K18" s="3"/>
      <c r="L18" s="3"/>
      <c r="M18" s="3"/>
    </row>
    <row r="19" spans="2:13">
      <c r="B19" s="3">
        <v>10</v>
      </c>
      <c r="C19" s="56" t="s">
        <v>95</v>
      </c>
      <c r="D19" s="162">
        <v>5.6486159880117653E-3</v>
      </c>
      <c r="E19" s="162">
        <v>3.1132518853230109E-2</v>
      </c>
      <c r="F19" s="162">
        <v>5.6297086809678756E-3</v>
      </c>
      <c r="G19" s="162">
        <v>4.442444674058881E-3</v>
      </c>
      <c r="H19" s="213">
        <v>4.3422049385838032E-3</v>
      </c>
      <c r="I19" s="3"/>
      <c r="J19" s="3"/>
      <c r="K19" s="3"/>
      <c r="L19" s="3"/>
      <c r="M19" s="3"/>
    </row>
    <row r="20" spans="2:13">
      <c r="B20" s="3">
        <v>11</v>
      </c>
      <c r="C20" s="56" t="s">
        <v>96</v>
      </c>
      <c r="D20" s="162">
        <v>0</v>
      </c>
      <c r="E20" s="162">
        <v>0</v>
      </c>
      <c r="F20" s="162">
        <v>0</v>
      </c>
      <c r="G20" s="162">
        <v>1.4212050645405055E-4</v>
      </c>
      <c r="H20" s="213">
        <v>2.0696163299543883E-5</v>
      </c>
      <c r="I20" s="3"/>
      <c r="J20" s="3"/>
      <c r="K20" s="3"/>
      <c r="L20" s="3"/>
      <c r="M20" s="3"/>
    </row>
    <row r="21" spans="2:13">
      <c r="B21" s="3">
        <v>12</v>
      </c>
      <c r="C21" s="56" t="s">
        <v>97</v>
      </c>
      <c r="D21" s="162">
        <v>0</v>
      </c>
      <c r="E21" s="162">
        <v>0</v>
      </c>
      <c r="F21" s="162">
        <v>0</v>
      </c>
      <c r="G21" s="162">
        <v>0</v>
      </c>
      <c r="H21" s="213">
        <v>0</v>
      </c>
      <c r="I21" s="3"/>
      <c r="J21" s="3"/>
      <c r="K21" s="3"/>
      <c r="L21" s="3"/>
      <c r="M21" s="3"/>
    </row>
    <row r="22" spans="2:13">
      <c r="B22" s="3">
        <v>13</v>
      </c>
      <c r="C22" s="56" t="s">
        <v>98</v>
      </c>
      <c r="D22" s="162">
        <v>1.8555035021182913E-3</v>
      </c>
      <c r="E22" s="162">
        <v>4.2703396188640261E-2</v>
      </c>
      <c r="F22" s="162">
        <v>8.2100090372129605E-4</v>
      </c>
      <c r="G22" s="162">
        <v>9.6114532131455974E-3</v>
      </c>
      <c r="H22" s="213">
        <v>4.561745461245964E-3</v>
      </c>
      <c r="I22" s="3"/>
      <c r="J22" s="3"/>
      <c r="K22" s="3"/>
      <c r="L22" s="3"/>
      <c r="M22" s="3"/>
    </row>
    <row r="23" spans="2:13">
      <c r="B23" s="3">
        <v>14</v>
      </c>
      <c r="C23" s="56" t="s">
        <v>99</v>
      </c>
      <c r="D23" s="162">
        <v>0.16666911079866056</v>
      </c>
      <c r="E23" s="162">
        <v>1.1625307788782135E-2</v>
      </c>
      <c r="F23" s="162">
        <v>9.8088137871474163E-3</v>
      </c>
      <c r="G23" s="162">
        <v>3.3425506161035121E-3</v>
      </c>
      <c r="H23" s="213">
        <v>1.2800222375571678E-2</v>
      </c>
      <c r="I23" s="3"/>
      <c r="J23" s="3"/>
      <c r="K23" s="3"/>
      <c r="L23" s="3"/>
      <c r="M23" s="3"/>
    </row>
    <row r="24" spans="2:13">
      <c r="B24" s="3">
        <v>15</v>
      </c>
      <c r="C24" s="56" t="s">
        <v>100</v>
      </c>
      <c r="D24" s="162">
        <v>0</v>
      </c>
      <c r="E24" s="162">
        <v>0</v>
      </c>
      <c r="F24" s="162">
        <v>0</v>
      </c>
      <c r="G24" s="162">
        <v>0</v>
      </c>
      <c r="H24" s="213">
        <v>0</v>
      </c>
      <c r="I24" s="3"/>
      <c r="J24" s="3"/>
      <c r="K24" s="3"/>
      <c r="L24" s="3"/>
      <c r="M24" s="3"/>
    </row>
    <row r="25" spans="2:13">
      <c r="B25" s="3">
        <v>16</v>
      </c>
      <c r="C25" s="55" t="s">
        <v>101</v>
      </c>
      <c r="D25" s="162">
        <v>0</v>
      </c>
      <c r="E25" s="162">
        <v>0</v>
      </c>
      <c r="F25" s="162">
        <v>0</v>
      </c>
      <c r="G25" s="162">
        <v>0</v>
      </c>
      <c r="H25" s="213">
        <v>0</v>
      </c>
      <c r="I25" s="3"/>
      <c r="J25" s="3"/>
      <c r="K25" s="3"/>
      <c r="L25" s="3"/>
      <c r="M25" s="3"/>
    </row>
    <row r="26" spans="2:13">
      <c r="B26" s="3">
        <v>17</v>
      </c>
      <c r="C26" s="55" t="s">
        <v>102</v>
      </c>
      <c r="D26" s="162">
        <v>0</v>
      </c>
      <c r="E26" s="162">
        <v>0</v>
      </c>
      <c r="F26" s="162">
        <v>0</v>
      </c>
      <c r="G26" s="162">
        <v>0</v>
      </c>
      <c r="H26" s="213">
        <v>0</v>
      </c>
      <c r="I26" s="3"/>
      <c r="J26" s="3"/>
      <c r="K26" s="3"/>
      <c r="L26" s="3"/>
      <c r="M26" s="3"/>
    </row>
    <row r="27" spans="2:13">
      <c r="B27" s="3">
        <v>18</v>
      </c>
      <c r="C27" s="56" t="s">
        <v>103</v>
      </c>
      <c r="D27" s="162">
        <v>1.9079416189665698E-2</v>
      </c>
      <c r="E27" s="162">
        <v>3.625575917215428E-3</v>
      </c>
      <c r="F27" s="162">
        <v>4.7817979118794634E-3</v>
      </c>
      <c r="G27" s="162">
        <v>6.3912595715805882E-3</v>
      </c>
      <c r="H27" s="213">
        <v>6.9984145585527792E-3</v>
      </c>
      <c r="I27" s="3"/>
      <c r="J27" s="3"/>
      <c r="K27" s="3"/>
      <c r="L27" s="3"/>
      <c r="M27" s="3"/>
    </row>
    <row r="28" spans="2:13">
      <c r="B28" s="3">
        <v>19</v>
      </c>
      <c r="C28" s="56" t="s">
        <v>104</v>
      </c>
      <c r="D28" s="162">
        <v>0.5336953973581855</v>
      </c>
      <c r="E28" s="162">
        <v>0.45935244363945227</v>
      </c>
      <c r="F28" s="162">
        <v>0.4743716244447666</v>
      </c>
      <c r="G28" s="162">
        <v>0.50896580197066765</v>
      </c>
      <c r="H28" s="213">
        <v>0.49025184396948152</v>
      </c>
      <c r="I28" s="3"/>
      <c r="J28" s="3"/>
      <c r="K28" s="3"/>
      <c r="L28" s="3"/>
      <c r="M28" s="3"/>
    </row>
    <row r="29" spans="2:13">
      <c r="B29" s="3">
        <v>20</v>
      </c>
      <c r="C29" s="56" t="s">
        <v>105</v>
      </c>
      <c r="D29" s="162">
        <v>0</v>
      </c>
      <c r="E29" s="162">
        <v>0</v>
      </c>
      <c r="F29" s="162">
        <v>0</v>
      </c>
      <c r="G29" s="162">
        <v>0</v>
      </c>
      <c r="H29" s="213">
        <v>0</v>
      </c>
      <c r="I29" s="3"/>
      <c r="J29" s="3"/>
      <c r="K29" s="3"/>
      <c r="L29" s="3"/>
      <c r="M29" s="3"/>
    </row>
    <row r="30" spans="2:13">
      <c r="B30" s="3">
        <v>21</v>
      </c>
      <c r="C30" s="56" t="s">
        <v>106</v>
      </c>
      <c r="D30" s="162">
        <v>0</v>
      </c>
      <c r="E30" s="162">
        <v>0</v>
      </c>
      <c r="F30" s="162">
        <v>0</v>
      </c>
      <c r="G30" s="162">
        <v>0</v>
      </c>
      <c r="H30" s="213">
        <v>0</v>
      </c>
      <c r="I30" s="3"/>
      <c r="J30" s="3"/>
      <c r="K30" s="3"/>
      <c r="L30" s="3"/>
      <c r="M30" s="3"/>
    </row>
    <row r="31" spans="2:13">
      <c r="B31" s="3">
        <v>22</v>
      </c>
      <c r="C31" s="56" t="s">
        <v>107</v>
      </c>
      <c r="D31" s="162">
        <v>0</v>
      </c>
      <c r="E31" s="162">
        <v>0</v>
      </c>
      <c r="F31" s="162">
        <v>0</v>
      </c>
      <c r="G31" s="162">
        <v>0</v>
      </c>
      <c r="H31" s="213">
        <v>0</v>
      </c>
      <c r="I31" s="3"/>
      <c r="J31" s="3"/>
      <c r="K31" s="3"/>
      <c r="L31" s="3"/>
      <c r="M31" s="3"/>
    </row>
    <row r="32" spans="2:13">
      <c r="B32" s="3">
        <v>23</v>
      </c>
      <c r="C32" s="56" t="s">
        <v>108</v>
      </c>
      <c r="D32" s="162">
        <v>0</v>
      </c>
      <c r="E32" s="162">
        <v>0</v>
      </c>
      <c r="F32" s="162">
        <v>0</v>
      </c>
      <c r="G32" s="162">
        <v>0</v>
      </c>
      <c r="H32" s="213">
        <v>0</v>
      </c>
      <c r="I32" s="3"/>
      <c r="J32" s="3"/>
      <c r="K32" s="3"/>
      <c r="L32" s="3"/>
      <c r="M32" s="3"/>
    </row>
    <row r="33" spans="2:14">
      <c r="B33" s="3">
        <v>24</v>
      </c>
      <c r="C33" s="56" t="s">
        <v>109</v>
      </c>
      <c r="D33" s="162">
        <v>9.9582318909218741E-3</v>
      </c>
      <c r="E33" s="162">
        <v>1.9552062119272706E-3</v>
      </c>
      <c r="F33" s="162">
        <v>1.3329840664373951E-2</v>
      </c>
      <c r="G33" s="162">
        <v>8.6853841262742315E-3</v>
      </c>
      <c r="H33" s="213">
        <v>9.8619493867632118E-3</v>
      </c>
      <c r="I33" s="3"/>
      <c r="J33" s="3"/>
      <c r="K33" s="3"/>
      <c r="L33" s="3"/>
      <c r="M33" s="3"/>
    </row>
    <row r="34" spans="2:14">
      <c r="B34" s="3">
        <v>25</v>
      </c>
      <c r="C34" s="56" t="s">
        <v>110</v>
      </c>
      <c r="D34" s="162">
        <v>0</v>
      </c>
      <c r="E34" s="162">
        <v>0</v>
      </c>
      <c r="F34" s="162">
        <v>0</v>
      </c>
      <c r="G34" s="162">
        <v>0</v>
      </c>
      <c r="H34" s="213">
        <v>0</v>
      </c>
      <c r="I34" s="3"/>
      <c r="J34" s="3"/>
      <c r="K34" s="3"/>
      <c r="L34" s="3"/>
      <c r="M34" s="3"/>
    </row>
    <row r="35" spans="2:14">
      <c r="B35" s="3">
        <v>26</v>
      </c>
      <c r="C35" s="56" t="s">
        <v>111</v>
      </c>
      <c r="D35" s="162">
        <v>0</v>
      </c>
      <c r="E35" s="162">
        <v>0</v>
      </c>
      <c r="F35" s="162">
        <v>0</v>
      </c>
      <c r="G35" s="162">
        <v>0</v>
      </c>
      <c r="H35" s="213">
        <v>0</v>
      </c>
      <c r="I35" s="3"/>
      <c r="J35" s="3"/>
      <c r="K35" s="3"/>
      <c r="L35" s="3"/>
      <c r="M35" s="3"/>
    </row>
    <row r="36" spans="2:14">
      <c r="B36" s="3">
        <v>27</v>
      </c>
      <c r="C36" s="56" t="s">
        <v>112</v>
      </c>
      <c r="D36" s="162">
        <v>1.0689578722735094E-2</v>
      </c>
      <c r="E36" s="162">
        <v>1.3042649356137132E-2</v>
      </c>
      <c r="F36" s="162">
        <v>4.2560667527412367E-3</v>
      </c>
      <c r="G36" s="162">
        <v>2.2283544129667043E-3</v>
      </c>
      <c r="H36" s="213">
        <v>0</v>
      </c>
      <c r="I36" s="3"/>
      <c r="J36" s="3"/>
      <c r="K36" s="3"/>
      <c r="L36" s="3"/>
      <c r="M36" s="3"/>
    </row>
    <row r="37" spans="2:14">
      <c r="B37" s="3">
        <v>28</v>
      </c>
      <c r="C37" s="56" t="s">
        <v>83</v>
      </c>
      <c r="D37" s="162">
        <v>4.3106630157271564E-2</v>
      </c>
      <c r="E37" s="162">
        <v>0.11133181486925343</v>
      </c>
      <c r="F37" s="162">
        <v>0.13552902001528305</v>
      </c>
      <c r="G37" s="162">
        <v>0.12116761388951777</v>
      </c>
      <c r="H37" s="213">
        <v>0.22695486520355382</v>
      </c>
      <c r="I37" s="162">
        <v>1.0692706215921495</v>
      </c>
      <c r="J37" s="162">
        <v>1.1216648820501647</v>
      </c>
      <c r="K37" s="162">
        <v>1.1766264612706228</v>
      </c>
      <c r="L37" s="162">
        <v>1.2342811578728832</v>
      </c>
      <c r="M37" s="162">
        <v>1.2947609346086544</v>
      </c>
      <c r="N37" s="19">
        <v>6.1952179183291936</v>
      </c>
    </row>
    <row r="38" spans="2:14" ht="15">
      <c r="B38" s="3">
        <v>29</v>
      </c>
      <c r="C38" s="57" t="s">
        <v>113</v>
      </c>
      <c r="D38" s="135">
        <f>SUM(D10:D37)</f>
        <v>0.89736400886176526</v>
      </c>
      <c r="E38" s="135">
        <f t="shared" ref="E38:M38" si="0">SUM(E10:E37)</f>
        <v>0.83568452425776107</v>
      </c>
      <c r="F38" s="135">
        <f t="shared" si="0"/>
        <v>0.98617476986214392</v>
      </c>
      <c r="G38" s="135">
        <f t="shared" si="0"/>
        <v>0.98207352462597364</v>
      </c>
      <c r="H38" s="135">
        <f t="shared" si="0"/>
        <v>0.93030454987126487</v>
      </c>
      <c r="I38" s="135">
        <f t="shared" si="0"/>
        <v>1.0692706215921495</v>
      </c>
      <c r="J38" s="135">
        <f t="shared" si="0"/>
        <v>1.1216648820501647</v>
      </c>
      <c r="K38" s="135">
        <f t="shared" si="0"/>
        <v>1.1766264612706228</v>
      </c>
      <c r="L38" s="135">
        <f t="shared" si="0"/>
        <v>1.2342811578728832</v>
      </c>
      <c r="M38" s="135">
        <f t="shared" si="0"/>
        <v>1.2947609346086544</v>
      </c>
    </row>
    <row r="39" spans="2:14">
      <c r="B39" s="3">
        <v>30</v>
      </c>
      <c r="C39" s="45" t="s">
        <v>17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</row>
    <row r="40" spans="2:14" ht="15">
      <c r="B40" s="3">
        <v>31</v>
      </c>
      <c r="C40" s="22" t="s">
        <v>114</v>
      </c>
      <c r="D40" s="135">
        <f>D38-D39</f>
        <v>0.89736400886176526</v>
      </c>
      <c r="E40" s="135">
        <f t="shared" ref="E40:M40" si="1">E38-E39</f>
        <v>0.83568452425776107</v>
      </c>
      <c r="F40" s="135">
        <f t="shared" si="1"/>
        <v>0.98617476986214392</v>
      </c>
      <c r="G40" s="135">
        <f t="shared" si="1"/>
        <v>0.98207352462597364</v>
      </c>
      <c r="H40" s="135">
        <f t="shared" si="1"/>
        <v>0.93030454987126487</v>
      </c>
      <c r="I40" s="135">
        <f t="shared" si="1"/>
        <v>1.0692706215921495</v>
      </c>
      <c r="J40" s="135">
        <f t="shared" si="1"/>
        <v>1.1216648820501647</v>
      </c>
      <c r="K40" s="135">
        <f t="shared" si="1"/>
        <v>1.1766264612706228</v>
      </c>
      <c r="L40" s="135">
        <f t="shared" si="1"/>
        <v>1.2342811578728832</v>
      </c>
      <c r="M40" s="135">
        <f t="shared" si="1"/>
        <v>1.2947609346086544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E31" sqref="E31"/>
    </sheetView>
  </sheetViews>
  <sheetFormatPr defaultColWidth="9.28515625" defaultRowHeight="14.25"/>
  <cols>
    <col min="1" max="1" width="4.5703125" style="19" customWidth="1"/>
    <col min="2" max="2" width="8.7109375" style="58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>
      <c r="C2" s="5"/>
      <c r="D2" s="5"/>
      <c r="E2" s="5"/>
      <c r="F2" s="5"/>
      <c r="G2" s="5"/>
      <c r="H2" s="5"/>
      <c r="I2" s="5"/>
      <c r="J2" s="5"/>
    </row>
    <row r="3" spans="2:13" ht="15">
      <c r="B3" s="250" t="s">
        <v>411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 s="4" customFormat="1" ht="15">
      <c r="B4" s="250" t="s">
        <v>417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2:13" ht="15">
      <c r="B5" s="251" t="s">
        <v>418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2:13" ht="15">
      <c r="M6" s="28" t="s">
        <v>4</v>
      </c>
    </row>
    <row r="7" spans="2:13" ht="12.75" customHeight="1">
      <c r="B7" s="244" t="s">
        <v>186</v>
      </c>
      <c r="C7" s="248" t="s">
        <v>18</v>
      </c>
      <c r="D7" s="21" t="s">
        <v>389</v>
      </c>
      <c r="E7" s="21" t="s">
        <v>390</v>
      </c>
      <c r="F7" s="21" t="s">
        <v>391</v>
      </c>
      <c r="G7" s="21" t="s">
        <v>382</v>
      </c>
      <c r="H7" s="192" t="s">
        <v>383</v>
      </c>
      <c r="I7" s="245" t="s">
        <v>225</v>
      </c>
      <c r="J7" s="246"/>
      <c r="K7" s="246"/>
      <c r="L7" s="246"/>
      <c r="M7" s="247"/>
    </row>
    <row r="8" spans="2:13" ht="15">
      <c r="B8" s="244"/>
      <c r="C8" s="248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ht="15">
      <c r="B9" s="244"/>
      <c r="C9" s="24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6" t="s">
        <v>115</v>
      </c>
      <c r="D10" s="162">
        <v>0.35418338508267494</v>
      </c>
      <c r="E10" s="162">
        <v>1.5344482627253981</v>
      </c>
      <c r="F10" s="162">
        <v>2.147051021411301</v>
      </c>
      <c r="G10" s="162">
        <v>2.6832342412815411</v>
      </c>
      <c r="H10" s="213">
        <v>2.6221382994011742</v>
      </c>
      <c r="I10" s="3"/>
      <c r="J10" s="3"/>
      <c r="K10" s="3"/>
      <c r="L10" s="3"/>
      <c r="M10" s="3"/>
    </row>
    <row r="11" spans="2:13">
      <c r="B11" s="2">
        <v>2</v>
      </c>
      <c r="C11" s="56" t="s">
        <v>116</v>
      </c>
      <c r="D11" s="162">
        <v>1.9965599999999997E-3</v>
      </c>
      <c r="E11" s="162">
        <v>0.53182963453691223</v>
      </c>
      <c r="F11" s="162">
        <v>0</v>
      </c>
      <c r="G11" s="162">
        <v>8.0281012507132619E-3</v>
      </c>
      <c r="H11" s="213">
        <v>0</v>
      </c>
      <c r="I11" s="3"/>
      <c r="J11" s="3"/>
      <c r="K11" s="3"/>
      <c r="L11" s="3"/>
      <c r="M11" s="3"/>
    </row>
    <row r="12" spans="2:13">
      <c r="B12" s="2">
        <v>3</v>
      </c>
      <c r="C12" s="56" t="s">
        <v>117</v>
      </c>
      <c r="D12" s="162">
        <v>0.79965273698384609</v>
      </c>
      <c r="E12" s="162">
        <v>0.69727263292842712</v>
      </c>
      <c r="F12" s="162">
        <v>0.73552455971910624</v>
      </c>
      <c r="G12" s="162">
        <v>0.65752535361702868</v>
      </c>
      <c r="H12" s="213">
        <v>0.9469549154411635</v>
      </c>
      <c r="I12" s="3"/>
      <c r="J12" s="3"/>
      <c r="K12" s="3"/>
      <c r="L12" s="3"/>
      <c r="M12" s="3"/>
    </row>
    <row r="13" spans="2:13">
      <c r="B13" s="2">
        <v>4</v>
      </c>
      <c r="C13" s="56" t="s">
        <v>118</v>
      </c>
      <c r="D13" s="162">
        <v>3.9486340000000002E-2</v>
      </c>
      <c r="E13" s="162">
        <v>0.199618148</v>
      </c>
      <c r="F13" s="162">
        <v>0</v>
      </c>
      <c r="G13" s="162">
        <v>0</v>
      </c>
      <c r="H13" s="213">
        <v>0</v>
      </c>
      <c r="I13" s="3"/>
      <c r="J13" s="3"/>
      <c r="K13" s="3"/>
      <c r="L13" s="3"/>
      <c r="M13" s="3"/>
    </row>
    <row r="14" spans="2:13">
      <c r="B14" s="2">
        <v>5</v>
      </c>
      <c r="C14" s="56" t="s">
        <v>119</v>
      </c>
      <c r="D14" s="162">
        <v>0.13660216368336325</v>
      </c>
      <c r="E14" s="162">
        <v>0.10137334908155084</v>
      </c>
      <c r="F14" s="162">
        <v>0.15359245859463627</v>
      </c>
      <c r="G14" s="162">
        <v>0.15258013765536757</v>
      </c>
      <c r="H14" s="213">
        <v>9.8117684461190458E-2</v>
      </c>
      <c r="I14" s="3"/>
      <c r="J14" s="3"/>
      <c r="K14" s="3"/>
      <c r="L14" s="3"/>
      <c r="M14" s="3"/>
    </row>
    <row r="15" spans="2:13">
      <c r="B15" s="2">
        <v>6</v>
      </c>
      <c r="C15" s="56" t="s">
        <v>120</v>
      </c>
      <c r="D15" s="162">
        <v>1.415E-3</v>
      </c>
      <c r="E15" s="162">
        <v>0</v>
      </c>
      <c r="F15" s="162">
        <v>0</v>
      </c>
      <c r="G15" s="162">
        <v>0</v>
      </c>
      <c r="H15" s="213">
        <v>2.4193098811766989E-4</v>
      </c>
      <c r="I15" s="3"/>
      <c r="J15" s="3"/>
      <c r="K15" s="3"/>
      <c r="L15" s="3"/>
      <c r="M15" s="3"/>
    </row>
    <row r="16" spans="2:13">
      <c r="B16" s="2">
        <v>7</v>
      </c>
      <c r="C16" s="56" t="s">
        <v>121</v>
      </c>
      <c r="D16" s="162">
        <v>2.5730621912181041E-5</v>
      </c>
      <c r="E16" s="162">
        <v>1.2034606665330106E-4</v>
      </c>
      <c r="F16" s="162">
        <v>0</v>
      </c>
      <c r="G16" s="162">
        <v>0</v>
      </c>
      <c r="H16" s="213">
        <v>0</v>
      </c>
      <c r="I16" s="3"/>
      <c r="J16" s="3"/>
      <c r="K16" s="3"/>
      <c r="L16" s="3"/>
      <c r="M16" s="3"/>
    </row>
    <row r="17" spans="2:13">
      <c r="B17" s="2">
        <v>8</v>
      </c>
      <c r="C17" s="56" t="s">
        <v>122</v>
      </c>
      <c r="D17" s="162">
        <v>2.2065344248098733E-2</v>
      </c>
      <c r="E17" s="162">
        <v>0.10736263162347516</v>
      </c>
      <c r="F17" s="162">
        <v>7.9665783035948373E-2</v>
      </c>
      <c r="G17" s="162">
        <v>8.7299882933500911E-2</v>
      </c>
      <c r="H17" s="213">
        <v>7.283247976845339E-2</v>
      </c>
      <c r="I17" s="162">
        <v>3.4728668685167134</v>
      </c>
      <c r="J17" s="162">
        <v>3.6900188100724041</v>
      </c>
      <c r="K17" s="162">
        <v>3.7924489711835787</v>
      </c>
      <c r="L17" s="162">
        <v>3.7924489711835787</v>
      </c>
      <c r="M17" s="162">
        <v>3.7924489711835787</v>
      </c>
    </row>
    <row r="18" spans="2:13" ht="15">
      <c r="B18" s="2">
        <v>9</v>
      </c>
      <c r="C18" s="57" t="s">
        <v>123</v>
      </c>
      <c r="D18" s="135">
        <f>SUM(D10:D17)</f>
        <v>1.3554272606198952</v>
      </c>
      <c r="E18" s="135">
        <f t="shared" ref="E18:M18" si="0">SUM(E10:E17)</f>
        <v>3.1720250049624164</v>
      </c>
      <c r="F18" s="135">
        <f t="shared" si="0"/>
        <v>3.1158338227609916</v>
      </c>
      <c r="G18" s="135">
        <f t="shared" si="0"/>
        <v>3.5886677167381511</v>
      </c>
      <c r="H18" s="135">
        <f t="shared" si="0"/>
        <v>3.7402853100600995</v>
      </c>
      <c r="I18" s="135">
        <f t="shared" si="0"/>
        <v>3.4728668685167134</v>
      </c>
      <c r="J18" s="135">
        <f t="shared" si="0"/>
        <v>3.6900188100724041</v>
      </c>
      <c r="K18" s="135">
        <f t="shared" si="0"/>
        <v>3.7924489711835787</v>
      </c>
      <c r="L18" s="135">
        <f t="shared" si="0"/>
        <v>3.7924489711835787</v>
      </c>
      <c r="M18" s="135">
        <f t="shared" si="0"/>
        <v>3.7924489711835787</v>
      </c>
    </row>
    <row r="19" spans="2:13">
      <c r="B19" s="2"/>
      <c r="C19" s="55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59" t="s">
        <v>124</v>
      </c>
      <c r="D20" s="162"/>
      <c r="E20" s="3"/>
      <c r="F20" s="3"/>
      <c r="G20" s="135">
        <f>'F4'!F21</f>
        <v>440.68448427099997</v>
      </c>
      <c r="H20" s="135">
        <f>'F4'!F38</f>
        <v>440.72596312600001</v>
      </c>
      <c r="I20" s="135">
        <f>'F4'!F47</f>
        <v>440.76596312600003</v>
      </c>
      <c r="J20" s="135">
        <f>'F4'!F56</f>
        <v>468.32596312600003</v>
      </c>
      <c r="K20" s="135">
        <f>'F4'!F65</f>
        <v>481.32596312600003</v>
      </c>
      <c r="L20" s="135">
        <f>'F4'!F74</f>
        <v>481.32596312600003</v>
      </c>
      <c r="M20" s="135">
        <f>'F4'!F83</f>
        <v>481.32596312600003</v>
      </c>
    </row>
    <row r="21" spans="2:13" ht="28.5">
      <c r="B21" s="2">
        <v>11</v>
      </c>
      <c r="C21" s="59" t="s">
        <v>125</v>
      </c>
      <c r="D21" s="163">
        <f>IFERROR(D18/D20,0)</f>
        <v>0</v>
      </c>
      <c r="E21" s="163">
        <f t="shared" ref="E21:M21" si="1">IFERROR(E18/E20,0)</f>
        <v>0</v>
      </c>
      <c r="F21" s="163">
        <f t="shared" si="1"/>
        <v>0</v>
      </c>
      <c r="G21" s="163">
        <f t="shared" si="1"/>
        <v>8.1433947525397597E-3</v>
      </c>
      <c r="H21" s="163">
        <f t="shared" si="1"/>
        <v>8.4866461769822765E-3</v>
      </c>
      <c r="I21" s="163">
        <f t="shared" si="1"/>
        <v>7.8791630004423421E-3</v>
      </c>
      <c r="J21" s="163">
        <f t="shared" si="1"/>
        <v>7.8791677178051914E-3</v>
      </c>
      <c r="K21" s="163">
        <f t="shared" si="1"/>
        <v>7.8791697554673624E-3</v>
      </c>
      <c r="L21" s="163">
        <f t="shared" si="1"/>
        <v>7.8791697554673624E-3</v>
      </c>
      <c r="M21" s="163">
        <f t="shared" si="1"/>
        <v>7.8791697554673624E-3</v>
      </c>
    </row>
    <row r="22" spans="2:13">
      <c r="B22" s="2"/>
      <c r="C22" s="55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3:M3"/>
    <mergeCell ref="B4:M4"/>
    <mergeCell ref="B5:M5"/>
  </mergeCells>
  <pageMargins left="0.75" right="0.75" top="1" bottom="1" header="0.5" footer="0.5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E31" sqref="E31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60"/>
    </row>
    <row r="2" spans="2:13" ht="15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2:13" ht="15">
      <c r="B3" s="250" t="s">
        <v>417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 ht="15">
      <c r="B4" s="251" t="s">
        <v>419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</row>
    <row r="5" spans="2:13" ht="15">
      <c r="B5" s="39"/>
      <c r="C5" s="61"/>
      <c r="D5" s="61"/>
      <c r="E5" s="61"/>
      <c r="F5" s="61"/>
      <c r="G5" s="61"/>
      <c r="H5" s="61"/>
      <c r="I5" s="61"/>
      <c r="J5" s="61"/>
    </row>
    <row r="6" spans="2:13" ht="15">
      <c r="M6" s="28" t="s">
        <v>4</v>
      </c>
    </row>
    <row r="7" spans="2:13" s="19" customFormat="1" ht="15" customHeight="1">
      <c r="B7" s="252" t="s">
        <v>186</v>
      </c>
      <c r="C7" s="248" t="s">
        <v>18</v>
      </c>
      <c r="D7" s="236" t="s">
        <v>232</v>
      </c>
      <c r="E7" s="237"/>
      <c r="F7" s="238"/>
      <c r="G7" s="236" t="s">
        <v>231</v>
      </c>
      <c r="H7" s="237"/>
      <c r="I7" s="244" t="s">
        <v>225</v>
      </c>
      <c r="J7" s="244"/>
      <c r="K7" s="244"/>
      <c r="L7" s="244"/>
      <c r="M7" s="244"/>
    </row>
    <row r="8" spans="2:13" s="19" customFormat="1" ht="45">
      <c r="B8" s="253"/>
      <c r="C8" s="248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226</v>
      </c>
      <c r="J8" s="21" t="s">
        <v>227</v>
      </c>
      <c r="K8" s="21" t="s">
        <v>228</v>
      </c>
      <c r="L8" s="21" t="s">
        <v>229</v>
      </c>
      <c r="M8" s="21" t="s">
        <v>230</v>
      </c>
    </row>
    <row r="9" spans="2:13" s="19" customFormat="1" ht="15">
      <c r="B9" s="254"/>
      <c r="C9" s="255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4">
        <v>1</v>
      </c>
      <c r="C10" s="29" t="s">
        <v>249</v>
      </c>
      <c r="D10" s="2"/>
      <c r="E10" s="29"/>
      <c r="F10" s="29"/>
      <c r="G10" s="133"/>
      <c r="H10" s="133">
        <f>E13</f>
        <v>0.28989905199999999</v>
      </c>
      <c r="I10" s="133">
        <f>H13</f>
        <v>0.28989905199999999</v>
      </c>
      <c r="J10" s="133">
        <f>I13</f>
        <v>0</v>
      </c>
      <c r="K10" s="133">
        <f>J13</f>
        <v>0</v>
      </c>
      <c r="L10" s="133">
        <f>K13</f>
        <v>0</v>
      </c>
      <c r="M10" s="133">
        <f>L13</f>
        <v>0</v>
      </c>
    </row>
    <row r="11" spans="2:13" s="5" customFormat="1">
      <c r="B11" s="23">
        <v>2</v>
      </c>
      <c r="C11" s="29" t="s">
        <v>279</v>
      </c>
      <c r="D11" s="2"/>
      <c r="E11" s="130">
        <f>F3.1!G12</f>
        <v>0.33267702700000001</v>
      </c>
      <c r="F11" s="130">
        <f>E11</f>
        <v>0.33267702700000001</v>
      </c>
      <c r="G11" s="24"/>
      <c r="H11" s="133">
        <f>F3.1!G18</f>
        <v>0.04</v>
      </c>
      <c r="I11" s="133">
        <f>I12-I10</f>
        <v>27.270100948000003</v>
      </c>
      <c r="J11" s="133">
        <f>F3.1!G32</f>
        <v>13</v>
      </c>
      <c r="K11" s="133">
        <f>F3.1!G38</f>
        <v>0</v>
      </c>
      <c r="L11" s="133">
        <f>F3.1!G44</f>
        <v>0</v>
      </c>
      <c r="M11" s="133">
        <f>F3.1!G50</f>
        <v>0</v>
      </c>
    </row>
    <row r="12" spans="2:13" s="5" customFormat="1" ht="15">
      <c r="B12" s="23">
        <v>3</v>
      </c>
      <c r="C12" s="31" t="s">
        <v>216</v>
      </c>
      <c r="D12" s="160"/>
      <c r="E12" s="167">
        <f>F3.1!H12</f>
        <v>4.2777974999999996E-2</v>
      </c>
      <c r="F12" s="167">
        <f>E12</f>
        <v>4.2777974999999996E-2</v>
      </c>
      <c r="G12" s="160"/>
      <c r="H12" s="169">
        <f>F3.1!H18</f>
        <v>0.04</v>
      </c>
      <c r="I12" s="169">
        <f>F3.1!H26</f>
        <v>27.560000000000002</v>
      </c>
      <c r="J12" s="169">
        <f>F3.1!H32</f>
        <v>13</v>
      </c>
      <c r="K12" s="169">
        <f>F3.1!H38</f>
        <v>0</v>
      </c>
      <c r="L12" s="169">
        <f>F3.1!H44</f>
        <v>0</v>
      </c>
      <c r="M12" s="169">
        <f>F3.1!H50</f>
        <v>0</v>
      </c>
    </row>
    <row r="13" spans="2:13" s="5" customFormat="1" ht="15">
      <c r="B13" s="23">
        <v>4</v>
      </c>
      <c r="C13" s="29" t="s">
        <v>250</v>
      </c>
      <c r="D13" s="161">
        <f>D10+D11-D12</f>
        <v>0</v>
      </c>
      <c r="E13" s="161">
        <f>E10+E11-E12</f>
        <v>0.28989905199999999</v>
      </c>
      <c r="F13" s="161">
        <f t="shared" ref="F13:M13" si="0">F10+F11-F12</f>
        <v>0.28989905199999999</v>
      </c>
      <c r="G13" s="161">
        <f t="shared" si="0"/>
        <v>0</v>
      </c>
      <c r="H13" s="161">
        <f t="shared" si="0"/>
        <v>0.28989905199999999</v>
      </c>
      <c r="I13" s="161">
        <f t="shared" si="0"/>
        <v>0</v>
      </c>
      <c r="J13" s="161">
        <f t="shared" si="0"/>
        <v>0</v>
      </c>
      <c r="K13" s="161">
        <f t="shared" si="0"/>
        <v>0</v>
      </c>
      <c r="L13" s="161">
        <f t="shared" si="0"/>
        <v>0</v>
      </c>
      <c r="M13" s="161">
        <f t="shared" si="0"/>
        <v>0</v>
      </c>
    </row>
    <row r="14" spans="2:13" s="35" customFormat="1" ht="15">
      <c r="B14" s="65"/>
      <c r="C14" s="52"/>
      <c r="D14" s="62"/>
      <c r="E14" s="62"/>
      <c r="F14" s="62"/>
      <c r="G14" s="63"/>
      <c r="H14" s="26"/>
      <c r="I14" s="26"/>
      <c r="J14" s="26"/>
      <c r="K14" s="26"/>
    </row>
    <row r="16" spans="2:13">
      <c r="B16" s="66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51"/>
  <sheetViews>
    <sheetView showGridLines="0" zoomScale="64" zoomScaleNormal="64" zoomScaleSheetLayoutView="90" workbookViewId="0">
      <selection activeCell="E31" sqref="E31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7" ht="15">
      <c r="B1" s="26"/>
    </row>
    <row r="2" spans="2:17" ht="15">
      <c r="B2" s="250" t="s">
        <v>411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2:17" ht="15">
      <c r="B3" s="250" t="s">
        <v>381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2:17" ht="15">
      <c r="B4" s="251" t="s">
        <v>277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2:17" ht="15">
      <c r="K5" s="38"/>
    </row>
    <row r="6" spans="2:17" ht="60">
      <c r="B6" s="21" t="s">
        <v>186</v>
      </c>
      <c r="C6" s="25" t="s">
        <v>251</v>
      </c>
      <c r="D6" s="33" t="s">
        <v>253</v>
      </c>
      <c r="E6" s="25" t="s">
        <v>252</v>
      </c>
      <c r="F6" s="33" t="s">
        <v>255</v>
      </c>
      <c r="G6" s="33" t="s">
        <v>258</v>
      </c>
      <c r="H6" s="33" t="s">
        <v>259</v>
      </c>
      <c r="I6" s="33" t="s">
        <v>272</v>
      </c>
      <c r="J6" s="25" t="s">
        <v>254</v>
      </c>
      <c r="K6" s="33" t="s">
        <v>260</v>
      </c>
      <c r="L6" s="33" t="s">
        <v>175</v>
      </c>
      <c r="M6" s="27"/>
      <c r="N6" s="27"/>
      <c r="O6" s="27"/>
      <c r="P6" s="27"/>
    </row>
    <row r="7" spans="2:17" s="35" customFormat="1" ht="15">
      <c r="B7" s="23"/>
      <c r="C7" s="33" t="s">
        <v>382</v>
      </c>
      <c r="D7" s="32"/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2:17">
      <c r="B8" s="23">
        <v>1</v>
      </c>
      <c r="C8" s="23" t="s">
        <v>407</v>
      </c>
      <c r="D8" s="29"/>
      <c r="E8" s="29"/>
      <c r="F8" s="29"/>
      <c r="G8" s="159">
        <v>9.4281999999999994E-3</v>
      </c>
      <c r="H8" s="159">
        <v>9.4281999999999994E-3</v>
      </c>
      <c r="I8" s="29" t="s">
        <v>407</v>
      </c>
      <c r="J8" s="29"/>
      <c r="K8" s="29"/>
      <c r="L8" s="29"/>
    </row>
    <row r="9" spans="2:17">
      <c r="B9" s="23">
        <v>2</v>
      </c>
      <c r="C9" s="23" t="s">
        <v>408</v>
      </c>
      <c r="D9" s="29"/>
      <c r="E9" s="29"/>
      <c r="F9" s="29"/>
      <c r="G9" s="159">
        <v>3.3349774999999998E-2</v>
      </c>
      <c r="H9" s="159">
        <v>3.3349774999999998E-2</v>
      </c>
      <c r="I9" s="29" t="s">
        <v>408</v>
      </c>
      <c r="J9" s="29"/>
      <c r="K9" s="29"/>
      <c r="L9" s="29"/>
    </row>
    <row r="10" spans="2:17">
      <c r="B10" s="23">
        <v>3</v>
      </c>
      <c r="C10" s="23" t="s">
        <v>409</v>
      </c>
      <c r="D10" s="29"/>
      <c r="E10" s="29"/>
      <c r="F10" s="29"/>
      <c r="G10" s="159">
        <v>0.28989905199999999</v>
      </c>
      <c r="H10" s="159">
        <v>0</v>
      </c>
      <c r="I10" s="29"/>
      <c r="J10" s="29"/>
      <c r="K10" s="29"/>
      <c r="L10" s="29"/>
    </row>
    <row r="11" spans="2:17">
      <c r="B11" s="29"/>
      <c r="C11" s="29" t="s">
        <v>9</v>
      </c>
      <c r="D11" s="29"/>
      <c r="E11" s="29"/>
      <c r="F11" s="29">
        <v>0</v>
      </c>
      <c r="G11" s="159">
        <v>0.33267702700000001</v>
      </c>
      <c r="H11" s="159">
        <v>4.2777974999999996E-2</v>
      </c>
      <c r="I11" s="29"/>
      <c r="J11" s="29"/>
      <c r="K11" s="29"/>
      <c r="L11" s="29"/>
    </row>
    <row r="12" spans="2:17" ht="15">
      <c r="B12" s="29"/>
      <c r="C12" s="25" t="s">
        <v>127</v>
      </c>
      <c r="D12" s="170"/>
      <c r="E12" s="159"/>
      <c r="F12" s="136">
        <f>F11</f>
        <v>0</v>
      </c>
      <c r="G12" s="136">
        <f t="shared" ref="G12:H12" si="0">G11</f>
        <v>0.33267702700000001</v>
      </c>
      <c r="H12" s="136">
        <f t="shared" si="0"/>
        <v>4.2777974999999996E-2</v>
      </c>
      <c r="I12" s="29"/>
      <c r="J12" s="29"/>
      <c r="K12" s="29"/>
      <c r="L12" s="29"/>
    </row>
    <row r="13" spans="2:17" ht="30">
      <c r="B13" s="23"/>
      <c r="C13" s="33" t="s">
        <v>392</v>
      </c>
      <c r="D13" s="159"/>
      <c r="E13" s="159"/>
      <c r="F13" s="159"/>
      <c r="G13" s="159"/>
      <c r="H13" s="159"/>
      <c r="I13" s="29"/>
      <c r="J13" s="29"/>
      <c r="K13" s="29"/>
      <c r="L13" s="29"/>
    </row>
    <row r="14" spans="2:17">
      <c r="B14" s="23">
        <v>1</v>
      </c>
      <c r="C14" s="23"/>
      <c r="D14" s="159"/>
      <c r="E14" s="159"/>
      <c r="F14" s="159"/>
      <c r="G14" s="159"/>
      <c r="H14" s="159"/>
      <c r="I14" s="29"/>
      <c r="J14" s="29"/>
      <c r="K14" s="29"/>
      <c r="L14" s="29"/>
    </row>
    <row r="15" spans="2:17">
      <c r="B15" s="23">
        <v>2</v>
      </c>
      <c r="C15" s="23"/>
      <c r="D15" s="159"/>
      <c r="E15" s="159"/>
      <c r="F15" s="159"/>
      <c r="G15" s="159"/>
      <c r="H15" s="159"/>
      <c r="I15" s="29"/>
      <c r="J15" s="29"/>
      <c r="K15" s="29"/>
      <c r="L15" s="29"/>
    </row>
    <row r="16" spans="2:17">
      <c r="B16" s="23">
        <v>3</v>
      </c>
      <c r="C16" s="23"/>
      <c r="D16" s="159"/>
      <c r="E16" s="159"/>
      <c r="F16" s="159"/>
      <c r="G16" s="159"/>
      <c r="H16" s="159"/>
      <c r="I16" s="29"/>
      <c r="J16" s="29"/>
      <c r="K16" s="29"/>
      <c r="L16" s="29"/>
    </row>
    <row r="17" spans="2:12">
      <c r="B17" s="29"/>
      <c r="C17" s="29" t="s">
        <v>9</v>
      </c>
      <c r="D17" s="159"/>
      <c r="E17" s="159"/>
      <c r="F17" s="159"/>
      <c r="G17" s="159">
        <v>0.04</v>
      </c>
      <c r="H17" s="159">
        <v>0.04</v>
      </c>
      <c r="I17" s="29"/>
      <c r="J17" s="29"/>
      <c r="K17" s="29"/>
      <c r="L17" s="29"/>
    </row>
    <row r="18" spans="2:12" ht="15">
      <c r="B18" s="29"/>
      <c r="C18" s="25" t="s">
        <v>127</v>
      </c>
      <c r="D18" s="170"/>
      <c r="E18" s="159"/>
      <c r="F18" s="136">
        <f>F17</f>
        <v>0</v>
      </c>
      <c r="G18" s="136">
        <f t="shared" ref="G18:H18" si="1">G17</f>
        <v>0.04</v>
      </c>
      <c r="H18" s="136">
        <f t="shared" si="1"/>
        <v>0.04</v>
      </c>
      <c r="I18" s="29"/>
      <c r="J18" s="29"/>
      <c r="K18" s="29"/>
      <c r="L18" s="29"/>
    </row>
    <row r="19" spans="2:12" ht="30">
      <c r="B19" s="23"/>
      <c r="C19" s="33" t="s">
        <v>393</v>
      </c>
      <c r="D19" s="159"/>
      <c r="E19" s="159"/>
      <c r="F19" s="159"/>
      <c r="G19" s="159"/>
      <c r="H19" s="159"/>
      <c r="I19" s="29"/>
      <c r="J19" s="29"/>
      <c r="K19" s="29"/>
      <c r="L19" s="29"/>
    </row>
    <row r="20" spans="2:12">
      <c r="B20" s="23">
        <v>1</v>
      </c>
      <c r="C20" s="23"/>
      <c r="D20" s="159"/>
      <c r="E20" s="159"/>
      <c r="F20" s="159"/>
      <c r="G20" s="159"/>
      <c r="H20" s="159"/>
      <c r="I20" s="29"/>
      <c r="J20" s="29"/>
      <c r="K20" s="29"/>
      <c r="L20" s="29"/>
    </row>
    <row r="21" spans="2:12" ht="45">
      <c r="B21" s="23">
        <v>2</v>
      </c>
      <c r="C21" s="23"/>
      <c r="D21" s="159"/>
      <c r="E21" s="216" t="s">
        <v>414</v>
      </c>
      <c r="F21" s="159"/>
      <c r="G21" s="159">
        <v>15</v>
      </c>
      <c r="H21" s="159">
        <v>15</v>
      </c>
      <c r="I21" s="29"/>
      <c r="J21" s="29"/>
      <c r="K21" s="29"/>
      <c r="L21" s="29"/>
    </row>
    <row r="22" spans="2:12" ht="15">
      <c r="B22" s="23">
        <v>3</v>
      </c>
      <c r="C22" s="23"/>
      <c r="D22" s="159"/>
      <c r="E22" s="170" t="s">
        <v>412</v>
      </c>
      <c r="F22" s="159"/>
      <c r="G22" s="159">
        <v>0.56000000000000005</v>
      </c>
      <c r="H22" s="159">
        <v>0.56000000000000005</v>
      </c>
      <c r="I22" s="29"/>
      <c r="J22" s="29"/>
      <c r="K22" s="29"/>
      <c r="L22" s="29"/>
    </row>
    <row r="23" spans="2:12" ht="60">
      <c r="B23" s="29"/>
      <c r="C23" s="29" t="s">
        <v>9</v>
      </c>
      <c r="D23" s="159"/>
      <c r="E23" s="216" t="s">
        <v>415</v>
      </c>
      <c r="F23" s="159"/>
      <c r="G23" s="159">
        <v>12</v>
      </c>
      <c r="H23" s="159">
        <v>12</v>
      </c>
      <c r="I23" s="29"/>
      <c r="J23" s="29"/>
      <c r="K23" s="29"/>
      <c r="L23" s="29"/>
    </row>
    <row r="24" spans="2:12">
      <c r="B24" s="29"/>
      <c r="C24" s="29"/>
      <c r="D24" s="159"/>
      <c r="E24" s="159"/>
      <c r="F24" s="159"/>
      <c r="G24" s="159">
        <f>SUM(G21:G23)</f>
        <v>27.560000000000002</v>
      </c>
      <c r="H24" s="159"/>
      <c r="I24" s="29"/>
      <c r="J24" s="29"/>
      <c r="K24" s="29"/>
      <c r="L24" s="29"/>
    </row>
    <row r="25" spans="2:12">
      <c r="B25" s="29"/>
      <c r="C25" s="29"/>
      <c r="D25" s="159"/>
      <c r="E25" s="159"/>
      <c r="F25" s="159">
        <v>0</v>
      </c>
      <c r="G25" s="159">
        <v>27.560000000000002</v>
      </c>
      <c r="H25" s="159">
        <v>27.560000000000002</v>
      </c>
      <c r="I25" s="29"/>
      <c r="J25" s="29"/>
      <c r="K25" s="29"/>
      <c r="L25" s="29"/>
    </row>
    <row r="26" spans="2:12" ht="15">
      <c r="B26" s="29"/>
      <c r="C26" s="25" t="s">
        <v>127</v>
      </c>
      <c r="D26" s="170"/>
      <c r="E26" s="159"/>
      <c r="F26" s="136">
        <f>F25</f>
        <v>0</v>
      </c>
      <c r="G26" s="136">
        <f t="shared" ref="G26:H26" si="2">G25</f>
        <v>27.560000000000002</v>
      </c>
      <c r="H26" s="136">
        <f t="shared" si="2"/>
        <v>27.560000000000002</v>
      </c>
      <c r="I26" s="29"/>
      <c r="J26" s="29"/>
      <c r="K26" s="29"/>
      <c r="L26" s="29"/>
    </row>
    <row r="27" spans="2:12" ht="30">
      <c r="B27" s="23"/>
      <c r="C27" s="33" t="s">
        <v>394</v>
      </c>
      <c r="D27" s="159"/>
      <c r="E27" s="159"/>
      <c r="F27" s="159"/>
      <c r="G27" s="159"/>
      <c r="H27" s="159"/>
      <c r="I27" s="29"/>
      <c r="J27" s="29"/>
      <c r="K27" s="29"/>
      <c r="L27" s="29"/>
    </row>
    <row r="28" spans="2:12">
      <c r="B28" s="23">
        <v>1</v>
      </c>
      <c r="C28" s="23"/>
      <c r="D28" s="159"/>
      <c r="E28" s="159"/>
      <c r="F28" s="159"/>
      <c r="G28" s="159"/>
      <c r="H28" s="159"/>
      <c r="I28" s="29"/>
      <c r="J28" s="29"/>
      <c r="K28" s="29"/>
      <c r="L28" s="29"/>
    </row>
    <row r="29" spans="2:12">
      <c r="B29" s="23">
        <v>2</v>
      </c>
      <c r="C29" s="23"/>
      <c r="D29" s="159"/>
      <c r="E29" s="159"/>
      <c r="F29" s="159"/>
      <c r="G29" s="159"/>
      <c r="H29" s="159"/>
      <c r="I29" s="29"/>
      <c r="J29" s="29"/>
      <c r="K29" s="29"/>
      <c r="L29" s="29"/>
    </row>
    <row r="30" spans="2:12">
      <c r="B30" s="23">
        <v>3</v>
      </c>
      <c r="C30" s="23"/>
      <c r="D30" s="159"/>
      <c r="E30" s="159"/>
      <c r="F30" s="159"/>
      <c r="G30" s="159"/>
      <c r="H30" s="159"/>
      <c r="I30" s="29"/>
      <c r="J30" s="29"/>
      <c r="K30" s="29"/>
      <c r="L30" s="29"/>
    </row>
    <row r="31" spans="2:12" ht="60">
      <c r="B31" s="29"/>
      <c r="C31" s="29" t="s">
        <v>9</v>
      </c>
      <c r="D31" s="159"/>
      <c r="E31" s="216" t="s">
        <v>415</v>
      </c>
      <c r="F31" s="159"/>
      <c r="G31" s="159">
        <v>13</v>
      </c>
      <c r="H31" s="159">
        <v>13</v>
      </c>
      <c r="I31" s="29"/>
      <c r="J31" s="29"/>
      <c r="K31" s="29"/>
      <c r="L31" s="29"/>
    </row>
    <row r="32" spans="2:12" ht="15">
      <c r="B32" s="29"/>
      <c r="C32" s="25" t="s">
        <v>127</v>
      </c>
      <c r="D32" s="170"/>
      <c r="E32" s="159"/>
      <c r="F32" s="136">
        <f>F31</f>
        <v>0</v>
      </c>
      <c r="G32" s="136">
        <f t="shared" ref="G32:H32" si="3">G31</f>
        <v>13</v>
      </c>
      <c r="H32" s="136">
        <f t="shared" si="3"/>
        <v>13</v>
      </c>
      <c r="I32" s="29"/>
      <c r="J32" s="29"/>
      <c r="K32" s="29"/>
      <c r="L32" s="29"/>
    </row>
    <row r="33" spans="2:12" ht="30">
      <c r="B33" s="23"/>
      <c r="C33" s="33" t="s">
        <v>395</v>
      </c>
      <c r="D33" s="159"/>
      <c r="E33" s="159"/>
      <c r="F33" s="159"/>
      <c r="G33" s="159"/>
      <c r="H33" s="159"/>
      <c r="I33" s="29"/>
      <c r="J33" s="29"/>
      <c r="K33" s="29"/>
      <c r="L33" s="29"/>
    </row>
    <row r="34" spans="2:12">
      <c r="B34" s="23">
        <v>1</v>
      </c>
      <c r="C34" s="23"/>
      <c r="D34" s="159"/>
      <c r="E34" s="159"/>
      <c r="F34" s="159"/>
      <c r="G34" s="159"/>
      <c r="H34" s="159"/>
      <c r="I34" s="29"/>
      <c r="J34" s="29"/>
      <c r="K34" s="29"/>
      <c r="L34" s="29"/>
    </row>
    <row r="35" spans="2:12">
      <c r="B35" s="23">
        <v>2</v>
      </c>
      <c r="C35" s="23"/>
      <c r="D35" s="159"/>
      <c r="E35" s="159"/>
      <c r="F35" s="159"/>
      <c r="G35" s="159"/>
      <c r="H35" s="159"/>
      <c r="I35" s="29"/>
      <c r="J35" s="29"/>
      <c r="K35" s="29"/>
      <c r="L35" s="29"/>
    </row>
    <row r="36" spans="2:12">
      <c r="B36" s="23">
        <v>3</v>
      </c>
      <c r="C36" s="23"/>
      <c r="D36" s="159"/>
      <c r="E36" s="159"/>
      <c r="F36" s="159"/>
      <c r="G36" s="159"/>
      <c r="H36" s="159"/>
      <c r="I36" s="29"/>
      <c r="J36" s="29"/>
      <c r="K36" s="29"/>
      <c r="L36" s="29"/>
    </row>
    <row r="37" spans="2:12">
      <c r="B37" s="29"/>
      <c r="C37" s="29" t="s">
        <v>9</v>
      </c>
      <c r="D37" s="159"/>
      <c r="E37" s="159"/>
      <c r="F37" s="159"/>
      <c r="G37" s="159"/>
      <c r="H37" s="159"/>
      <c r="I37" s="29"/>
      <c r="J37" s="29"/>
      <c r="K37" s="29"/>
      <c r="L37" s="29"/>
    </row>
    <row r="38" spans="2:12" ht="15">
      <c r="B38" s="29"/>
      <c r="C38" s="25" t="s">
        <v>127</v>
      </c>
      <c r="D38" s="170"/>
      <c r="E38" s="159"/>
      <c r="F38" s="136">
        <f>F37</f>
        <v>0</v>
      </c>
      <c r="G38" s="136">
        <f t="shared" ref="G38:H38" si="4">G37</f>
        <v>0</v>
      </c>
      <c r="H38" s="136">
        <f t="shared" si="4"/>
        <v>0</v>
      </c>
      <c r="I38" s="29"/>
      <c r="J38" s="29"/>
      <c r="K38" s="29"/>
      <c r="L38" s="29"/>
    </row>
    <row r="39" spans="2:12" ht="30">
      <c r="B39" s="23"/>
      <c r="C39" s="33" t="s">
        <v>396</v>
      </c>
      <c r="D39" s="159"/>
      <c r="E39" s="159"/>
      <c r="F39" s="159"/>
      <c r="G39" s="159"/>
      <c r="H39" s="159"/>
      <c r="I39" s="29"/>
      <c r="J39" s="29"/>
      <c r="K39" s="29"/>
      <c r="L39" s="29"/>
    </row>
    <row r="40" spans="2:12">
      <c r="B40" s="23">
        <v>1</v>
      </c>
      <c r="C40" s="23"/>
      <c r="D40" s="159"/>
      <c r="E40" s="159"/>
      <c r="F40" s="159"/>
      <c r="G40" s="159"/>
      <c r="H40" s="159"/>
      <c r="I40" s="29"/>
      <c r="J40" s="29"/>
      <c r="K40" s="29"/>
      <c r="L40" s="29"/>
    </row>
    <row r="41" spans="2:12">
      <c r="B41" s="23">
        <v>2</v>
      </c>
      <c r="C41" s="23"/>
      <c r="D41" s="159"/>
      <c r="E41" s="159"/>
      <c r="F41" s="159"/>
      <c r="G41" s="159"/>
      <c r="H41" s="159"/>
      <c r="I41" s="29"/>
      <c r="J41" s="29"/>
      <c r="K41" s="29"/>
      <c r="L41" s="29"/>
    </row>
    <row r="42" spans="2:12">
      <c r="B42" s="23">
        <v>3</v>
      </c>
      <c r="C42" s="23"/>
      <c r="D42" s="159"/>
      <c r="E42" s="159"/>
      <c r="F42" s="159"/>
      <c r="G42" s="159"/>
      <c r="H42" s="159"/>
      <c r="I42" s="29"/>
      <c r="J42" s="29"/>
      <c r="K42" s="29"/>
      <c r="L42" s="29"/>
    </row>
    <row r="43" spans="2:12">
      <c r="B43" s="29"/>
      <c r="C43" s="29" t="s">
        <v>9</v>
      </c>
      <c r="D43" s="159"/>
      <c r="E43" s="159"/>
      <c r="F43" s="159"/>
      <c r="G43" s="159"/>
      <c r="H43" s="159"/>
      <c r="I43" s="29"/>
      <c r="J43" s="29"/>
      <c r="K43" s="29"/>
      <c r="L43" s="29"/>
    </row>
    <row r="44" spans="2:12" ht="15">
      <c r="B44" s="29"/>
      <c r="C44" s="25" t="s">
        <v>127</v>
      </c>
      <c r="D44" s="170"/>
      <c r="E44" s="159"/>
      <c r="F44" s="136">
        <f>F43</f>
        <v>0</v>
      </c>
      <c r="G44" s="136">
        <f t="shared" ref="G44:H44" si="5">G43</f>
        <v>0</v>
      </c>
      <c r="H44" s="136">
        <f t="shared" si="5"/>
        <v>0</v>
      </c>
      <c r="I44" s="29"/>
      <c r="J44" s="29"/>
      <c r="K44" s="29"/>
      <c r="L44" s="29"/>
    </row>
    <row r="45" spans="2:12" ht="30">
      <c r="B45" s="23"/>
      <c r="C45" s="33" t="s">
        <v>397</v>
      </c>
      <c r="D45" s="159"/>
      <c r="E45" s="159"/>
      <c r="F45" s="159"/>
      <c r="G45" s="159"/>
      <c r="H45" s="159"/>
      <c r="I45" s="29"/>
      <c r="J45" s="29"/>
      <c r="K45" s="29"/>
      <c r="L45" s="29"/>
    </row>
    <row r="46" spans="2:12">
      <c r="B46" s="23">
        <v>1</v>
      </c>
      <c r="C46" s="23"/>
      <c r="D46" s="159"/>
      <c r="E46" s="159"/>
      <c r="F46" s="159"/>
      <c r="G46" s="159"/>
      <c r="H46" s="159"/>
      <c r="I46" s="29"/>
      <c r="J46" s="29"/>
      <c r="K46" s="29"/>
      <c r="L46" s="29"/>
    </row>
    <row r="47" spans="2:12">
      <c r="B47" s="23">
        <v>2</v>
      </c>
      <c r="C47" s="23"/>
      <c r="D47" s="159"/>
      <c r="E47" s="159"/>
      <c r="F47" s="159"/>
      <c r="G47" s="159"/>
      <c r="H47" s="159"/>
      <c r="I47" s="29"/>
      <c r="J47" s="29"/>
      <c r="K47" s="29"/>
      <c r="L47" s="29"/>
    </row>
    <row r="48" spans="2:12">
      <c r="B48" s="23">
        <v>3</v>
      </c>
      <c r="C48" s="23"/>
      <c r="D48" s="159"/>
      <c r="E48" s="159"/>
      <c r="F48" s="159"/>
      <c r="G48" s="159"/>
      <c r="H48" s="159"/>
      <c r="I48" s="29"/>
      <c r="J48" s="29"/>
      <c r="K48" s="29"/>
      <c r="L48" s="29"/>
    </row>
    <row r="49" spans="2:12">
      <c r="B49" s="29"/>
      <c r="C49" s="29" t="s">
        <v>9</v>
      </c>
      <c r="D49" s="159"/>
      <c r="E49" s="159"/>
      <c r="F49" s="159"/>
      <c r="G49" s="159"/>
      <c r="H49" s="159"/>
      <c r="I49" s="29"/>
      <c r="J49" s="29"/>
      <c r="K49" s="29"/>
      <c r="L49" s="29"/>
    </row>
    <row r="50" spans="2:12" ht="15">
      <c r="B50" s="29"/>
      <c r="C50" s="25" t="s">
        <v>127</v>
      </c>
      <c r="D50" s="136">
        <f>SUM(D46:D49)</f>
        <v>0</v>
      </c>
      <c r="E50" s="159"/>
      <c r="F50" s="136">
        <f>F49</f>
        <v>0</v>
      </c>
      <c r="G50" s="136">
        <f t="shared" ref="G50:H50" si="6">G49</f>
        <v>0</v>
      </c>
      <c r="H50" s="136">
        <f t="shared" si="6"/>
        <v>0</v>
      </c>
      <c r="I50" s="29"/>
      <c r="J50" s="29"/>
      <c r="K50" s="29"/>
      <c r="L50" s="29"/>
    </row>
    <row r="51" spans="2:12">
      <c r="B51" s="65" t="s">
        <v>256</v>
      </c>
      <c r="C51" s="53" t="s">
        <v>257</v>
      </c>
    </row>
  </sheetData>
  <mergeCells count="3">
    <mergeCell ref="B2:L2"/>
    <mergeCell ref="B3:L3"/>
    <mergeCell ref="B4:L4"/>
  </mergeCells>
  <pageMargins left="1.02" right="0.25" top="1" bottom="1" header="0.25" footer="0.25"/>
  <pageSetup paperSize="9" scale="46" orientation="landscape" r:id="rId1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Title</vt:lpstr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TSGENCO</cp:lastModifiedBy>
  <cp:lastPrinted>2024-09-21T06:31:27Z</cp:lastPrinted>
  <dcterms:created xsi:type="dcterms:W3CDTF">2004-07-28T05:30:50Z</dcterms:created>
  <dcterms:modified xsi:type="dcterms:W3CDTF">2024-09-21T06:32:58Z</dcterms:modified>
</cp:coreProperties>
</file>