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codeName="ThisWorkbook"/>
  <bookViews>
    <workbookView xWindow="375" yWindow="-195" windowWidth="10455" windowHeight="10905" tabRatio="700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0" sheetId="81" r:id="rId16"/>
    <sheet name="F11" sheetId="115" r:id="rId17"/>
    <sheet name="F11.1" sheetId="107" r:id="rId18"/>
    <sheet name="F12" sheetId="110" r:id="rId19"/>
    <sheet name="F13" sheetId="71" r:id="rId20"/>
    <sheet name="F14" sheetId="72" r:id="rId21"/>
    <sheet name="F15" sheetId="91" r:id="rId22"/>
  </sheets>
  <externalReferences>
    <externalReference r:id="rId23"/>
    <externalReference r:id="rId24"/>
    <externalReference r:id="rId25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ASTNPLF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BSTNPLF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CSTNPLF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_123Graph_XSTNPLF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Fill" hidden="1">#REF!</definedName>
    <definedName name="_Order1" hidden="1">255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new" hidden="1">[2]CE!#REF!</definedName>
    <definedName name="_xlnm.Print_Area" localSheetId="0">Checklist!$A$1:$E$41</definedName>
    <definedName name="_xlnm.Print_Area" localSheetId="3">F2.1!$B$2:$M$36</definedName>
    <definedName name="_xlnm.Print_Area" localSheetId="4">F2.2!$B$2:$M$40</definedName>
    <definedName name="_xlnm.Print_Area" localSheetId="6">'F3'!$B$2:$M$13</definedName>
    <definedName name="_xlnm.Print_Area" localSheetId="7">F3.1!$B$2:$L$72</definedName>
    <definedName name="_xlnm.Print_Area" localSheetId="9">'F4'!$B$2:$O$123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  <definedName name="xxxx" hidden="1">[3]CE!#REF!</definedName>
  </definedNames>
  <calcPr calcId="124519" iterate="1" iterateCount="1000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06"/>
  <c r="E12" l="1"/>
  <c r="H71" i="101" l="1"/>
  <c r="G71"/>
  <c r="M11" i="93" s="1"/>
  <c r="F71" i="101"/>
  <c r="D71"/>
  <c r="H65"/>
  <c r="G65"/>
  <c r="L11" i="93" s="1"/>
  <c r="F65" i="101"/>
  <c r="H58"/>
  <c r="G58"/>
  <c r="K11" i="93" s="1"/>
  <c r="F58" i="101"/>
  <c r="H51"/>
  <c r="G51"/>
  <c r="F51"/>
  <c r="H44"/>
  <c r="G44"/>
  <c r="F44"/>
  <c r="H37"/>
  <c r="G37"/>
  <c r="F37"/>
  <c r="H21"/>
  <c r="G21"/>
  <c r="F21"/>
  <c r="G17"/>
  <c r="H14"/>
  <c r="G14"/>
  <c r="H11"/>
  <c r="G11"/>
  <c r="K11" i="105" l="1"/>
  <c r="K12" s="1"/>
  <c r="K12" i="93"/>
  <c r="K14" i="103" s="1"/>
  <c r="L11" i="105"/>
  <c r="L12" s="1"/>
  <c r="L12" i="93"/>
  <c r="L14" i="103" s="1"/>
  <c r="M11" i="105"/>
  <c r="M12" s="1"/>
  <c r="M12" i="93"/>
  <c r="M14" i="103" s="1"/>
  <c r="G10" i="110"/>
  <c r="G11"/>
  <c r="G12"/>
  <c r="G13"/>
  <c r="G14"/>
  <c r="G15"/>
  <c r="G9"/>
  <c r="E19"/>
  <c r="E18"/>
  <c r="E17"/>
  <c r="F17"/>
  <c r="J16"/>
  <c r="F16"/>
  <c r="H16"/>
  <c r="I16"/>
  <c r="E16"/>
  <c r="G16" l="1"/>
  <c r="N16" i="104"/>
  <c r="K15" i="110"/>
  <c r="L15" s="1"/>
  <c r="M15" s="1"/>
  <c r="N15" s="1"/>
  <c r="K13"/>
  <c r="L13" s="1"/>
  <c r="M13" s="1"/>
  <c r="N13" s="1"/>
  <c r="G38" i="102" l="1"/>
  <c r="G124"/>
  <c r="H124"/>
  <c r="K124"/>
  <c r="L124"/>
  <c r="H107"/>
  <c r="K107"/>
  <c r="L107"/>
  <c r="H90"/>
  <c r="K90"/>
  <c r="L90"/>
  <c r="H73"/>
  <c r="K73"/>
  <c r="L73"/>
  <c r="H56"/>
  <c r="K56"/>
  <c r="L56"/>
  <c r="G39"/>
  <c r="H39"/>
  <c r="L39"/>
  <c r="H22"/>
  <c r="L22"/>
  <c r="J20" i="58"/>
  <c r="I20" s="1"/>
  <c r="D71" i="71" l="1"/>
  <c r="E71"/>
  <c r="F71"/>
  <c r="G71"/>
  <c r="H71"/>
  <c r="I71"/>
  <c r="J71"/>
  <c r="K71"/>
  <c r="L71"/>
  <c r="M71"/>
  <c r="N71"/>
  <c r="C71"/>
  <c r="D61"/>
  <c r="E61"/>
  <c r="F61"/>
  <c r="G61"/>
  <c r="H61"/>
  <c r="I61"/>
  <c r="J61"/>
  <c r="K61"/>
  <c r="L61"/>
  <c r="M61"/>
  <c r="N61"/>
  <c r="C61"/>
  <c r="D51"/>
  <c r="E51"/>
  <c r="F51"/>
  <c r="G51"/>
  <c r="H51"/>
  <c r="I51"/>
  <c r="J51"/>
  <c r="K51"/>
  <c r="L51"/>
  <c r="M51"/>
  <c r="N51"/>
  <c r="C51"/>
  <c r="D41"/>
  <c r="E41"/>
  <c r="F41"/>
  <c r="G41"/>
  <c r="H41"/>
  <c r="I41"/>
  <c r="J41"/>
  <c r="K41"/>
  <c r="L41"/>
  <c r="M41"/>
  <c r="N41"/>
  <c r="C41"/>
  <c r="D31"/>
  <c r="E31"/>
  <c r="F31"/>
  <c r="G31"/>
  <c r="H31"/>
  <c r="I31"/>
  <c r="J31"/>
  <c r="K31"/>
  <c r="L31"/>
  <c r="M31"/>
  <c r="N31"/>
  <c r="C31"/>
  <c r="D22"/>
  <c r="E22"/>
  <c r="F22"/>
  <c r="G22"/>
  <c r="H22"/>
  <c r="I22"/>
  <c r="J22"/>
  <c r="K22"/>
  <c r="C22"/>
  <c r="E12"/>
  <c r="F12"/>
  <c r="G12"/>
  <c r="H12"/>
  <c r="I12"/>
  <c r="J12"/>
  <c r="K12"/>
  <c r="L12"/>
  <c r="M12"/>
  <c r="N12"/>
  <c r="D12"/>
  <c r="C12"/>
  <c r="T17" i="67"/>
  <c r="T16"/>
  <c r="T18" s="1"/>
  <c r="K16" i="110" l="1"/>
  <c r="L16"/>
  <c r="M16"/>
  <c r="N16"/>
  <c r="H12" i="93" l="1"/>
  <c r="H14" i="103" s="1"/>
  <c r="H34" i="67" l="1"/>
  <c r="H36" s="1"/>
  <c r="I11" i="66" s="1"/>
  <c r="I15" i="110"/>
  <c r="I13"/>
  <c r="I38" i="81"/>
  <c r="N20" i="71"/>
  <c r="N18"/>
  <c r="M20"/>
  <c r="M18"/>
  <c r="L20"/>
  <c r="L18"/>
  <c r="E23" i="81"/>
  <c r="H18" i="110"/>
  <c r="G12" i="104" s="1"/>
  <c r="G18" i="110"/>
  <c r="F18"/>
  <c r="E12" i="104" s="1"/>
  <c r="H17" i="110"/>
  <c r="G17"/>
  <c r="F19" i="104"/>
  <c r="N19" s="1"/>
  <c r="O69" i="71"/>
  <c r="O67"/>
  <c r="O59"/>
  <c r="O57"/>
  <c r="O49"/>
  <c r="O47"/>
  <c r="O39"/>
  <c r="O37"/>
  <c r="O29"/>
  <c r="O27"/>
  <c r="O10"/>
  <c r="O8"/>
  <c r="O12" s="1"/>
  <c r="B41" i="81"/>
  <c r="B42" s="1"/>
  <c r="G38"/>
  <c r="G37"/>
  <c r="B37"/>
  <c r="B38" s="1"/>
  <c r="G34"/>
  <c r="G33"/>
  <c r="B33"/>
  <c r="B34" s="1"/>
  <c r="N30"/>
  <c r="N23" s="1"/>
  <c r="M30"/>
  <c r="M23" s="1"/>
  <c r="L30"/>
  <c r="L23" s="1"/>
  <c r="K30"/>
  <c r="K23" s="1"/>
  <c r="J30"/>
  <c r="J23" s="1"/>
  <c r="G30"/>
  <c r="G29"/>
  <c r="G28"/>
  <c r="G27"/>
  <c r="B27"/>
  <c r="B28" s="1"/>
  <c r="B29" s="1"/>
  <c r="B30" s="1"/>
  <c r="G24"/>
  <c r="G23"/>
  <c r="B23"/>
  <c r="B24" s="1"/>
  <c r="G20"/>
  <c r="B19"/>
  <c r="B20" s="1"/>
  <c r="G16"/>
  <c r="B15"/>
  <c r="B16" s="1"/>
  <c r="F10" i="93"/>
  <c r="O61" i="71" l="1"/>
  <c r="O41"/>
  <c r="M22"/>
  <c r="O31"/>
  <c r="O51"/>
  <c r="O71"/>
  <c r="L22"/>
  <c r="N22"/>
  <c r="F12" i="104"/>
  <c r="N12" s="1"/>
  <c r="G11"/>
  <c r="G10"/>
  <c r="E11"/>
  <c r="E10"/>
  <c r="O20" i="71"/>
  <c r="O18"/>
  <c r="O22" l="1"/>
  <c r="F11" i="104"/>
  <c r="N11" s="1"/>
  <c r="F10"/>
  <c r="N10" s="1"/>
  <c r="I19" i="110"/>
  <c r="H17" i="104" s="1"/>
  <c r="N18" i="110"/>
  <c r="M12" i="104" s="1"/>
  <c r="M18" i="110"/>
  <c r="L12" i="104" s="1"/>
  <c r="L18" i="110"/>
  <c r="K12" i="104" s="1"/>
  <c r="K18" i="110"/>
  <c r="J12" i="104" s="1"/>
  <c r="J18" i="110"/>
  <c r="I12" i="104" s="1"/>
  <c r="I18" i="110"/>
  <c r="H12" i="104" s="1"/>
  <c r="N17" i="110"/>
  <c r="M17"/>
  <c r="L17"/>
  <c r="K17"/>
  <c r="J17"/>
  <c r="I17"/>
  <c r="H11" i="104" l="1"/>
  <c r="H10"/>
  <c r="M11"/>
  <c r="M10"/>
  <c r="I11"/>
  <c r="I10"/>
  <c r="L11"/>
  <c r="L10"/>
  <c r="K11"/>
  <c r="K10"/>
  <c r="J10"/>
  <c r="J11"/>
  <c r="D10" l="1"/>
  <c r="D12"/>
  <c r="G18" i="102"/>
  <c r="G21" l="1"/>
  <c r="G22"/>
  <c r="D11" i="104"/>
  <c r="J12" i="102"/>
  <c r="J21" l="1"/>
  <c r="J22"/>
  <c r="F12"/>
  <c r="F21" l="1"/>
  <c r="F22"/>
  <c r="H14" i="66"/>
  <c r="E14"/>
  <c r="E14" i="103"/>
  <c r="L123" i="102" l="1"/>
  <c r="H123"/>
  <c r="L106"/>
  <c r="H106"/>
  <c r="L89"/>
  <c r="H89"/>
  <c r="L72"/>
  <c r="H72"/>
  <c r="J54"/>
  <c r="L55"/>
  <c r="H55"/>
  <c r="J37" l="1"/>
  <c r="L38"/>
  <c r="M38" i="68"/>
  <c r="M40" s="1"/>
  <c r="I38"/>
  <c r="I40" s="1"/>
  <c r="J38"/>
  <c r="J40" s="1"/>
  <c r="K38"/>
  <c r="K40" s="1"/>
  <c r="L38"/>
  <c r="L40" s="1"/>
  <c r="E38"/>
  <c r="E40" s="1"/>
  <c r="F38"/>
  <c r="F40" s="1"/>
  <c r="G38"/>
  <c r="G40" s="1"/>
  <c r="D38"/>
  <c r="D40" s="1"/>
  <c r="H38" l="1"/>
  <c r="H40" s="1"/>
  <c r="N19" i="110" l="1"/>
  <c r="M17" i="104" s="1"/>
  <c r="M19" i="110"/>
  <c r="L17" i="104" s="1"/>
  <c r="L19" i="110"/>
  <c r="K17" i="104" s="1"/>
  <c r="K19" i="110"/>
  <c r="J17" i="104" s="1"/>
  <c r="J19" i="110"/>
  <c r="I17" i="104" s="1"/>
  <c r="H19" i="110"/>
  <c r="G17" i="104" s="1"/>
  <c r="G19" i="110" l="1"/>
  <c r="L21" i="102" l="1"/>
  <c r="D11" i="103"/>
  <c r="E11" s="1"/>
  <c r="F11" s="1"/>
  <c r="H21" i="102"/>
  <c r="N12"/>
  <c r="I12"/>
  <c r="K12" s="1"/>
  <c r="N11"/>
  <c r="I11"/>
  <c r="K11" s="1"/>
  <c r="N10"/>
  <c r="I10"/>
  <c r="K10" s="1"/>
  <c r="N9"/>
  <c r="I9"/>
  <c r="N16"/>
  <c r="I16"/>
  <c r="N15"/>
  <c r="I15"/>
  <c r="N14"/>
  <c r="I14"/>
  <c r="N13"/>
  <c r="I13"/>
  <c r="K9" l="1"/>
  <c r="F30"/>
  <c r="I30" s="1"/>
  <c r="K13"/>
  <c r="M13" s="1"/>
  <c r="J30" s="1"/>
  <c r="F31"/>
  <c r="I31" s="1"/>
  <c r="K14"/>
  <c r="F32"/>
  <c r="I32" s="1"/>
  <c r="K15"/>
  <c r="M15" s="1"/>
  <c r="F33"/>
  <c r="I33" s="1"/>
  <c r="K16"/>
  <c r="M16" s="1"/>
  <c r="D10" i="103"/>
  <c r="E10" s="1"/>
  <c r="D10" i="105"/>
  <c r="E10" s="1"/>
  <c r="F10" s="1"/>
  <c r="D14" i="103"/>
  <c r="M9" i="102"/>
  <c r="F26"/>
  <c r="M11"/>
  <c r="F28"/>
  <c r="I28" s="1"/>
  <c r="M12"/>
  <c r="J29" s="1"/>
  <c r="F29"/>
  <c r="I29" s="1"/>
  <c r="M10"/>
  <c r="J27" s="1"/>
  <c r="F27"/>
  <c r="I27" s="1"/>
  <c r="M14"/>
  <c r="J31" s="1"/>
  <c r="O13" l="1"/>
  <c r="O14"/>
  <c r="I26"/>
  <c r="K26" s="1"/>
  <c r="J26"/>
  <c r="N26" s="1"/>
  <c r="F10" i="103"/>
  <c r="H10"/>
  <c r="I10" s="1"/>
  <c r="O9" i="102"/>
  <c r="O12"/>
  <c r="O16"/>
  <c r="J33"/>
  <c r="N33" s="1"/>
  <c r="O11"/>
  <c r="J28"/>
  <c r="N28" s="1"/>
  <c r="O15"/>
  <c r="J32"/>
  <c r="N32" s="1"/>
  <c r="O10"/>
  <c r="N30"/>
  <c r="N27"/>
  <c r="K28"/>
  <c r="N29"/>
  <c r="K29"/>
  <c r="M29" s="1"/>
  <c r="J46" s="1"/>
  <c r="N31"/>
  <c r="D17" i="104"/>
  <c r="F19" i="110"/>
  <c r="E17" i="104" s="1"/>
  <c r="Q19" i="91"/>
  <c r="Q15"/>
  <c r="Q14"/>
  <c r="M28" i="102" l="1"/>
  <c r="J45" s="1"/>
  <c r="F17" i="104"/>
  <c r="N17" s="1"/>
  <c r="F44" i="102"/>
  <c r="I44" s="1"/>
  <c r="F61" s="1"/>
  <c r="K27"/>
  <c r="M27" s="1"/>
  <c r="F47"/>
  <c r="I47" s="1"/>
  <c r="F64" s="1"/>
  <c r="K30"/>
  <c r="M30" s="1"/>
  <c r="F49"/>
  <c r="K32"/>
  <c r="M32" s="1"/>
  <c r="K31"/>
  <c r="M31" s="1"/>
  <c r="J48" s="1"/>
  <c r="K33"/>
  <c r="M33" s="1"/>
  <c r="O29"/>
  <c r="F46"/>
  <c r="F50"/>
  <c r="F48"/>
  <c r="F45"/>
  <c r="F43"/>
  <c r="E34" i="67"/>
  <c r="F34"/>
  <c r="G34"/>
  <c r="D34"/>
  <c r="O28" i="102" l="1"/>
  <c r="J50"/>
  <c r="N50" s="1"/>
  <c r="O33"/>
  <c r="O31"/>
  <c r="O30"/>
  <c r="J47"/>
  <c r="N47" s="1"/>
  <c r="O32"/>
  <c r="J49"/>
  <c r="N49" s="1"/>
  <c r="O27"/>
  <c r="J44"/>
  <c r="N44" s="1"/>
  <c r="M26"/>
  <c r="I43"/>
  <c r="M48"/>
  <c r="J65" s="1"/>
  <c r="I48"/>
  <c r="N48"/>
  <c r="N46"/>
  <c r="I46"/>
  <c r="F63" s="1"/>
  <c r="I64"/>
  <c r="F81" s="1"/>
  <c r="I61"/>
  <c r="I45"/>
  <c r="F62" s="1"/>
  <c r="N45"/>
  <c r="I50"/>
  <c r="G20" i="58"/>
  <c r="H20" s="1"/>
  <c r="K20"/>
  <c r="L20"/>
  <c r="M20"/>
  <c r="N20"/>
  <c r="O20"/>
  <c r="M49" i="102" l="1"/>
  <c r="J66" s="1"/>
  <c r="M50"/>
  <c r="J67" s="1"/>
  <c r="M47"/>
  <c r="J64" s="1"/>
  <c r="N64" s="1"/>
  <c r="M44"/>
  <c r="O26"/>
  <c r="J43"/>
  <c r="F60"/>
  <c r="I60" s="1"/>
  <c r="I62"/>
  <c r="F79" s="1"/>
  <c r="I63"/>
  <c r="F67"/>
  <c r="F65"/>
  <c r="O48"/>
  <c r="M46"/>
  <c r="F78"/>
  <c r="I81"/>
  <c r="F98" s="1"/>
  <c r="M45"/>
  <c r="O50" l="1"/>
  <c r="O47"/>
  <c r="F77"/>
  <c r="I77" s="1"/>
  <c r="N43"/>
  <c r="M64"/>
  <c r="J81" s="1"/>
  <c r="N81" s="1"/>
  <c r="O45"/>
  <c r="J62"/>
  <c r="N62" s="1"/>
  <c r="O44"/>
  <c r="J61"/>
  <c r="O46"/>
  <c r="J63"/>
  <c r="M43"/>
  <c r="I98"/>
  <c r="F115" s="1"/>
  <c r="I79"/>
  <c r="F96" s="1"/>
  <c r="N67"/>
  <c r="I67"/>
  <c r="F84" s="1"/>
  <c r="I78"/>
  <c r="F95" s="1"/>
  <c r="N65"/>
  <c r="I65"/>
  <c r="F80"/>
  <c r="F82" l="1"/>
  <c r="I82" s="1"/>
  <c r="F94"/>
  <c r="I94" s="1"/>
  <c r="J60"/>
  <c r="M60" s="1"/>
  <c r="J77" s="1"/>
  <c r="M62"/>
  <c r="J79" s="1"/>
  <c r="O64"/>
  <c r="N61"/>
  <c r="M61"/>
  <c r="M81"/>
  <c r="N63"/>
  <c r="M63"/>
  <c r="O43"/>
  <c r="M67"/>
  <c r="M65"/>
  <c r="I115"/>
  <c r="I95"/>
  <c r="I84"/>
  <c r="I96"/>
  <c r="F113" s="1"/>
  <c r="Q22" i="91"/>
  <c r="Q23"/>
  <c r="Q24"/>
  <c r="Q21"/>
  <c r="F25"/>
  <c r="G25"/>
  <c r="H25"/>
  <c r="I25"/>
  <c r="J25"/>
  <c r="K25"/>
  <c r="L25"/>
  <c r="M25"/>
  <c r="N25"/>
  <c r="O25"/>
  <c r="P25"/>
  <c r="E25"/>
  <c r="O60" i="102" l="1"/>
  <c r="N77"/>
  <c r="N60"/>
  <c r="N79"/>
  <c r="M79"/>
  <c r="J96" s="1"/>
  <c r="O62"/>
  <c r="M77"/>
  <c r="O77" s="1"/>
  <c r="O81"/>
  <c r="J98"/>
  <c r="J78"/>
  <c r="O61"/>
  <c r="O67"/>
  <c r="J84"/>
  <c r="N84" s="1"/>
  <c r="O65"/>
  <c r="J82"/>
  <c r="J80"/>
  <c r="O63"/>
  <c r="F111"/>
  <c r="F112"/>
  <c r="I113"/>
  <c r="F101"/>
  <c r="F99"/>
  <c r="Q25" i="91"/>
  <c r="Q30" s="1"/>
  <c r="B51" i="115"/>
  <c r="B52" s="1"/>
  <c r="B53" s="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B10"/>
  <c r="B12" s="1"/>
  <c r="B13" s="1"/>
  <c r="B14" s="1"/>
  <c r="B15" s="1"/>
  <c r="B16" s="1"/>
  <c r="B18" s="1"/>
  <c r="B19" s="1"/>
  <c r="B20" s="1"/>
  <c r="B21" s="1"/>
  <c r="B23" s="1"/>
  <c r="B28" s="1"/>
  <c r="B29" s="1"/>
  <c r="B30" s="1"/>
  <c r="B31" s="1"/>
  <c r="B32" s="1"/>
  <c r="B34" s="1"/>
  <c r="B35" s="1"/>
  <c r="B36" s="1"/>
  <c r="B38" s="1"/>
  <c r="B39" s="1"/>
  <c r="B40" s="1"/>
  <c r="B41" s="1"/>
  <c r="B42" s="1"/>
  <c r="B43" s="1"/>
  <c r="B44" s="1"/>
  <c r="B45" s="1"/>
  <c r="B46" s="1"/>
  <c r="B47" s="1"/>
  <c r="J94" i="102" l="1"/>
  <c r="M84"/>
  <c r="J101" s="1"/>
  <c r="I32" i="115"/>
  <c r="I34" s="1"/>
  <c r="M32"/>
  <c r="M34" s="1"/>
  <c r="Q32"/>
  <c r="Q34" s="1"/>
  <c r="U32"/>
  <c r="O79" i="102"/>
  <c r="N94"/>
  <c r="N82"/>
  <c r="M82"/>
  <c r="O84"/>
  <c r="N96"/>
  <c r="M96"/>
  <c r="J113" s="1"/>
  <c r="N113" s="1"/>
  <c r="N78"/>
  <c r="M78"/>
  <c r="N98"/>
  <c r="M98"/>
  <c r="N80"/>
  <c r="I111"/>
  <c r="M94"/>
  <c r="J111" s="1"/>
  <c r="M80"/>
  <c r="U34" i="115"/>
  <c r="I99" i="102"/>
  <c r="I101"/>
  <c r="N101"/>
  <c r="I112"/>
  <c r="O32" i="115"/>
  <c r="O34" s="1"/>
  <c r="S32"/>
  <c r="S34" s="1"/>
  <c r="E32"/>
  <c r="E34" s="1"/>
  <c r="G32"/>
  <c r="G34" s="1"/>
  <c r="K32"/>
  <c r="K34" s="1"/>
  <c r="H32"/>
  <c r="H34" s="1"/>
  <c r="L32"/>
  <c r="L34" s="1"/>
  <c r="P32"/>
  <c r="P34" s="1"/>
  <c r="T32"/>
  <c r="T34" s="1"/>
  <c r="F32"/>
  <c r="F34" s="1"/>
  <c r="J32"/>
  <c r="J34" s="1"/>
  <c r="N32"/>
  <c r="N34" s="1"/>
  <c r="R32"/>
  <c r="R34" s="1"/>
  <c r="V32"/>
  <c r="V34" s="1"/>
  <c r="O96" i="102" l="1"/>
  <c r="N111"/>
  <c r="J97"/>
  <c r="J99"/>
  <c r="N99" s="1"/>
  <c r="O82"/>
  <c r="M113"/>
  <c r="O113" s="1"/>
  <c r="O98"/>
  <c r="J115"/>
  <c r="O78"/>
  <c r="J95"/>
  <c r="M97"/>
  <c r="M111"/>
  <c r="O94"/>
  <c r="F118"/>
  <c r="F116"/>
  <c r="M101"/>
  <c r="G12" i="105"/>
  <c r="D12"/>
  <c r="N115" i="102" l="1"/>
  <c r="M115"/>
  <c r="O115" s="1"/>
  <c r="O101"/>
  <c r="J118"/>
  <c r="N118" s="1"/>
  <c r="N95"/>
  <c r="M95"/>
  <c r="J114"/>
  <c r="M114" s="1"/>
  <c r="O111"/>
  <c r="M99"/>
  <c r="J116" s="1"/>
  <c r="N116" s="1"/>
  <c r="I116"/>
  <c r="I118"/>
  <c r="M118" l="1"/>
  <c r="O118" s="1"/>
  <c r="O95"/>
  <c r="J112"/>
  <c r="M116"/>
  <c r="O116" s="1"/>
  <c r="O99"/>
  <c r="D18" i="69"/>
  <c r="D21" s="1"/>
  <c r="D15" i="103"/>
  <c r="D17" s="1"/>
  <c r="D14" i="105"/>
  <c r="D12" i="103"/>
  <c r="N17" i="102"/>
  <c r="I17"/>
  <c r="E31" i="107"/>
  <c r="E21"/>
  <c r="E14"/>
  <c r="E16" s="1"/>
  <c r="N18" i="72"/>
  <c r="J18"/>
  <c r="G18"/>
  <c r="C18"/>
  <c r="E30" i="91"/>
  <c r="E16"/>
  <c r="E17" s="1"/>
  <c r="F34" i="102" l="1"/>
  <c r="K17"/>
  <c r="N112"/>
  <c r="M112"/>
  <c r="E32" i="107"/>
  <c r="E34" s="1"/>
  <c r="D16" i="103"/>
  <c r="D18" s="1"/>
  <c r="D20" s="1"/>
  <c r="O112" i="102" l="1"/>
  <c r="I34"/>
  <c r="M17"/>
  <c r="M34" i="67"/>
  <c r="M36" s="1"/>
  <c r="N11" i="66" s="1"/>
  <c r="L34" i="67"/>
  <c r="L36" s="1"/>
  <c r="M11" i="66" s="1"/>
  <c r="K34" i="67"/>
  <c r="K36" s="1"/>
  <c r="L11" i="66" s="1"/>
  <c r="J34" i="67"/>
  <c r="J36" s="1"/>
  <c r="K11" i="66" s="1"/>
  <c r="I34" i="67"/>
  <c r="I36" s="1"/>
  <c r="J11" i="66" s="1"/>
  <c r="G36" i="67"/>
  <c r="F11" i="66" s="1"/>
  <c r="G11" s="1"/>
  <c r="N12"/>
  <c r="L12"/>
  <c r="K12"/>
  <c r="J12"/>
  <c r="I12"/>
  <c r="F12"/>
  <c r="G12" s="1"/>
  <c r="M18" i="69"/>
  <c r="N13" i="66" s="1"/>
  <c r="L18" i="69"/>
  <c r="M13" i="66" s="1"/>
  <c r="K18" i="69"/>
  <c r="L13" i="66" s="1"/>
  <c r="J18" i="69"/>
  <c r="K13" i="66" s="1"/>
  <c r="I18" i="69"/>
  <c r="J13" i="66" s="1"/>
  <c r="H18" i="69"/>
  <c r="I13" i="66" s="1"/>
  <c r="G18" i="69"/>
  <c r="F13" i="66" s="1"/>
  <c r="G13" s="1"/>
  <c r="F18" i="69"/>
  <c r="F21" s="1"/>
  <c r="E18"/>
  <c r="E21" s="1"/>
  <c r="D13" i="93"/>
  <c r="G13"/>
  <c r="E11"/>
  <c r="F11" s="1"/>
  <c r="F12" i="103"/>
  <c r="D18" i="105"/>
  <c r="M18"/>
  <c r="L18"/>
  <c r="K18"/>
  <c r="J18"/>
  <c r="I18"/>
  <c r="H18"/>
  <c r="G18"/>
  <c r="F18"/>
  <c r="E18"/>
  <c r="G14"/>
  <c r="I20" i="102"/>
  <c r="K20" s="1"/>
  <c r="N19"/>
  <c r="I19"/>
  <c r="N18"/>
  <c r="I18"/>
  <c r="I21" l="1"/>
  <c r="F38" s="1"/>
  <c r="I38" s="1"/>
  <c r="I22"/>
  <c r="N21"/>
  <c r="N22"/>
  <c r="J34"/>
  <c r="N34" s="1"/>
  <c r="I14" i="66"/>
  <c r="F36" i="102"/>
  <c r="I36" s="1"/>
  <c r="K19"/>
  <c r="F35"/>
  <c r="K18"/>
  <c r="F37"/>
  <c r="O17"/>
  <c r="L14" i="66"/>
  <c r="M11" i="58" s="1"/>
  <c r="K13" i="104" s="1"/>
  <c r="G9" i="109"/>
  <c r="J12" i="93"/>
  <c r="J14" i="103" s="1"/>
  <c r="J11" i="105"/>
  <c r="J12" s="1"/>
  <c r="D9" i="109"/>
  <c r="E12" i="93"/>
  <c r="F12" s="1"/>
  <c r="E11" i="105"/>
  <c r="E12" s="1"/>
  <c r="F14" i="66"/>
  <c r="F9" i="109"/>
  <c r="I11" i="105"/>
  <c r="I12" s="1"/>
  <c r="I12" i="93"/>
  <c r="I14" i="103" s="1"/>
  <c r="J9" i="109"/>
  <c r="D20" i="105"/>
  <c r="D21" s="1"/>
  <c r="E9" i="109"/>
  <c r="H11" i="105"/>
  <c r="H12" s="1"/>
  <c r="I9" i="109"/>
  <c r="M12" i="66"/>
  <c r="M14" s="1"/>
  <c r="G14"/>
  <c r="H9" i="109"/>
  <c r="J14" i="66"/>
  <c r="N14"/>
  <c r="K14"/>
  <c r="I11" i="58"/>
  <c r="M19" i="102"/>
  <c r="G20" i="69"/>
  <c r="F11" i="58"/>
  <c r="I13"/>
  <c r="E20" i="105"/>
  <c r="F20"/>
  <c r="G20"/>
  <c r="K34" i="102"/>
  <c r="O20"/>
  <c r="K21" l="1"/>
  <c r="K22"/>
  <c r="I35"/>
  <c r="F39"/>
  <c r="F55"/>
  <c r="I14" i="104" s="1"/>
  <c r="G123" i="102"/>
  <c r="G106"/>
  <c r="G97" s="1"/>
  <c r="G107" s="1"/>
  <c r="G55"/>
  <c r="J10" i="103"/>
  <c r="G89" i="102"/>
  <c r="G80" s="1"/>
  <c r="G72"/>
  <c r="G66" s="1"/>
  <c r="G73" s="1"/>
  <c r="I37"/>
  <c r="K37" s="1"/>
  <c r="D13" i="104"/>
  <c r="D14"/>
  <c r="G14"/>
  <c r="G13"/>
  <c r="F53" i="102"/>
  <c r="I53" s="1"/>
  <c r="F70" s="1"/>
  <c r="I70" s="1"/>
  <c r="F87" s="1"/>
  <c r="I87" s="1"/>
  <c r="F104" s="1"/>
  <c r="K36"/>
  <c r="O19"/>
  <c r="J36"/>
  <c r="M18"/>
  <c r="F13" i="93"/>
  <c r="I17" i="109"/>
  <c r="I12"/>
  <c r="I15" s="1"/>
  <c r="E17"/>
  <c r="E12"/>
  <c r="E15" s="1"/>
  <c r="H12"/>
  <c r="H15" s="1"/>
  <c r="H17"/>
  <c r="J12"/>
  <c r="J15" s="1"/>
  <c r="J17"/>
  <c r="F12"/>
  <c r="F15" s="1"/>
  <c r="F17"/>
  <c r="D12"/>
  <c r="D15" s="1"/>
  <c r="D17"/>
  <c r="G12"/>
  <c r="G15" s="1"/>
  <c r="G17"/>
  <c r="N36" i="102"/>
  <c r="J11" i="58"/>
  <c r="H13" i="104" s="1"/>
  <c r="H11" i="58"/>
  <c r="N11"/>
  <c r="L13" i="104" s="1"/>
  <c r="F14" i="103"/>
  <c r="G11" i="58"/>
  <c r="E13" i="93"/>
  <c r="E14" i="105"/>
  <c r="E21" s="1"/>
  <c r="E22" s="1"/>
  <c r="G15" i="58" s="1"/>
  <c r="F11" i="105"/>
  <c r="G21" i="69"/>
  <c r="L11" i="58"/>
  <c r="J13" i="104" s="1"/>
  <c r="K11" i="58"/>
  <c r="I13" i="104" s="1"/>
  <c r="F51" i="102"/>
  <c r="O11" i="58"/>
  <c r="M13" i="104" s="1"/>
  <c r="G21" i="105"/>
  <c r="I15" i="58" s="1"/>
  <c r="E21" i="109" l="1"/>
  <c r="J35" i="102"/>
  <c r="M21"/>
  <c r="J38" s="1"/>
  <c r="M22"/>
  <c r="G90"/>
  <c r="I80"/>
  <c r="I55"/>
  <c r="F72" s="1"/>
  <c r="I72" s="1"/>
  <c r="F89" s="1"/>
  <c r="I89" s="1"/>
  <c r="F106" s="1"/>
  <c r="I106" s="1"/>
  <c r="F123" s="1"/>
  <c r="I123" s="1"/>
  <c r="G49"/>
  <c r="I39"/>
  <c r="K10" i="103"/>
  <c r="L10" s="1"/>
  <c r="M10" s="1"/>
  <c r="E13" i="104"/>
  <c r="E14"/>
  <c r="H14"/>
  <c r="H13" i="93"/>
  <c r="I13" s="1"/>
  <c r="J10" s="1"/>
  <c r="K35" i="102"/>
  <c r="M36"/>
  <c r="F52"/>
  <c r="I52" s="1"/>
  <c r="F69" s="1"/>
  <c r="O36"/>
  <c r="J53"/>
  <c r="M34"/>
  <c r="O18"/>
  <c r="F12" i="105"/>
  <c r="I21" i="109"/>
  <c r="G21"/>
  <c r="F21"/>
  <c r="H21"/>
  <c r="D21"/>
  <c r="J21"/>
  <c r="H20" i="69"/>
  <c r="H21" s="1"/>
  <c r="E21" i="102"/>
  <c r="H12" i="58"/>
  <c r="I104" i="102"/>
  <c r="F121" s="1"/>
  <c r="I51"/>
  <c r="F54"/>
  <c r="M35" l="1"/>
  <c r="O35" s="1"/>
  <c r="F13" i="104"/>
  <c r="N13" s="1"/>
  <c r="F14"/>
  <c r="N14" s="1"/>
  <c r="O21" i="102"/>
  <c r="O22"/>
  <c r="F56"/>
  <c r="K38"/>
  <c r="E38" s="1"/>
  <c r="K39"/>
  <c r="G56"/>
  <c r="I49"/>
  <c r="F97"/>
  <c r="O80"/>
  <c r="N38"/>
  <c r="N35"/>
  <c r="N39" s="1"/>
  <c r="J39"/>
  <c r="F14" i="105"/>
  <c r="F21" s="1"/>
  <c r="F22" s="1"/>
  <c r="H15" i="58" s="1"/>
  <c r="H10" i="105"/>
  <c r="J11" i="93"/>
  <c r="J13" s="1"/>
  <c r="K10" s="1"/>
  <c r="K13" s="1"/>
  <c r="L10" s="1"/>
  <c r="L13" s="1"/>
  <c r="M10" s="1"/>
  <c r="M13" s="1"/>
  <c r="M53" i="102"/>
  <c r="N53"/>
  <c r="J51"/>
  <c r="F15" i="103"/>
  <c r="F16" s="1"/>
  <c r="F18" s="1"/>
  <c r="F20" s="1"/>
  <c r="F22" s="1"/>
  <c r="H13" i="58" s="1"/>
  <c r="G12"/>
  <c r="E15" i="103" s="1"/>
  <c r="O34" i="102"/>
  <c r="F68"/>
  <c r="I69"/>
  <c r="N54"/>
  <c r="I54"/>
  <c r="I121"/>
  <c r="O39" l="1"/>
  <c r="J52"/>
  <c r="J55" s="1"/>
  <c r="M39"/>
  <c r="J12" i="58"/>
  <c r="H15" i="103" s="1"/>
  <c r="H17" s="1"/>
  <c r="M38" i="102"/>
  <c r="O38" s="1"/>
  <c r="N51"/>
  <c r="I97"/>
  <c r="N97"/>
  <c r="I56"/>
  <c r="F66"/>
  <c r="O49"/>
  <c r="H20" i="105"/>
  <c r="H14"/>
  <c r="I10"/>
  <c r="O53" i="102"/>
  <c r="J70"/>
  <c r="H11" i="103"/>
  <c r="E17"/>
  <c r="F17"/>
  <c r="F86" i="102"/>
  <c r="I20" i="69"/>
  <c r="I21" s="1"/>
  <c r="M51" i="102"/>
  <c r="I68"/>
  <c r="F71"/>
  <c r="J14" i="104" s="1"/>
  <c r="M54" i="102"/>
  <c r="M22" i="106"/>
  <c r="O16" i="58" s="1"/>
  <c r="L22" i="106"/>
  <c r="N16" i="58" s="1"/>
  <c r="K22" i="106"/>
  <c r="M16" i="58" s="1"/>
  <c r="J22" i="106"/>
  <c r="L16" i="58" s="1"/>
  <c r="I22" i="106"/>
  <c r="K16" i="58" s="1"/>
  <c r="H22" i="106"/>
  <c r="J16" i="58" s="1"/>
  <c r="F22" i="106"/>
  <c r="H16" i="58" s="1"/>
  <c r="E22" i="106"/>
  <c r="G16" i="58" s="1"/>
  <c r="V31" i="107"/>
  <c r="U31"/>
  <c r="T31"/>
  <c r="S31"/>
  <c r="R31"/>
  <c r="Q31"/>
  <c r="P31"/>
  <c r="O31"/>
  <c r="N31"/>
  <c r="M31"/>
  <c r="L31"/>
  <c r="K31"/>
  <c r="J31"/>
  <c r="I31"/>
  <c r="H31"/>
  <c r="G31"/>
  <c r="F31"/>
  <c r="V21"/>
  <c r="U21"/>
  <c r="T21"/>
  <c r="S21"/>
  <c r="R21"/>
  <c r="Q21"/>
  <c r="P21"/>
  <c r="O21"/>
  <c r="N21"/>
  <c r="M21"/>
  <c r="L21"/>
  <c r="K21"/>
  <c r="J21"/>
  <c r="I21"/>
  <c r="H21"/>
  <c r="G21"/>
  <c r="F21"/>
  <c r="V14"/>
  <c r="V16" s="1"/>
  <c r="U14"/>
  <c r="U16" s="1"/>
  <c r="T14"/>
  <c r="T16" s="1"/>
  <c r="S14"/>
  <c r="S16" s="1"/>
  <c r="R14"/>
  <c r="R16" s="1"/>
  <c r="Q14"/>
  <c r="Q16" s="1"/>
  <c r="P14"/>
  <c r="P16" s="1"/>
  <c r="O14"/>
  <c r="O16" s="1"/>
  <c r="N14"/>
  <c r="N16" s="1"/>
  <c r="M14"/>
  <c r="M16" s="1"/>
  <c r="L14"/>
  <c r="L16" s="1"/>
  <c r="K14"/>
  <c r="K16" s="1"/>
  <c r="J14"/>
  <c r="J16" s="1"/>
  <c r="I14"/>
  <c r="I16" s="1"/>
  <c r="H14"/>
  <c r="H16" s="1"/>
  <c r="G14"/>
  <c r="G16" s="1"/>
  <c r="F14"/>
  <c r="F16" s="1"/>
  <c r="O19" i="58"/>
  <c r="O21" s="1"/>
  <c r="N19"/>
  <c r="N21" s="1"/>
  <c r="M19"/>
  <c r="M21" s="1"/>
  <c r="L19"/>
  <c r="L21" s="1"/>
  <c r="K19"/>
  <c r="K21" s="1"/>
  <c r="J19"/>
  <c r="J21" s="1"/>
  <c r="I19"/>
  <c r="I21" s="1"/>
  <c r="G19"/>
  <c r="F19"/>
  <c r="F21" s="1"/>
  <c r="M18" i="72"/>
  <c r="L18"/>
  <c r="K18"/>
  <c r="F18"/>
  <c r="E18"/>
  <c r="D18"/>
  <c r="Q16" i="91"/>
  <c r="P16"/>
  <c r="P17" s="1"/>
  <c r="O16"/>
  <c r="O17" s="1"/>
  <c r="N16"/>
  <c r="N17" s="1"/>
  <c r="M16"/>
  <c r="M17" s="1"/>
  <c r="L16"/>
  <c r="L17" s="1"/>
  <c r="K16"/>
  <c r="K17" s="1"/>
  <c r="J16"/>
  <c r="J17" s="1"/>
  <c r="I16"/>
  <c r="I17" s="1"/>
  <c r="H16"/>
  <c r="H17" s="1"/>
  <c r="G16"/>
  <c r="G17" s="1"/>
  <c r="F16"/>
  <c r="F17" s="1"/>
  <c r="P30"/>
  <c r="O30"/>
  <c r="N30"/>
  <c r="M30"/>
  <c r="L30"/>
  <c r="K30"/>
  <c r="J30"/>
  <c r="I30"/>
  <c r="H30"/>
  <c r="G30"/>
  <c r="F30"/>
  <c r="G32" i="107" l="1"/>
  <c r="K32"/>
  <c r="O32"/>
  <c r="O34" s="1"/>
  <c r="S32"/>
  <c r="N52" i="102"/>
  <c r="N56" s="1"/>
  <c r="M52"/>
  <c r="J56"/>
  <c r="G21" i="58"/>
  <c r="H19"/>
  <c r="H21" s="1"/>
  <c r="J68" i="102"/>
  <c r="M68" s="1"/>
  <c r="J85" s="1"/>
  <c r="M56"/>
  <c r="I66"/>
  <c r="F73"/>
  <c r="N66"/>
  <c r="F114"/>
  <c r="O97"/>
  <c r="H21" i="105"/>
  <c r="H22" s="1"/>
  <c r="J15" i="58" s="1"/>
  <c r="O54" i="102"/>
  <c r="J71"/>
  <c r="N71" s="1"/>
  <c r="I14" i="105"/>
  <c r="I20"/>
  <c r="J10"/>
  <c r="M70" i="102"/>
  <c r="N70"/>
  <c r="I11" i="103"/>
  <c r="H12"/>
  <c r="H16" s="1"/>
  <c r="H18" s="1"/>
  <c r="H20" s="1"/>
  <c r="H22" s="1"/>
  <c r="J13" i="58" s="1"/>
  <c r="I86" i="102"/>
  <c r="F103" s="1"/>
  <c r="M55"/>
  <c r="Q17" i="91"/>
  <c r="G34" i="107"/>
  <c r="K34"/>
  <c r="S34"/>
  <c r="T32"/>
  <c r="T34" s="1"/>
  <c r="J20" i="69"/>
  <c r="J21" s="1"/>
  <c r="H32" i="107"/>
  <c r="H34" s="1"/>
  <c r="L32"/>
  <c r="L34" s="1"/>
  <c r="P32"/>
  <c r="P34" s="1"/>
  <c r="O51" i="102"/>
  <c r="I71"/>
  <c r="F32" i="107"/>
  <c r="F34" s="1"/>
  <c r="J32"/>
  <c r="J34" s="1"/>
  <c r="N32"/>
  <c r="N34" s="1"/>
  <c r="R32"/>
  <c r="R34" s="1"/>
  <c r="V32"/>
  <c r="V34" s="1"/>
  <c r="I32"/>
  <c r="I34" s="1"/>
  <c r="M32"/>
  <c r="M34" s="1"/>
  <c r="Q32"/>
  <c r="Q34" s="1"/>
  <c r="U32"/>
  <c r="U34" s="1"/>
  <c r="F85" i="102"/>
  <c r="N55" l="1"/>
  <c r="J69"/>
  <c r="J73" s="1"/>
  <c r="O52"/>
  <c r="O56" s="1"/>
  <c r="I114"/>
  <c r="N114"/>
  <c r="M66"/>
  <c r="O66" s="1"/>
  <c r="F83"/>
  <c r="I73"/>
  <c r="N68"/>
  <c r="J72"/>
  <c r="O55"/>
  <c r="F88"/>
  <c r="K14" i="104" s="1"/>
  <c r="K10" i="105"/>
  <c r="J20"/>
  <c r="J14"/>
  <c r="I21"/>
  <c r="I22" s="1"/>
  <c r="K15" i="58" s="1"/>
  <c r="O70" i="102"/>
  <c r="J87"/>
  <c r="I12" i="103"/>
  <c r="O68" i="102"/>
  <c r="E55"/>
  <c r="K12" i="58"/>
  <c r="I15" i="103" s="1"/>
  <c r="J11" s="1"/>
  <c r="M71" i="102"/>
  <c r="I85"/>
  <c r="N85"/>
  <c r="I103"/>
  <c r="F120" s="1"/>
  <c r="I88" l="1"/>
  <c r="M69"/>
  <c r="N69"/>
  <c r="N73" s="1"/>
  <c r="F90"/>
  <c r="I83"/>
  <c r="J83"/>
  <c r="O114"/>
  <c r="N72"/>
  <c r="M72"/>
  <c r="O71"/>
  <c r="J88"/>
  <c r="N88" s="1"/>
  <c r="J21" i="105"/>
  <c r="J22" s="1"/>
  <c r="L15" i="58" s="1"/>
  <c r="L10" i="105"/>
  <c r="K20"/>
  <c r="K14"/>
  <c r="N87" i="102"/>
  <c r="M87"/>
  <c r="J12" i="103"/>
  <c r="F105" i="102"/>
  <c r="I105" s="1"/>
  <c r="L12" i="58"/>
  <c r="J15" i="103" s="1"/>
  <c r="K11" s="1"/>
  <c r="I16"/>
  <c r="I18" s="1"/>
  <c r="I20" s="1"/>
  <c r="I22" s="1"/>
  <c r="K13" i="58" s="1"/>
  <c r="I17" i="103"/>
  <c r="K20" i="69"/>
  <c r="K21" s="1"/>
  <c r="F102" i="102"/>
  <c r="L14" i="104" s="1"/>
  <c r="I120" i="102"/>
  <c r="B20" i="58"/>
  <c r="B21" s="1"/>
  <c r="J86" i="102" l="1"/>
  <c r="O69"/>
  <c r="O73" s="1"/>
  <c r="M73"/>
  <c r="M83"/>
  <c r="O83" s="1"/>
  <c r="N83"/>
  <c r="F100"/>
  <c r="I90"/>
  <c r="J89"/>
  <c r="O72"/>
  <c r="K21" i="105"/>
  <c r="K22" s="1"/>
  <c r="M15" i="58" s="1"/>
  <c r="M10" i="105"/>
  <c r="L20"/>
  <c r="L14"/>
  <c r="O87" i="102"/>
  <c r="J104"/>
  <c r="K12" i="103"/>
  <c r="M88" i="102"/>
  <c r="J105" s="1"/>
  <c r="N105" s="1"/>
  <c r="E72"/>
  <c r="J16" i="103"/>
  <c r="J18" s="1"/>
  <c r="J20" s="1"/>
  <c r="J22" s="1"/>
  <c r="L13" i="58" s="1"/>
  <c r="J17" i="103"/>
  <c r="M85" i="102"/>
  <c r="J102" s="1"/>
  <c r="F122"/>
  <c r="I102"/>
  <c r="M86" l="1"/>
  <c r="M90" s="1"/>
  <c r="N86"/>
  <c r="N90" s="1"/>
  <c r="J90"/>
  <c r="M105"/>
  <c r="J122" s="1"/>
  <c r="N122" s="1"/>
  <c r="I100"/>
  <c r="F107"/>
  <c r="J100"/>
  <c r="N89"/>
  <c r="M89"/>
  <c r="L21" i="105"/>
  <c r="L22" s="1"/>
  <c r="N15" i="58" s="1"/>
  <c r="M20" i="105"/>
  <c r="M14"/>
  <c r="N102" i="102"/>
  <c r="N104"/>
  <c r="M104"/>
  <c r="O88"/>
  <c r="L20" i="69"/>
  <c r="L21" s="1"/>
  <c r="E89" i="102"/>
  <c r="M12" i="58"/>
  <c r="K15" i="103" s="1"/>
  <c r="L11" s="1"/>
  <c r="F119" i="102"/>
  <c r="M14" i="104" s="1"/>
  <c r="I122" i="102"/>
  <c r="O85"/>
  <c r="B51" i="107"/>
  <c r="B52" s="1"/>
  <c r="B53" s="1"/>
  <c r="B10"/>
  <c r="B12" s="1"/>
  <c r="B13" s="1"/>
  <c r="B14" s="1"/>
  <c r="B15" s="1"/>
  <c r="B16" s="1"/>
  <c r="B18" s="1"/>
  <c r="B19" s="1"/>
  <c r="B20" s="1"/>
  <c r="B21" s="1"/>
  <c r="B23" s="1"/>
  <c r="B28" s="1"/>
  <c r="B29" s="1"/>
  <c r="B30" s="1"/>
  <c r="B31" s="1"/>
  <c r="B32" s="1"/>
  <c r="B34" s="1"/>
  <c r="B35" s="1"/>
  <c r="B36" s="1"/>
  <c r="B38" s="1"/>
  <c r="B39" s="1"/>
  <c r="B40" s="1"/>
  <c r="B41" s="1"/>
  <c r="B42" s="1"/>
  <c r="B43" s="1"/>
  <c r="B44" s="1"/>
  <c r="B45" s="1"/>
  <c r="B46" s="1"/>
  <c r="B47" s="1"/>
  <c r="O105" i="102" l="1"/>
  <c r="J103"/>
  <c r="O86"/>
  <c r="O90" s="1"/>
  <c r="M122"/>
  <c r="O122" s="1"/>
  <c r="M21" i="105"/>
  <c r="M22" s="1"/>
  <c r="O15" i="58" s="1"/>
  <c r="N100" i="102"/>
  <c r="M100"/>
  <c r="O100" s="1"/>
  <c r="F117"/>
  <c r="I107"/>
  <c r="J106"/>
  <c r="O89"/>
  <c r="L12" i="103"/>
  <c r="O104" i="102"/>
  <c r="J121"/>
  <c r="M102"/>
  <c r="K17" i="103"/>
  <c r="K16"/>
  <c r="K18" s="1"/>
  <c r="K20" s="1"/>
  <c r="K22" s="1"/>
  <c r="M13" i="58" s="1"/>
  <c r="N12"/>
  <c r="L15" i="103" s="1"/>
  <c r="M11" s="1"/>
  <c r="M12" s="1"/>
  <c r="E106" i="102"/>
  <c r="I119"/>
  <c r="B11" i="106"/>
  <c r="B12" s="1"/>
  <c r="B13" s="1"/>
  <c r="B14" s="1"/>
  <c r="B15" s="1"/>
  <c r="B16" s="1"/>
  <c r="B17" s="1"/>
  <c r="B18" s="1"/>
  <c r="B19" s="1"/>
  <c r="B20" s="1"/>
  <c r="B21" s="1"/>
  <c r="B11" i="105"/>
  <c r="B12" s="1"/>
  <c r="B13" s="1"/>
  <c r="B14" s="1"/>
  <c r="B16" s="1"/>
  <c r="B17" s="1"/>
  <c r="B18" s="1"/>
  <c r="B20" s="1"/>
  <c r="B11" i="104"/>
  <c r="B12" s="1"/>
  <c r="B13" s="1"/>
  <c r="B14" s="1"/>
  <c r="B15" s="1"/>
  <c r="B17" s="1"/>
  <c r="B18" s="1"/>
  <c r="B19" s="1"/>
  <c r="B20" s="1"/>
  <c r="B11" i="103"/>
  <c r="B12" s="1"/>
  <c r="B13" s="1"/>
  <c r="B14" s="1"/>
  <c r="B15" s="1"/>
  <c r="B16" s="1"/>
  <c r="B17" s="1"/>
  <c r="B18" s="1"/>
  <c r="B19" s="1"/>
  <c r="B20" s="1"/>
  <c r="B21" s="1"/>
  <c r="B22" s="1"/>
  <c r="N103" i="102" l="1"/>
  <c r="N107" s="1"/>
  <c r="M103"/>
  <c r="J107"/>
  <c r="I117"/>
  <c r="I124" s="1"/>
  <c r="F124"/>
  <c r="J117"/>
  <c r="N106"/>
  <c r="M106"/>
  <c r="N121"/>
  <c r="M121"/>
  <c r="O121" s="1"/>
  <c r="J119"/>
  <c r="O102"/>
  <c r="L16" i="103"/>
  <c r="L18" s="1"/>
  <c r="L20" s="1"/>
  <c r="L22" s="1"/>
  <c r="N13" i="58" s="1"/>
  <c r="L17" i="103"/>
  <c r="M20" i="69"/>
  <c r="M21" s="1"/>
  <c r="B21" i="105"/>
  <c r="B22" s="1"/>
  <c r="B12" i="58"/>
  <c r="B13" s="1"/>
  <c r="B14" s="1"/>
  <c r="B15" s="1"/>
  <c r="B16" s="1"/>
  <c r="B17" s="1"/>
  <c r="J120" i="102" l="1"/>
  <c r="O103"/>
  <c r="O107" s="1"/>
  <c r="M107"/>
  <c r="N117"/>
  <c r="M117"/>
  <c r="J123"/>
  <c r="O106"/>
  <c r="N119"/>
  <c r="M119"/>
  <c r="B9" i="9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30" s="1"/>
  <c r="B31" s="1"/>
  <c r="M120" i="102" l="1"/>
  <c r="O120" s="1"/>
  <c r="N120"/>
  <c r="N124" s="1"/>
  <c r="J124"/>
  <c r="O117"/>
  <c r="N123"/>
  <c r="M123"/>
  <c r="O123" s="1"/>
  <c r="E123"/>
  <c r="O12" i="58"/>
  <c r="M15" i="103" s="1"/>
  <c r="O119" i="102"/>
  <c r="B9" i="57"/>
  <c r="B10" s="1"/>
  <c r="B11" s="1"/>
  <c r="B12" s="1"/>
  <c r="M124" i="102" l="1"/>
  <c r="O124"/>
  <c r="M16" i="103"/>
  <c r="M18" s="1"/>
  <c r="M20" s="1"/>
  <c r="M22" s="1"/>
  <c r="O13" i="58" s="1"/>
  <c r="M17" i="103"/>
  <c r="B13" i="57"/>
  <c r="B14" s="1"/>
  <c r="B15" s="1"/>
  <c r="B12" i="66"/>
  <c r="B13" s="1"/>
  <c r="B14" s="1"/>
  <c r="B28" i="67"/>
  <c r="B29" s="1"/>
  <c r="B30" s="1"/>
  <c r="B31" s="1"/>
  <c r="B16" i="57" l="1"/>
  <c r="B17" s="1"/>
  <c r="B18" s="1"/>
  <c r="B19" s="1"/>
  <c r="B20" s="1"/>
  <c r="B21" s="1"/>
  <c r="B22" s="1"/>
  <c r="B23" l="1"/>
  <c r="B24" s="1"/>
  <c r="B25" s="1"/>
  <c r="B26" s="1"/>
  <c r="B27" s="1"/>
  <c r="B28" s="1"/>
  <c r="B30" s="1"/>
  <c r="B31" s="1"/>
  <c r="B32" s="1"/>
  <c r="B33" l="1"/>
  <c r="B34" s="1"/>
  <c r="B35" s="1"/>
  <c r="B36" s="1"/>
  <c r="B37" s="1"/>
  <c r="B38" s="1"/>
  <c r="B39" s="1"/>
  <c r="I14" i="58"/>
  <c r="I17" s="1"/>
  <c r="F14"/>
  <c r="F17" s="1"/>
  <c r="F22" l="1"/>
  <c r="D15" i="104" s="1"/>
  <c r="D18" s="1"/>
  <c r="F23" i="58"/>
  <c r="I22"/>
  <c r="G15" i="104" s="1"/>
  <c r="I23" i="58"/>
  <c r="E12" i="103"/>
  <c r="E16" s="1"/>
  <c r="E18" s="1"/>
  <c r="E20" s="1"/>
  <c r="E22" s="1"/>
  <c r="G13" i="58" s="1"/>
  <c r="G18" i="104" l="1"/>
  <c r="G14" i="58"/>
  <c r="H14"/>
  <c r="J14"/>
  <c r="K14"/>
  <c r="L14"/>
  <c r="M14"/>
  <c r="N14"/>
  <c r="O14"/>
  <c r="G17"/>
  <c r="H17"/>
  <c r="J17"/>
  <c r="K17"/>
  <c r="L17"/>
  <c r="M17"/>
  <c r="N17"/>
  <c r="O17"/>
  <c r="G22"/>
  <c r="H22"/>
  <c r="J22"/>
  <c r="K22"/>
  <c r="L22"/>
  <c r="M22"/>
  <c r="N22"/>
  <c r="O22"/>
  <c r="G23"/>
  <c r="H23"/>
  <c r="J23"/>
  <c r="K23"/>
  <c r="L23"/>
  <c r="M23"/>
  <c r="N23"/>
  <c r="O23"/>
  <c r="E15" i="104"/>
  <c r="F15"/>
  <c r="H15"/>
  <c r="I15"/>
  <c r="J15"/>
  <c r="K15"/>
  <c r="L15"/>
  <c r="M15"/>
  <c r="N15"/>
  <c r="E18"/>
  <c r="F18"/>
  <c r="H18"/>
  <c r="I18"/>
  <c r="J18"/>
  <c r="K18"/>
  <c r="L18"/>
  <c r="M18"/>
  <c r="N18"/>
  <c r="E20"/>
  <c r="F20"/>
  <c r="H20"/>
  <c r="I20"/>
  <c r="J20"/>
  <c r="K20"/>
  <c r="L20"/>
  <c r="M20"/>
  <c r="N20"/>
</calcChain>
</file>

<file path=xl/sharedStrings.xml><?xml version="1.0" encoding="utf-8"?>
<sst xmlns="http://schemas.openxmlformats.org/spreadsheetml/2006/main" count="1585" uniqueCount="578">
  <si>
    <t>Equity</t>
  </si>
  <si>
    <t>Reference</t>
  </si>
  <si>
    <t>S.No.</t>
  </si>
  <si>
    <t>Actual</t>
  </si>
  <si>
    <t>(Rs. Crore)</t>
  </si>
  <si>
    <t>Estimated</t>
  </si>
  <si>
    <t>Form 1</t>
  </si>
  <si>
    <t>Title</t>
  </si>
  <si>
    <t>Projected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</si>
  <si>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</si>
  <si>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</si>
  <si>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</si>
  <si>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</si>
  <si>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</si>
  <si>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</si>
  <si>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</si>
  <si>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</si>
  <si>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</si>
  <si>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</si>
  <si>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</si>
  <si>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</si>
  <si>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</si>
  <si>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</si>
  <si>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</si>
  <si>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</si>
  <si>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</si>
  <si>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</si>
  <si>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</si>
  <si>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</si>
  <si>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</si>
  <si>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</si>
  <si>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</si>
  <si>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</si>
  <si>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</si>
  <si>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</si>
  <si>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</si>
  <si>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</si>
  <si>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</si>
  <si>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</si>
  <si>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</si>
  <si>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MW</t>
  </si>
  <si>
    <t>Target Availability for full recovery of AFC</t>
  </si>
  <si>
    <t>%</t>
  </si>
  <si>
    <t>Target PLF for Incentive</t>
  </si>
  <si>
    <t>Scheduled Generation</t>
  </si>
  <si>
    <t>MU</t>
  </si>
  <si>
    <t>Normative Auxiliary Energy Consumption</t>
  </si>
  <si>
    <t>Net Generation</t>
  </si>
  <si>
    <t>Normative Gross Station Heat Rate</t>
  </si>
  <si>
    <t>kcal/kWh</t>
  </si>
  <si>
    <t>Normative Secondary Fuel Oil Consumption</t>
  </si>
  <si>
    <t>ml/kWh</t>
  </si>
  <si>
    <t>Normative Transit Loss</t>
  </si>
  <si>
    <t>Transit Loss</t>
  </si>
  <si>
    <t xml:space="preserve">Note: </t>
  </si>
  <si>
    <t>Total Working Capital requirement</t>
  </si>
  <si>
    <t>Gross Generation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</si>
  <si>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</si>
  <si>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</si>
  <si>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</si>
  <si>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</si>
  <si>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</si>
  <si>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</si>
  <si>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</si>
  <si>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</si>
  <si>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</si>
  <si>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</si>
  <si>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</si>
  <si>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</si>
  <si>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</si>
  <si>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</si>
  <si>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</si>
  <si>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</si>
  <si>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</si>
  <si>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</si>
  <si>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</si>
  <si>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</si>
  <si>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</si>
  <si>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</si>
  <si>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</si>
  <si>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</si>
  <si>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</si>
  <si>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</si>
  <si>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</si>
  <si>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</si>
  <si>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</si>
  <si>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</si>
  <si>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</si>
  <si>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</si>
  <si>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</si>
  <si>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</si>
  <si>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</si>
  <si>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</si>
  <si>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</si>
  <si>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</si>
  <si>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</si>
  <si>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</si>
  <si>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</si>
  <si>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</si>
  <si>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</si>
  <si>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</si>
  <si>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</si>
  <si>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</si>
  <si>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</si>
  <si>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</si>
  <si>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</si>
  <si>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</si>
  <si>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</si>
  <si>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</si>
  <si>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</si>
  <si>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</si>
  <si>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</si>
  <si>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</si>
  <si>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</si>
  <si>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</si>
  <si>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</si>
  <si>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</si>
  <si>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</si>
  <si>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</si>
  <si>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</si>
  <si>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</si>
  <si>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</si>
  <si>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</si>
  <si>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</si>
  <si>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</si>
  <si>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</si>
  <si>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</si>
  <si>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</si>
  <si>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</si>
  <si>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</si>
  <si>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</si>
  <si>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</si>
  <si>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</si>
  <si>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</si>
  <si>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</si>
  <si>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</si>
  <si>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</si>
  <si>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</si>
  <si>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</si>
  <si>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</si>
  <si>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</si>
  <si>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</si>
  <si>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</si>
  <si>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</si>
  <si>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</si>
  <si>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</si>
  <si>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</si>
  <si>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</si>
  <si>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</si>
  <si>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</si>
  <si>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</si>
  <si>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</si>
  <si>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</si>
  <si>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Actuals</t>
  </si>
  <si>
    <t xml:space="preserve"> Total</t>
  </si>
  <si>
    <t xml:space="preserve">Components of tariff </t>
  </si>
  <si>
    <t>Relevant sales &amp; load/demand data for revenue calculation</t>
  </si>
  <si>
    <t>Full year revenue (Rs. Crore)</t>
  </si>
  <si>
    <t>Sales in MU</t>
  </si>
  <si>
    <t>Item 3 (specify)</t>
  </si>
  <si>
    <t xml:space="preserve">Revenue from Fixed / Capacity Charges </t>
  </si>
  <si>
    <t>Revenue from Energy Charges</t>
  </si>
  <si>
    <t>Income from sale of ash/rejected coal</t>
  </si>
  <si>
    <t>Revenue from sale of electricity</t>
  </si>
  <si>
    <t>Non-Tariff Income</t>
  </si>
  <si>
    <t>Actual/Projected Availability</t>
  </si>
  <si>
    <t>Actual/Projected PLF</t>
  </si>
  <si>
    <t>Actual/Projected Gross Generation</t>
  </si>
  <si>
    <t>Actual/Projected Auxiliary Energy Consumption</t>
  </si>
  <si>
    <t>Actual/Projected Gross Station Heat Rate</t>
  </si>
  <si>
    <t>Actual/Projected Secondary Fuel Oil Consumption</t>
  </si>
  <si>
    <t>Actual/Projected Transit Loss</t>
  </si>
  <si>
    <t>Form 12</t>
  </si>
  <si>
    <t>Income from sale of tender documents</t>
  </si>
  <si>
    <t>Unit 1 / Station 1</t>
  </si>
  <si>
    <t>Unit 2 / Station 2</t>
  </si>
  <si>
    <t xml:space="preserve">Depreciation </t>
  </si>
  <si>
    <t>Addition of Loan during the year</t>
  </si>
  <si>
    <t>Energy Charges (Rs./kWh)</t>
  </si>
  <si>
    <t>Fuel surcharge per unit, if any (Rs./kWh)</t>
  </si>
  <si>
    <t>Fixed / Capacity Charges (Rs. Crore / year)</t>
  </si>
  <si>
    <t>Form 13</t>
  </si>
  <si>
    <t>Total Revenue</t>
  </si>
  <si>
    <t>Auxiliary Consumption</t>
  </si>
  <si>
    <t>Normative Availability (%)</t>
  </si>
  <si>
    <t>Availability</t>
  </si>
  <si>
    <t>Plant Load Factor (PLF)</t>
  </si>
  <si>
    <t>Secondary Fuel Oil Consumption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</si>
  <si>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</si>
  <si>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</si>
  <si>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</si>
  <si>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</si>
  <si>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</si>
  <si>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</si>
  <si>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</si>
  <si>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</si>
  <si>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</si>
  <si>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</si>
  <si>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</si>
  <si>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</si>
  <si>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</si>
  <si>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Total Cost</t>
  </si>
  <si>
    <t>Project Schedule</t>
  </si>
  <si>
    <t>Abstract of Capital Cost</t>
  </si>
  <si>
    <t>Breakup of Capital Cost</t>
  </si>
  <si>
    <t>Breakup of Construction/Supply/Services/Packages</t>
  </si>
  <si>
    <t>Details of Loans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</si>
  <si>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</si>
  <si>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</si>
  <si>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</si>
  <si>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</si>
  <si>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</si>
  <si>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</si>
  <si>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</si>
  <si>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</si>
  <si>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</si>
  <si>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</si>
  <si>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</si>
  <si>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</si>
  <si>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</si>
  <si>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</si>
  <si>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</si>
  <si>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</si>
  <si>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</si>
  <si>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Financial Package</t>
  </si>
  <si>
    <t>Gross Station Heat Rate</t>
  </si>
  <si>
    <t>True-Up requirement</t>
  </si>
  <si>
    <t>Legend</t>
  </si>
  <si>
    <t xml:space="preserve">Details of outages should be submitted for each Unit of each station separately </t>
  </si>
  <si>
    <t>R &amp; M Expenses</t>
  </si>
  <si>
    <t>Installed Capacity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</si>
  <si>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</si>
  <si>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</si>
  <si>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</si>
  <si>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</si>
  <si>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</si>
  <si>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</si>
  <si>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</si>
  <si>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</si>
  <si>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Type of Thermal Generating Station (Pithead/Non-Pithead)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</si>
  <si>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</si>
  <si>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</si>
  <si>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</si>
  <si>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</si>
  <si>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</si>
  <si>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</si>
  <si>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Capital Cost Approval*</t>
  </si>
  <si>
    <t>Revenue from Sale of Electricity</t>
  </si>
  <si>
    <t xml:space="preserve">Any Other Charges (specify part name and unit) </t>
  </si>
  <si>
    <t>Share of Capacity (MW/%)</t>
  </si>
  <si>
    <t>Revenue from Any Other Charge (specify part name)</t>
  </si>
  <si>
    <t>Revenue from Fuel Surcharge</t>
  </si>
  <si>
    <t>Control Period</t>
  </si>
  <si>
    <t>Current Year 'n'</t>
  </si>
  <si>
    <t>Year (n-1)</t>
  </si>
  <si>
    <t xml:space="preserve">April-March     </t>
  </si>
  <si>
    <t>Claimed</t>
  </si>
  <si>
    <t>Apr-Sep</t>
  </si>
  <si>
    <t xml:space="preserve">Oct-Mar        </t>
  </si>
  <si>
    <t>April - March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</si>
  <si>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</si>
  <si>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</si>
  <si>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</si>
  <si>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</si>
  <si>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</si>
  <si>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</si>
  <si>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 - Mar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</si>
  <si>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</si>
  <si>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</si>
  <si>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</si>
  <si>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</si>
  <si>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</si>
  <si>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</si>
  <si>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</si>
  <si>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</si>
  <si>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Name of the package (BTG, BoP, Civil Works etc.)</t>
  </si>
  <si>
    <t>Scope of work</t>
  </si>
  <si>
    <t>Year (n+1)</t>
  </si>
  <si>
    <t>Year (n+2)</t>
  </si>
  <si>
    <t>Year (n+3)</t>
  </si>
  <si>
    <t>Year (n+4)</t>
  </si>
  <si>
    <t>Year (n+5)</t>
  </si>
  <si>
    <t>Total estimated cost* (Rs. Crore)</t>
  </si>
  <si>
    <t>*</t>
  </si>
  <si>
    <t>Total estimated cost to be supported by documentary evidences like work orders, investment approvals etc.</t>
  </si>
  <si>
    <t>Capital expenditure during the year (Rs. Crore)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</si>
  <si>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</si>
  <si>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</si>
  <si>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</si>
  <si>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</si>
  <si>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</si>
  <si>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</si>
  <si>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</si>
  <si>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</si>
  <si>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</si>
  <si>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</si>
  <si>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</si>
  <si>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</si>
  <si>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</si>
  <si>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>Asset group under which the capitalisation has been accounted (Land, Buldings, etc.)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</si>
  <si>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</si>
  <si>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</si>
  <si>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</si>
  <si>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3.1:  Statement of Additional Capitalisation after COD</t>
  </si>
  <si>
    <t>Form 4:  Fixed Assets &amp; Depreciation</t>
  </si>
  <si>
    <t>Capital Expenditure during the year</t>
  </si>
  <si>
    <t>Normative Loan</t>
  </si>
  <si>
    <t>Interest</t>
  </si>
  <si>
    <t>Actual loan portfolio</t>
  </si>
  <si>
    <t>Finance charges</t>
  </si>
  <si>
    <t>Total Interest &amp; Finance charges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</si>
  <si>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</si>
  <si>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</si>
  <si>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</si>
  <si>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</si>
  <si>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</si>
  <si>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</si>
  <si>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</si>
  <si>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</si>
  <si>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Rate of Return on Equity</t>
  </si>
  <si>
    <t>Base rate of Return on Equity</t>
  </si>
  <si>
    <t>Effective Income Tax rate</t>
  </si>
  <si>
    <t>Income from rent of land or buildings</t>
  </si>
  <si>
    <t>Net income from sale of de-capitalised assets</t>
  </si>
  <si>
    <t>Income from sale of scrap</t>
  </si>
  <si>
    <t>Income from statutory investments</t>
  </si>
  <si>
    <t>Interest income on advances to suppliers/ contractors</t>
  </si>
  <si>
    <t>Income from rental from staff quarters</t>
  </si>
  <si>
    <t>Income from rental from contractors</t>
  </si>
  <si>
    <t>Income from hire charges from contactors and others</t>
  </si>
  <si>
    <t>Income from advertisements</t>
  </si>
  <si>
    <t xml:space="preserve">April-March    </t>
  </si>
  <si>
    <t>Form 9:  Planned &amp; Forced Outages</t>
  </si>
  <si>
    <t>Form 3.2:  Financing of Additional Capitalisation</t>
  </si>
  <si>
    <t>Additional capitalisation</t>
  </si>
  <si>
    <t>Others (Please Specify)</t>
  </si>
  <si>
    <t>Total (2+3+4+5)</t>
  </si>
  <si>
    <t>Opening Quantity</t>
  </si>
  <si>
    <t>Value ot stock</t>
  </si>
  <si>
    <t>MT</t>
  </si>
  <si>
    <t>Procurement</t>
  </si>
  <si>
    <t>Normative transit and handling loss</t>
  </si>
  <si>
    <t>Price</t>
  </si>
  <si>
    <t>Handling, sampling and such other similar charges</t>
  </si>
  <si>
    <t>Total amount charged (8+9+10)</t>
  </si>
  <si>
    <t>D</t>
  </si>
  <si>
    <t>Transportation</t>
  </si>
  <si>
    <t>Transportation charges</t>
  </si>
  <si>
    <t>By rail</t>
  </si>
  <si>
    <t>By road</t>
  </si>
  <si>
    <t>By ship</t>
  </si>
  <si>
    <t>Demurrage charges, if any</t>
  </si>
  <si>
    <t>Total Transportation charges (12+13+14+15)</t>
  </si>
  <si>
    <t>E</t>
  </si>
  <si>
    <t>Rs./MT</t>
  </si>
  <si>
    <t>Blending Ratio (Domestic/Imported)</t>
  </si>
  <si>
    <t>F</t>
  </si>
  <si>
    <t>Quality</t>
  </si>
  <si>
    <t>kcal/kg</t>
  </si>
  <si>
    <t>Similar details to be furnished for secondary fuel oil for coal based thermal plants with appropriate units.</t>
  </si>
  <si>
    <t>As billed and as received GCV, quantity of coal, and price should be submitted as certified by statutory auditor.</t>
  </si>
  <si>
    <t>Details to be provided for each source separately. In case of more than one source, add additional column.</t>
  </si>
  <si>
    <t>Break up of the amount charged by the Coal Company is to be provided separately.</t>
  </si>
  <si>
    <t>COD</t>
  </si>
  <si>
    <t>Form 11: Fuel Details for computation of Energy Charge Rate</t>
  </si>
  <si>
    <t>Secondary Fuel oil consumption</t>
  </si>
  <si>
    <t>Calorific Value of Secondary Fuel</t>
  </si>
  <si>
    <t>Landed Price of Secondary Fuel</t>
  </si>
  <si>
    <t>Landed Price of Coal</t>
  </si>
  <si>
    <t>Specific Coal Consumption</t>
  </si>
  <si>
    <t>ECR</t>
  </si>
  <si>
    <t>AUX</t>
  </si>
  <si>
    <t>SFC</t>
  </si>
  <si>
    <t>CVSF</t>
  </si>
  <si>
    <t>kcal/ml</t>
  </si>
  <si>
    <t>LPSF</t>
  </si>
  <si>
    <t>Rs./ml</t>
  </si>
  <si>
    <t>CVPF</t>
  </si>
  <si>
    <t>LPPF</t>
  </si>
  <si>
    <t>Rs./kg</t>
  </si>
  <si>
    <t>kg/kWh</t>
  </si>
  <si>
    <t>GSHR</t>
  </si>
  <si>
    <t>Gross Calorific Value of Coal</t>
  </si>
  <si>
    <r>
      <t xml:space="preserve">              </t>
    </r>
    <r>
      <rPr>
        <b/>
        <sz val="11"/>
        <rFont val="Arial"/>
        <family val="2"/>
      </rPr>
      <t xml:space="preserve">               </t>
    </r>
  </si>
  <si>
    <t>Form 13: Sales</t>
  </si>
  <si>
    <t>Beneficiary</t>
  </si>
  <si>
    <t>Beneficiary 1</t>
  </si>
  <si>
    <t>Beneficiary 2</t>
  </si>
  <si>
    <t>Beneficiary 3</t>
  </si>
  <si>
    <t>Form 14: Revenue from Sale of Electricity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</si>
  <si>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</si>
  <si>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</si>
  <si>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</si>
  <si>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</si>
  <si>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</si>
  <si>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</si>
  <si>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</si>
  <si>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</si>
  <si>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</si>
  <si>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</si>
  <si>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</si>
  <si>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</si>
  <si>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</si>
  <si>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</si>
  <si>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</si>
  <si>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</si>
  <si>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</si>
  <si>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</si>
  <si>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</si>
  <si>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</si>
  <si>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</si>
  <si>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</si>
  <si>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Phasing of Expenditure, Debt and Equity upto COD</t>
  </si>
  <si>
    <t>Interest During Construction and Finance Charges upto COD</t>
  </si>
  <si>
    <r>
      <rPr>
        <b/>
        <sz val="12"/>
        <rFont val="Arial"/>
        <family val="2"/>
      </rPr>
      <t>Note</t>
    </r>
    <r>
      <rPr>
        <sz val="12"/>
        <rFont val="Arial"/>
        <family val="2"/>
      </rPr>
      <t>: * Applicable only for new Generating Station/Unit for which Provisional/Final tariff approval is being sought</t>
    </r>
  </si>
  <si>
    <t>Form 19.1</t>
  </si>
  <si>
    <t>Form 19.2</t>
  </si>
  <si>
    <t>Form 17</t>
  </si>
  <si>
    <t>Form 18</t>
  </si>
  <si>
    <t>Form 19.3</t>
  </si>
  <si>
    <t>Form 19.4</t>
  </si>
  <si>
    <t>Form 19.5</t>
  </si>
  <si>
    <t>Form 19.6</t>
  </si>
  <si>
    <t>Form 19.7</t>
  </si>
  <si>
    <t>Form 19.8</t>
  </si>
  <si>
    <t>Plant Characteristics (Thermal)</t>
  </si>
  <si>
    <t>Plant Characteristics (Hydel)</t>
  </si>
  <si>
    <t>Unfunded past liabilities of pension &amp; gratuity</t>
  </si>
  <si>
    <t>AFC +Energy Charges</t>
  </si>
  <si>
    <t>MYT/ Tariff Order</t>
  </si>
  <si>
    <t>1 In case actual availability is less or more than normative value, the modification in the formula need to be done accordingly.</t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</si>
  <si>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</si>
  <si>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</si>
  <si>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>Opening quantity of oil</t>
  </si>
  <si>
    <t>Quantity of oil suppllied by the oil company</t>
  </si>
  <si>
    <t>Adjustment in oil quantity supplied by the oil company</t>
  </si>
  <si>
    <t>oil supplied by oil company (3+4)</t>
  </si>
  <si>
    <t>Net oil supplied</t>
  </si>
  <si>
    <t>Amount charged by oil company</t>
  </si>
  <si>
    <t>Adjustment in amount charged by the oil company</t>
  </si>
  <si>
    <t>Adjustment in amount charged by the oil transporter</t>
  </si>
  <si>
    <t>Cost of diesel in transporting oil through MGR system, if
applicable</t>
  </si>
  <si>
    <t>Total amount charged for oil supplied including transportation (11+16)</t>
  </si>
  <si>
    <t>Landed cost of oil (2+17)/(1+7)</t>
  </si>
  <si>
    <t>Weighted average cost of oil for preceding three months</t>
  </si>
  <si>
    <t>GCV of Domestic oil of the opening oil stock as per bill
of oil Company</t>
  </si>
  <si>
    <t>GCV of Domestic oil supplied as per bill of oil Company</t>
  </si>
  <si>
    <t>GCV of Imported oil of the opening stock as per bill oil
Company</t>
  </si>
  <si>
    <t>GCV of Imported oil supplied as per bill oil Company</t>
  </si>
  <si>
    <t>Weighted average GCV of oil as Billed</t>
  </si>
  <si>
    <t>GCV of Domestic oil of the opening stock as received at
Station</t>
  </si>
  <si>
    <t>GCV of Domestic oil supplied as received at Station</t>
  </si>
  <si>
    <t>GCV of Imported oil of opening stock as received at
Station</t>
  </si>
  <si>
    <t>GCV of Imported oil of opening stock as received at Station</t>
  </si>
  <si>
    <t>Weighted average GCV of oil as Received</t>
  </si>
  <si>
    <t>Opening quantity of coal</t>
  </si>
  <si>
    <t>Quantity of coal suppllied by the coal company</t>
  </si>
  <si>
    <t>Adjustment in coal quantity supplied by the coal company (-/+)</t>
  </si>
  <si>
    <t>Coal supplied by coal company (3+4)</t>
  </si>
  <si>
    <t>Net coal supplied</t>
  </si>
  <si>
    <t>Amount charged by coal company</t>
  </si>
  <si>
    <t>Adjustment in amount charged by the coal company</t>
  </si>
  <si>
    <t>Adjustment in amount charged by the coal transporter</t>
  </si>
  <si>
    <t>Cost of diesel in transporting coal through MGR system, if applicable</t>
  </si>
  <si>
    <t>Total amount charged for coal supplied including transportation (11+16)</t>
  </si>
  <si>
    <t>Landed cost of coal (2+17)/(1+7)</t>
  </si>
  <si>
    <t>Weighted average cost of coal for preceding three months</t>
  </si>
  <si>
    <t>GCV of Domestic Coal of the opening coal stock as per bill of Coal Company</t>
  </si>
  <si>
    <t>GCV of Domestic Coal supplied as per bill of Coal Company</t>
  </si>
  <si>
    <t>GCV of Imported Coal of the opening stock as per bill Coal Company</t>
  </si>
  <si>
    <t>GCV of Imported Coal supplied as per bill Coal Company</t>
  </si>
  <si>
    <t>Weighted average GCV of coal as Billed</t>
  </si>
  <si>
    <t>GCV of Domestic Coal of the opening stock as received at Station</t>
  </si>
  <si>
    <t>GCV of Domestic Coal supplied as received at Station</t>
  </si>
  <si>
    <t>GCV of Imported Coal of opening stock as received at Station</t>
  </si>
  <si>
    <t>Weighted average GCV of coal as Received</t>
  </si>
  <si>
    <t>&lt;KTPS-V&gt;</t>
  </si>
  <si>
    <t>Water Charges</t>
  </si>
  <si>
    <t>Fuel (savings)/charge year end adjustment</t>
  </si>
  <si>
    <t>Difference bill issued after MTR order</t>
  </si>
  <si>
    <t>TSSPDCL (70.55%)</t>
  </si>
  <si>
    <t>TSNPDCL (29.45%)</t>
  </si>
  <si>
    <t>FY 2022-23</t>
  </si>
  <si>
    <t>FY 2023-24</t>
  </si>
  <si>
    <t>FY 2024-25</t>
  </si>
  <si>
    <t>FY 2025-26</t>
  </si>
  <si>
    <t>FY 2026-27</t>
  </si>
  <si>
    <t>FY 2027-28</t>
  </si>
  <si>
    <t>FY 2028-29</t>
  </si>
  <si>
    <t>Rs.in Crs</t>
  </si>
  <si>
    <t>Year (2022-23)</t>
  </si>
  <si>
    <t>CWIP PLANT AND MACHINERY</t>
  </si>
  <si>
    <t>2023-24</t>
  </si>
  <si>
    <t>2024-25</t>
  </si>
  <si>
    <t>2025-26</t>
  </si>
  <si>
    <t>2026-27</t>
  </si>
  <si>
    <t>2027-28</t>
  </si>
  <si>
    <t>2028-29</t>
  </si>
  <si>
    <t>Land &amp; Land Rights</t>
  </si>
  <si>
    <t>Lines and Cable Network</t>
  </si>
  <si>
    <t>Capital Spares</t>
  </si>
  <si>
    <t>Hydralic Works</t>
  </si>
  <si>
    <t>Other Civil Works</t>
  </si>
  <si>
    <t>Furniture&amp; Fixtures</t>
  </si>
  <si>
    <t>Computers</t>
  </si>
  <si>
    <t>Intangible Assets</t>
  </si>
  <si>
    <t>Non-Pit Head</t>
  </si>
  <si>
    <t>FY 2019-20</t>
  </si>
  <si>
    <t>FY 2020-21</t>
  </si>
  <si>
    <t>FY 2021-22</t>
  </si>
  <si>
    <t>26.12.2018</t>
  </si>
  <si>
    <t>&lt;KTPS-VII&gt;</t>
  </si>
  <si>
    <t>KL</t>
  </si>
  <si>
    <t>Rs./KL</t>
  </si>
  <si>
    <t>KTPS VII</t>
  </si>
  <si>
    <t>KTPS-VII</t>
  </si>
  <si>
    <t>Year (n-1) (FY 2022-23)</t>
  </si>
  <si>
    <t>Current Year 'n' (FY 2023-24)</t>
  </si>
  <si>
    <t xml:space="preserve"> (FY 2022-23)</t>
  </si>
  <si>
    <t>Previous Year (n-1)  FY 2022-23</t>
  </si>
  <si>
    <t>Previous Year (n-1) (FY 2022-23)</t>
  </si>
  <si>
    <t>Intangible assets</t>
  </si>
  <si>
    <t>Lines &amp; Cables</t>
  </si>
  <si>
    <t>LINES &amp; CABLES</t>
  </si>
  <si>
    <t>CAPITAL SPARES</t>
  </si>
  <si>
    <t>VEHICLES</t>
  </si>
  <si>
    <t>COMPUTERS</t>
  </si>
  <si>
    <t>OFFICE EQUIPMENT</t>
  </si>
  <si>
    <t>CWIP BUILDINGS</t>
  </si>
  <si>
    <t>PLANT &amp; MACHINERY</t>
  </si>
  <si>
    <t>OTHER CIVIL WORKS</t>
  </si>
  <si>
    <t>HYDRAULIC WORKS</t>
  </si>
  <si>
    <t>CWIP LINES AND CABLE NETWORK</t>
  </si>
  <si>
    <t>CWIP OTHER CIVIL WORKS</t>
  </si>
  <si>
    <t>CWIP PROVISIONS</t>
  </si>
  <si>
    <t xml:space="preserve"> PLANT AND MACHINERY</t>
  </si>
  <si>
    <t>FURNITURE</t>
  </si>
  <si>
    <t>Cosl Cost/kwh</t>
  </si>
  <si>
    <t>Rs/kwh</t>
  </si>
  <si>
    <t>Oil Cost/kwh</t>
  </si>
  <si>
    <t>Receivables1</t>
  </si>
  <si>
    <t>Payables for Fuels2</t>
  </si>
  <si>
    <t>&lt;TGGENCO&gt;</t>
  </si>
  <si>
    <t>TGGENCO</t>
  </si>
  <si>
    <t>KTPS-VII Provisional Audit Values</t>
  </si>
  <si>
    <t>Flexibilisation of Thermal Units to 40% TML</t>
  </si>
  <si>
    <t>( FY 2023-24)</t>
  </si>
  <si>
    <t>Provisional</t>
  </si>
  <si>
    <t>Provisioanl</t>
  </si>
  <si>
    <t>Current Year 'n'                    (FY 2023-24)</t>
  </si>
  <si>
    <t>2.2  Administration &amp; General Expenses</t>
  </si>
  <si>
    <t>Form 2.3: Repair &amp; Maintenance Expenses</t>
  </si>
  <si>
    <t>&lt;KTPS VII&gt;</t>
  </si>
  <si>
    <t>Form 3:  Summary of Capital Expenditure and Capitalisation</t>
  </si>
  <si>
    <t>procurement of 12Ton Hydraulic mobile crane for Rs.23.50 lakhs</t>
  </si>
  <si>
    <t>Augmentation of capacity of ESP handling system, Ash slurry disposal from power house to Northern Ash pond-II, Boiler maintenance division critical equipment, Upgrading the Electrical System of ICHP. (The complete details are attached as Annexure)</t>
  </si>
  <si>
    <t>IT Initiatives</t>
  </si>
  <si>
    <t xml:space="preserve">The Expenditure proposed is in Original Project cost and the details are enclosed as Annexure </t>
  </si>
  <si>
    <t>2.1 Employee Expenses</t>
  </si>
  <si>
    <t>Form-1: Summary Sheet</t>
  </si>
  <si>
    <t>Form-6:  Interest on working capital</t>
  </si>
  <si>
    <t>Form-7:  Return on Equity</t>
  </si>
  <si>
    <t>Form-8:  Non-Tariff Income</t>
  </si>
  <si>
    <t>Form-10:  Operational parameters</t>
  </si>
  <si>
    <t>Form-12:  Energy Charge Rate</t>
  </si>
  <si>
    <t>Loan 1-REC</t>
  </si>
  <si>
    <t>Loan 2-REC-Additional loan</t>
  </si>
  <si>
    <t>Loan 3-Indian Bank - FGD</t>
  </si>
  <si>
    <t>n+1         (2024-25)</t>
  </si>
  <si>
    <t>n+2    (2025-26)</t>
  </si>
  <si>
    <t>n+3     (2026-27)</t>
  </si>
  <si>
    <t>n+4      (2027-28)</t>
  </si>
  <si>
    <t>n+5       (2028-29)</t>
  </si>
  <si>
    <t>Year (n-1) FY2022-23</t>
  </si>
  <si>
    <t>Current Year FY 2023-24</t>
  </si>
  <si>
    <t>Apr-Mar (2022-23)</t>
  </si>
  <si>
    <t>Apr - Mar (2023-24)</t>
  </si>
  <si>
    <t>* Energy Charges provisionally computed for next control period FY 2024-25 to FY 2028-29 based on actual weighted average cost of primary fuel and secondary fuel during January-24, February-24 and March-24 with 2% escalation year on year. However, actual energy charges shall be claimed as per TGERC regulation 2 of 2023.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</si>
</sst>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164" formatCode="_(* #,##0.00_);_(* \(#,##0.00\);_(* &quot;-&quot;??_);_(@_)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00"/>
    <numFmt numFmtId="169" formatCode="0.00000"/>
    <numFmt numFmtId="170" formatCode="0.0000000"/>
  </numFmts>
  <fonts count="3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b/>
      <sz val="11"/>
      <color indexed="9"/>
      <name val="Arial"/>
      <family val="2"/>
    </font>
    <font>
      <sz val="13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30">
    <xf numFmtId="0" fontId="0" fillId="0" borderId="0"/>
    <xf numFmtId="0" fontId="10" fillId="0" borderId="0" applyNumberFormat="0" applyFill="0" applyBorder="0" applyAlignment="0" applyProtection="0"/>
    <xf numFmtId="0" fontId="11" fillId="0" borderId="1"/>
    <xf numFmtId="0" fontId="11" fillId="0" borderId="1"/>
    <xf numFmtId="38" fontId="12" fillId="2" borderId="0" applyNumberFormat="0" applyBorder="0" applyAlignment="0" applyProtection="0"/>
    <xf numFmtId="0" fontId="13" fillId="0" borderId="2" applyNumberFormat="0" applyAlignment="0" applyProtection="0">
      <alignment horizontal="left" vertical="center"/>
    </xf>
    <xf numFmtId="0" fontId="13" fillId="0" borderId="3">
      <alignment horizontal="left" vertical="center"/>
    </xf>
    <xf numFmtId="10" fontId="12" fillId="3" borderId="4" applyNumberFormat="0" applyBorder="0" applyAlignment="0" applyProtection="0"/>
    <xf numFmtId="37" fontId="14" fillId="0" borderId="0"/>
    <xf numFmtId="166" fontId="15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>
      <alignment vertical="center"/>
    </xf>
    <xf numFmtId="167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0" fontId="9" fillId="0" borderId="0"/>
    <xf numFmtId="0" fontId="17" fillId="0" borderId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9" fillId="0" borderId="0"/>
    <xf numFmtId="9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164" fontId="20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9" fillId="0" borderId="0"/>
    <xf numFmtId="0" fontId="9" fillId="0" borderId="0"/>
    <xf numFmtId="0" fontId="7" fillId="0" borderId="0"/>
    <xf numFmtId="0" fontId="9" fillId="0" borderId="0" applyBorder="0" applyProtection="0"/>
    <xf numFmtId="167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" fillId="0" borderId="0"/>
    <xf numFmtId="0" fontId="2" fillId="0" borderId="0"/>
    <xf numFmtId="43" fontId="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" fillId="0" borderId="0"/>
    <xf numFmtId="0" fontId="2" fillId="0" borderId="0"/>
    <xf numFmtId="43" fontId="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30" fillId="0" borderId="0" applyFont="0" applyFill="0" applyBorder="0" applyAlignment="0" applyProtection="0"/>
  </cellStyleXfs>
  <cellXfs count="347">
    <xf numFmtId="0" fontId="0" fillId="0" borderId="0" xfId="0"/>
    <xf numFmtId="0" fontId="8" fillId="0" borderId="0" xfId="10" applyFont="1" applyAlignment="1">
      <alignment horizontal="center" vertical="center"/>
    </xf>
    <xf numFmtId="0" fontId="16" fillId="0" borderId="4" xfId="14" applyFont="1" applyBorder="1" applyAlignment="1">
      <alignment horizontal="center" vertical="center"/>
    </xf>
    <xf numFmtId="0" fontId="16" fillId="0" borderId="4" xfId="14" applyFont="1" applyBorder="1">
      <alignment vertical="center"/>
    </xf>
    <xf numFmtId="0" fontId="16" fillId="0" borderId="0" xfId="10" applyFont="1"/>
    <xf numFmtId="0" fontId="16" fillId="0" borderId="0" xfId="10" applyFont="1" applyAlignment="1">
      <alignment vertical="center"/>
    </xf>
    <xf numFmtId="0" fontId="8" fillId="0" borderId="0" xfId="14" applyFont="1">
      <alignment vertical="center"/>
    </xf>
    <xf numFmtId="0" fontId="13" fillId="0" borderId="0" xfId="14" applyFont="1" applyAlignment="1">
      <alignment horizontal="right" vertical="center"/>
    </xf>
    <xf numFmtId="0" fontId="8" fillId="0" borderId="4" xfId="14" applyFont="1" applyBorder="1" applyAlignment="1">
      <alignment horizontal="center" vertical="center"/>
    </xf>
    <xf numFmtId="0" fontId="8" fillId="0" borderId="4" xfId="14" applyFont="1" applyBorder="1">
      <alignment vertical="center"/>
    </xf>
    <xf numFmtId="0" fontId="8" fillId="0" borderId="4" xfId="14" applyFont="1" applyBorder="1" applyAlignment="1">
      <alignment horizontal="left" vertical="center"/>
    </xf>
    <xf numFmtId="0" fontId="8" fillId="0" borderId="4" xfId="14" applyFont="1" applyBorder="1" applyAlignment="1">
      <alignment vertical="top" wrapText="1"/>
    </xf>
    <xf numFmtId="0" fontId="8" fillId="6" borderId="4" xfId="14" applyFont="1" applyFill="1" applyBorder="1" applyAlignment="1">
      <alignment horizontal="center" vertical="center"/>
    </xf>
    <xf numFmtId="0" fontId="13" fillId="6" borderId="4" xfId="14" applyFont="1" applyFill="1" applyBorder="1">
      <alignment vertical="center"/>
    </xf>
    <xf numFmtId="0" fontId="8" fillId="6" borderId="4" xfId="14" applyFont="1" applyFill="1" applyBorder="1" applyAlignment="1">
      <alignment horizontal="left" vertical="center"/>
    </xf>
    <xf numFmtId="0" fontId="8" fillId="0" borderId="0" xfId="10" applyFont="1"/>
    <xf numFmtId="0" fontId="8" fillId="5" borderId="0" xfId="14" applyFont="1" applyFill="1">
      <alignment vertical="center"/>
    </xf>
    <xf numFmtId="0" fontId="13" fillId="0" borderId="8" xfId="14" applyFont="1" applyBorder="1" applyAlignment="1">
      <alignment horizontal="center" vertical="center"/>
    </xf>
    <xf numFmtId="0" fontId="13" fillId="0" borderId="4" xfId="14" applyFont="1" applyBorder="1" applyAlignment="1">
      <alignment horizontal="center" vertical="center"/>
    </xf>
    <xf numFmtId="0" fontId="16" fillId="0" borderId="0" xfId="14" applyFont="1">
      <alignment vertical="center"/>
    </xf>
    <xf numFmtId="0" fontId="21" fillId="0" borderId="4" xfId="14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21" fillId="0" borderId="4" xfId="14" applyFont="1" applyBorder="1">
      <alignment vertical="center"/>
    </xf>
    <xf numFmtId="0" fontId="16" fillId="0" borderId="4" xfId="10" applyFont="1" applyBorder="1" applyAlignment="1">
      <alignment horizontal="center" vertical="center"/>
    </xf>
    <xf numFmtId="0" fontId="16" fillId="0" borderId="4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center" vertical="center"/>
    </xf>
    <xf numFmtId="0" fontId="21" fillId="0" borderId="0" xfId="10" applyFont="1" applyAlignment="1">
      <alignment horizontal="left" vertical="center"/>
    </xf>
    <xf numFmtId="0" fontId="21" fillId="0" borderId="0" xfId="10" applyFont="1" applyAlignment="1">
      <alignment horizontal="right" vertical="center"/>
    </xf>
    <xf numFmtId="0" fontId="21" fillId="0" borderId="0" xfId="14" applyFont="1" applyAlignment="1">
      <alignment horizontal="right" vertical="center"/>
    </xf>
    <xf numFmtId="0" fontId="16" fillId="0" borderId="4" xfId="1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4" xfId="10" applyFont="1" applyBorder="1" applyAlignment="1">
      <alignment horizontal="left" vertical="center"/>
    </xf>
    <xf numFmtId="0" fontId="21" fillId="0" borderId="4" xfId="10" applyFont="1" applyBorder="1" applyAlignment="1">
      <alignment horizontal="left" vertical="center" wrapText="1"/>
    </xf>
    <xf numFmtId="0" fontId="21" fillId="0" borderId="4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left" vertical="center"/>
    </xf>
    <xf numFmtId="0" fontId="21" fillId="0" borderId="0" xfId="10" applyFont="1" applyAlignment="1">
      <alignment vertical="center"/>
    </xf>
    <xf numFmtId="0" fontId="21" fillId="0" borderId="0" xfId="14" applyFont="1" applyAlignment="1">
      <alignment horizontal="center" vertical="center"/>
    </xf>
    <xf numFmtId="0" fontId="16" fillId="0" borderId="0" xfId="10" applyFont="1" applyAlignment="1">
      <alignment horizontal="center" vertical="center"/>
    </xf>
    <xf numFmtId="0" fontId="21" fillId="0" borderId="0" xfId="10" applyFont="1" applyAlignment="1">
      <alignment horizontal="center" vertical="center"/>
    </xf>
    <xf numFmtId="0" fontId="21" fillId="0" borderId="0" xfId="14" applyFont="1">
      <alignment vertical="center"/>
    </xf>
    <xf numFmtId="0" fontId="16" fillId="0" borderId="4" xfId="10" applyFont="1" applyBorder="1" applyAlignment="1">
      <alignment horizontal="left" vertical="center" wrapText="1"/>
    </xf>
    <xf numFmtId="0" fontId="21" fillId="0" borderId="0" xfId="14" applyFont="1" applyAlignment="1">
      <alignment horizontal="center" vertical="center" wrapText="1"/>
    </xf>
    <xf numFmtId="0" fontId="21" fillId="0" borderId="4" xfId="10" applyFont="1" applyBorder="1" applyAlignment="1">
      <alignment vertical="center"/>
    </xf>
    <xf numFmtId="0" fontId="21" fillId="0" borderId="0" xfId="10" applyFont="1" applyAlignment="1">
      <alignment horizontal="centerContinuous"/>
    </xf>
    <xf numFmtId="0" fontId="16" fillId="0" borderId="0" xfId="10" applyFont="1" applyAlignment="1">
      <alignment horizontal="centerContinuous"/>
    </xf>
    <xf numFmtId="0" fontId="16" fillId="0" borderId="4" xfId="10" applyFont="1" applyBorder="1"/>
    <xf numFmtId="0" fontId="21" fillId="0" borderId="4" xfId="10" applyFont="1" applyBorder="1"/>
    <xf numFmtId="0" fontId="21" fillId="0" borderId="0" xfId="10" applyFont="1" applyAlignment="1">
      <alignment horizontal="justify" vertical="top" wrapText="1"/>
    </xf>
    <xf numFmtId="0" fontId="16" fillId="0" borderId="0" xfId="10" applyFont="1" applyAlignment="1">
      <alignment horizontal="left"/>
    </xf>
    <xf numFmtId="0" fontId="16" fillId="0" borderId="4" xfId="10" applyFont="1" applyBorder="1" applyAlignment="1">
      <alignment wrapText="1"/>
    </xf>
    <xf numFmtId="0" fontId="16" fillId="0" borderId="0" xfId="10" applyFont="1" applyAlignment="1">
      <alignment horizontal="left" vertical="center"/>
    </xf>
    <xf numFmtId="0" fontId="16" fillId="0" borderId="0" xfId="10" applyFont="1" applyAlignment="1">
      <alignment horizontal="right" vertical="center"/>
    </xf>
    <xf numFmtId="0" fontId="22" fillId="0" borderId="0" xfId="10" applyFont="1" applyAlignment="1">
      <alignment horizontal="left" vertical="center"/>
    </xf>
    <xf numFmtId="0" fontId="22" fillId="0" borderId="0" xfId="10" applyFont="1" applyAlignment="1">
      <alignment vertical="center"/>
    </xf>
    <xf numFmtId="0" fontId="22" fillId="0" borderId="0" xfId="10" applyFont="1" applyAlignment="1">
      <alignment horizontal="center" vertical="center"/>
    </xf>
    <xf numFmtId="0" fontId="16" fillId="0" borderId="4" xfId="10" quotePrefix="1" applyFont="1" applyBorder="1" applyAlignment="1">
      <alignment horizontal="left" vertical="top" wrapText="1"/>
    </xf>
    <xf numFmtId="0" fontId="16" fillId="0" borderId="4" xfId="10" applyFont="1" applyBorder="1" applyAlignment="1">
      <alignment horizontal="left"/>
    </xf>
    <xf numFmtId="0" fontId="21" fillId="0" borderId="4" xfId="10" applyFont="1" applyBorder="1" applyAlignment="1">
      <alignment horizontal="left"/>
    </xf>
    <xf numFmtId="0" fontId="16" fillId="0" borderId="0" xfId="14" applyFont="1" applyAlignment="1">
      <alignment horizontal="center" vertical="center"/>
    </xf>
    <xf numFmtId="0" fontId="16" fillId="0" borderId="4" xfId="10" applyFont="1" applyBorder="1" applyAlignment="1">
      <alignment horizontal="left" vertical="top" wrapText="1"/>
    </xf>
    <xf numFmtId="0" fontId="21" fillId="0" borderId="0" xfId="10" applyFont="1" applyAlignment="1">
      <alignment horizontal="left"/>
    </xf>
    <xf numFmtId="0" fontId="21" fillId="0" borderId="0" xfId="10" applyFont="1" applyAlignment="1">
      <alignment horizontal="right"/>
    </xf>
    <xf numFmtId="0" fontId="21" fillId="0" borderId="0" xfId="10" applyFont="1" applyAlignment="1">
      <alignment horizontal="left" vertical="center" wrapText="1"/>
    </xf>
    <xf numFmtId="0" fontId="21" fillId="0" borderId="0" xfId="10" applyFont="1" applyAlignment="1">
      <alignment horizontal="center" vertical="center" wrapText="1"/>
    </xf>
    <xf numFmtId="0" fontId="16" fillId="0" borderId="7" xfId="10" applyFont="1" applyBorder="1" applyAlignment="1">
      <alignment horizontal="center" vertical="center"/>
    </xf>
    <xf numFmtId="0" fontId="22" fillId="0" borderId="0" xfId="10" applyFont="1" applyAlignment="1">
      <alignment horizontal="right" vertical="center"/>
    </xf>
    <xf numFmtId="0" fontId="16" fillId="0" borderId="0" xfId="10" applyFont="1" applyAlignment="1">
      <alignment horizontal="center"/>
    </xf>
    <xf numFmtId="0" fontId="16" fillId="4" borderId="4" xfId="68" applyFont="1" applyFill="1" applyBorder="1" applyAlignment="1">
      <alignment horizontal="left" vertical="center" wrapText="1"/>
    </xf>
    <xf numFmtId="0" fontId="21" fillId="4" borderId="4" xfId="68" applyFont="1" applyFill="1" applyBorder="1" applyAlignment="1">
      <alignment horizontal="center" vertical="center"/>
    </xf>
    <xf numFmtId="10" fontId="16" fillId="4" borderId="4" xfId="39" applyNumberFormat="1" applyFont="1" applyFill="1" applyBorder="1" applyAlignment="1">
      <alignment horizontal="center" vertical="center"/>
    </xf>
    <xf numFmtId="2" fontId="16" fillId="4" borderId="4" xfId="68" applyNumberFormat="1" applyFont="1" applyFill="1" applyBorder="1" applyAlignment="1">
      <alignment horizontal="center" vertical="center"/>
    </xf>
    <xf numFmtId="2" fontId="16" fillId="0" borderId="4" xfId="68" applyNumberFormat="1" applyFont="1" applyBorder="1" applyAlignment="1">
      <alignment horizontal="center" vertical="center"/>
    </xf>
    <xf numFmtId="2" fontId="16" fillId="4" borderId="4" xfId="19" applyNumberFormat="1" applyFont="1" applyFill="1" applyBorder="1" applyAlignment="1">
      <alignment horizontal="center" vertical="center"/>
    </xf>
    <xf numFmtId="0" fontId="16" fillId="4" borderId="4" xfId="68" applyFont="1" applyFill="1" applyBorder="1" applyAlignment="1">
      <alignment horizontal="left" vertical="center"/>
    </xf>
    <xf numFmtId="10" fontId="23" fillId="0" borderId="4" xfId="39" applyNumberFormat="1" applyFont="1" applyFill="1" applyBorder="1" applyAlignment="1">
      <alignment horizontal="center" vertical="center"/>
    </xf>
    <xf numFmtId="0" fontId="16" fillId="4" borderId="12" xfId="68" applyFont="1" applyFill="1" applyBorder="1" applyAlignment="1">
      <alignment horizontal="center" vertical="center"/>
    </xf>
    <xf numFmtId="0" fontId="21" fillId="4" borderId="13" xfId="68" applyFont="1" applyFill="1" applyBorder="1" applyAlignment="1">
      <alignment horizontal="center" vertical="center"/>
    </xf>
    <xf numFmtId="0" fontId="13" fillId="0" borderId="0" xfId="14" applyFont="1" applyAlignment="1">
      <alignment horizontal="center" vertical="center"/>
    </xf>
    <xf numFmtId="0" fontId="16" fillId="0" borderId="4" xfId="10" applyFont="1" applyBorder="1" applyAlignment="1">
      <alignment vertical="center" wrapText="1"/>
    </xf>
    <xf numFmtId="0" fontId="16" fillId="0" borderId="9" xfId="14" applyFont="1" applyBorder="1">
      <alignment vertical="center"/>
    </xf>
    <xf numFmtId="0" fontId="21" fillId="0" borderId="4" xfId="10" applyFont="1" applyBorder="1" applyAlignment="1">
      <alignment vertical="center" wrapText="1"/>
    </xf>
    <xf numFmtId="0" fontId="21" fillId="4" borderId="4" xfId="14" applyFont="1" applyFill="1" applyBorder="1" applyAlignment="1">
      <alignment horizontal="center" vertical="center" wrapText="1"/>
    </xf>
    <xf numFmtId="0" fontId="21" fillId="0" borderId="0" xfId="10" applyFont="1" applyAlignment="1">
      <alignment horizontal="centerContinuous" vertical="center"/>
    </xf>
    <xf numFmtId="0" fontId="16" fillId="0" borderId="0" xfId="10" applyFont="1" applyAlignment="1">
      <alignment horizontal="centerContinuous" vertical="center"/>
    </xf>
    <xf numFmtId="0" fontId="21" fillId="4" borderId="4" xfId="10" quotePrefix="1" applyFont="1" applyFill="1" applyBorder="1" applyAlignment="1">
      <alignment horizontal="center" vertical="center" wrapText="1"/>
    </xf>
    <xf numFmtId="0" fontId="21" fillId="4" borderId="4" xfId="10" applyFont="1" applyFill="1" applyBorder="1" applyAlignment="1">
      <alignment horizontal="left" vertical="center" wrapText="1"/>
    </xf>
    <xf numFmtId="0" fontId="21" fillId="4" borderId="4" xfId="10" applyFont="1" applyFill="1" applyBorder="1" applyAlignment="1">
      <alignment horizontal="center" vertical="center"/>
    </xf>
    <xf numFmtId="0" fontId="16" fillId="4" borderId="4" xfId="14" applyFont="1" applyFill="1" applyBorder="1">
      <alignment vertical="center"/>
    </xf>
    <xf numFmtId="0" fontId="16" fillId="5" borderId="4" xfId="14" applyFont="1" applyFill="1" applyBorder="1">
      <alignment vertical="center"/>
    </xf>
    <xf numFmtId="0" fontId="16" fillId="4" borderId="4" xfId="10" applyFont="1" applyFill="1" applyBorder="1" applyAlignment="1">
      <alignment horizontal="center" vertical="center"/>
    </xf>
    <xf numFmtId="0" fontId="16" fillId="4" borderId="4" xfId="10" applyFont="1" applyFill="1" applyBorder="1" applyAlignment="1">
      <alignment vertical="center" wrapText="1"/>
    </xf>
    <xf numFmtId="0" fontId="21" fillId="4" borderId="4" xfId="10" applyFont="1" applyFill="1" applyBorder="1" applyAlignment="1">
      <alignment vertical="center" wrapText="1"/>
    </xf>
    <xf numFmtId="0" fontId="16" fillId="4" borderId="4" xfId="10" applyFont="1" applyFill="1" applyBorder="1" applyAlignment="1">
      <alignment vertical="center"/>
    </xf>
    <xf numFmtId="0" fontId="21" fillId="4" borderId="0" xfId="10" applyFont="1" applyFill="1" applyAlignment="1">
      <alignment vertical="center"/>
    </xf>
    <xf numFmtId="0" fontId="16" fillId="4" borderId="0" xfId="10" applyFont="1" applyFill="1" applyAlignment="1">
      <alignment vertical="center"/>
    </xf>
    <xf numFmtId="166" fontId="16" fillId="0" borderId="0" xfId="10" applyNumberFormat="1" applyFont="1" applyAlignment="1">
      <alignment vertical="center"/>
    </xf>
    <xf numFmtId="0" fontId="16" fillId="4" borderId="0" xfId="10" applyFont="1" applyFill="1" applyAlignment="1">
      <alignment vertical="center" wrapText="1"/>
    </xf>
    <xf numFmtId="0" fontId="16" fillId="0" borderId="0" xfId="14" applyFont="1" applyAlignment="1">
      <alignment horizontal="centerContinuous" vertical="center"/>
    </xf>
    <xf numFmtId="0" fontId="21" fillId="0" borderId="4" xfId="14" applyFont="1" applyBorder="1" applyAlignment="1">
      <alignment horizontal="left" vertical="center" wrapText="1"/>
    </xf>
    <xf numFmtId="0" fontId="16" fillId="0" borderId="4" xfId="14" quotePrefix="1" applyFont="1" applyBorder="1" applyAlignment="1">
      <alignment horizontal="center" vertical="center" wrapText="1"/>
    </xf>
    <xf numFmtId="0" fontId="16" fillId="0" borderId="4" xfId="14" applyFont="1" applyBorder="1" applyAlignment="1">
      <alignment horizontal="center" vertical="center" wrapText="1"/>
    </xf>
    <xf numFmtId="0" fontId="16" fillId="0" borderId="4" xfId="14" applyFont="1" applyBorder="1" applyAlignment="1">
      <alignment horizontal="left" vertical="center" wrapText="1"/>
    </xf>
    <xf numFmtId="0" fontId="24" fillId="0" borderId="4" xfId="14" applyFont="1" applyBorder="1" applyAlignment="1">
      <alignment horizontal="center" vertical="center" wrapText="1"/>
    </xf>
    <xf numFmtId="0" fontId="16" fillId="0" borderId="4" xfId="14" applyFont="1" applyBorder="1" applyAlignment="1">
      <alignment vertical="center" wrapText="1"/>
    </xf>
    <xf numFmtId="0" fontId="21" fillId="0" borderId="4" xfId="14" applyFont="1" applyBorder="1" applyAlignment="1">
      <alignment vertical="center" wrapText="1"/>
    </xf>
    <xf numFmtId="0" fontId="21" fillId="0" borderId="0" xfId="14" applyFont="1" applyAlignment="1">
      <alignment horizontal="left" vertical="center" wrapText="1"/>
    </xf>
    <xf numFmtId="0" fontId="16" fillId="0" borderId="0" xfId="14" quotePrefix="1" applyFont="1" applyAlignment="1">
      <alignment horizontal="center" vertical="center" wrapText="1"/>
    </xf>
    <xf numFmtId="0" fontId="16" fillId="0" borderId="0" xfId="10" applyFont="1" applyAlignment="1">
      <alignment horizontal="center" vertical="center" wrapText="1"/>
    </xf>
    <xf numFmtId="0" fontId="25" fillId="0" borderId="0" xfId="10" applyFont="1" applyAlignment="1">
      <alignment horizontal="left" vertical="center"/>
    </xf>
    <xf numFmtId="0" fontId="16" fillId="0" borderId="0" xfId="10" applyFont="1" applyAlignment="1">
      <alignment horizontal="justify" vertical="center" wrapTex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vertical="center"/>
    </xf>
    <xf numFmtId="0" fontId="16" fillId="0" borderId="4" xfId="0" applyFont="1" applyBorder="1" applyAlignment="1">
      <alignment vertical="center" wrapText="1"/>
    </xf>
    <xf numFmtId="0" fontId="27" fillId="0" borderId="0" xfId="10" applyFont="1" applyAlignment="1">
      <alignment vertical="center"/>
    </xf>
    <xf numFmtId="16" fontId="21" fillId="0" borderId="4" xfId="10" applyNumberFormat="1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vertical="center" wrapText="1"/>
    </xf>
    <xf numFmtId="2" fontId="16" fillId="0" borderId="4" xfId="0" applyNumberFormat="1" applyFont="1" applyBorder="1" applyAlignment="1">
      <alignment horizontal="center" vertical="center"/>
    </xf>
    <xf numFmtId="2" fontId="16" fillId="0" borderId="4" xfId="0" applyNumberFormat="1" applyFont="1" applyBorder="1" applyAlignment="1">
      <alignment vertical="center"/>
    </xf>
    <xf numFmtId="0" fontId="16" fillId="0" borderId="4" xfId="0" applyFont="1" applyBorder="1" applyAlignment="1">
      <alignment horizontal="center" vertical="center" wrapText="1"/>
    </xf>
    <xf numFmtId="2" fontId="16" fillId="0" borderId="4" xfId="0" applyNumberFormat="1" applyFont="1" applyBorder="1" applyAlignment="1">
      <alignment horizontal="right" vertical="center"/>
    </xf>
    <xf numFmtId="0" fontId="21" fillId="0" borderId="9" xfId="0" applyFont="1" applyBorder="1" applyAlignment="1">
      <alignment vertical="center" wrapText="1"/>
    </xf>
    <xf numFmtId="2" fontId="21" fillId="0" borderId="4" xfId="0" applyNumberFormat="1" applyFont="1" applyBorder="1" applyAlignment="1">
      <alignment vertical="center"/>
    </xf>
    <xf numFmtId="0" fontId="21" fillId="0" borderId="4" xfId="0" applyFont="1" applyBorder="1" applyAlignment="1">
      <alignment vertical="center" wrapText="1"/>
    </xf>
    <xf numFmtId="2" fontId="21" fillId="0" borderId="4" xfId="0" applyNumberFormat="1" applyFont="1" applyBorder="1" applyAlignment="1">
      <alignment horizontal="right" vertical="center"/>
    </xf>
    <xf numFmtId="0" fontId="21" fillId="6" borderId="4" xfId="0" applyFont="1" applyFill="1" applyBorder="1" applyAlignment="1">
      <alignment vertical="center"/>
    </xf>
    <xf numFmtId="2" fontId="21" fillId="6" borderId="4" xfId="0" applyNumberFormat="1" applyFont="1" applyFill="1" applyBorder="1" applyAlignment="1">
      <alignment vertical="center"/>
    </xf>
    <xf numFmtId="2" fontId="21" fillId="0" borderId="4" xfId="10" applyNumberFormat="1" applyFont="1" applyBorder="1" applyAlignment="1">
      <alignment horizontal="center" vertical="center" wrapText="1"/>
    </xf>
    <xf numFmtId="2" fontId="16" fillId="0" borderId="4" xfId="10" applyNumberFormat="1" applyFont="1" applyBorder="1" applyAlignment="1">
      <alignment horizontal="center" vertical="center" wrapText="1"/>
    </xf>
    <xf numFmtId="2" fontId="21" fillId="6" borderId="4" xfId="10" applyNumberFormat="1" applyFont="1" applyFill="1" applyBorder="1" applyAlignment="1">
      <alignment horizontal="center" vertical="center"/>
    </xf>
    <xf numFmtId="2" fontId="21" fillId="6" borderId="4" xfId="0" applyNumberFormat="1" applyFont="1" applyFill="1" applyBorder="1" applyAlignment="1">
      <alignment horizontal="right" vertical="center"/>
    </xf>
    <xf numFmtId="2" fontId="21" fillId="6" borderId="4" xfId="14" applyNumberFormat="1" applyFont="1" applyFill="1" applyBorder="1">
      <alignment vertical="center"/>
    </xf>
    <xf numFmtId="2" fontId="21" fillId="6" borderId="4" xfId="10" applyNumberFormat="1" applyFont="1" applyFill="1" applyBorder="1" applyAlignment="1">
      <alignment vertical="center"/>
    </xf>
    <xf numFmtId="2" fontId="21" fillId="6" borderId="9" xfId="14" applyNumberFormat="1" applyFont="1" applyFill="1" applyBorder="1">
      <alignment vertical="center"/>
    </xf>
    <xf numFmtId="2" fontId="21" fillId="6" borderId="4" xfId="68" applyNumberFormat="1" applyFont="1" applyFill="1" applyBorder="1" applyAlignment="1">
      <alignment horizontal="center" vertical="center"/>
    </xf>
    <xf numFmtId="2" fontId="21" fillId="6" borderId="4" xfId="19" applyNumberFormat="1" applyFont="1" applyFill="1" applyBorder="1" applyAlignment="1">
      <alignment horizontal="center" vertical="center"/>
    </xf>
    <xf numFmtId="10" fontId="21" fillId="6" borderId="13" xfId="68" applyNumberFormat="1" applyFont="1" applyFill="1" applyBorder="1" applyAlignment="1">
      <alignment horizontal="center" vertical="center"/>
    </xf>
    <xf numFmtId="2" fontId="21" fillId="6" borderId="13" xfId="19" applyNumberFormat="1" applyFont="1" applyFill="1" applyBorder="1" applyAlignment="1">
      <alignment horizontal="center" vertical="center"/>
    </xf>
    <xf numFmtId="2" fontId="21" fillId="6" borderId="18" xfId="19" applyNumberFormat="1" applyFont="1" applyFill="1" applyBorder="1" applyAlignment="1">
      <alignment horizontal="center" vertical="center"/>
    </xf>
    <xf numFmtId="2" fontId="21" fillId="6" borderId="17" xfId="19" applyNumberFormat="1" applyFont="1" applyFill="1" applyBorder="1" applyAlignment="1">
      <alignment horizontal="center" vertical="center"/>
    </xf>
    <xf numFmtId="2" fontId="16" fillId="0" borderId="9" xfId="14" applyNumberFormat="1" applyFont="1" applyBorder="1">
      <alignment vertical="center"/>
    </xf>
    <xf numFmtId="2" fontId="16" fillId="0" borderId="4" xfId="10" applyNumberFormat="1" applyFont="1" applyBorder="1" applyAlignment="1">
      <alignment vertical="center"/>
    </xf>
    <xf numFmtId="2" fontId="16" fillId="0" borderId="4" xfId="14" applyNumberFormat="1" applyFont="1" applyBorder="1" applyAlignment="1">
      <alignment horizontal="center" vertical="center"/>
    </xf>
    <xf numFmtId="2" fontId="21" fillId="6" borderId="4" xfId="10" applyNumberFormat="1" applyFont="1" applyFill="1" applyBorder="1" applyAlignment="1">
      <alignment horizontal="center" vertical="center" wrapText="1"/>
    </xf>
    <xf numFmtId="2" fontId="21" fillId="6" borderId="4" xfId="14" applyNumberFormat="1" applyFont="1" applyFill="1" applyBorder="1" applyAlignment="1">
      <alignment horizontal="center" vertical="center"/>
    </xf>
    <xf numFmtId="2" fontId="16" fillId="0" borderId="4" xfId="14" applyNumberFormat="1" applyFont="1" applyBorder="1">
      <alignment vertical="center"/>
    </xf>
    <xf numFmtId="10" fontId="21" fillId="6" borderId="4" xfId="14" applyNumberFormat="1" applyFont="1" applyFill="1" applyBorder="1">
      <alignment vertical="center"/>
    </xf>
    <xf numFmtId="2" fontId="21" fillId="6" borderId="4" xfId="10" applyNumberFormat="1" applyFont="1" applyFill="1" applyBorder="1"/>
    <xf numFmtId="2" fontId="16" fillId="0" borderId="4" xfId="10" applyNumberFormat="1" applyFont="1" applyBorder="1"/>
    <xf numFmtId="2" fontId="16" fillId="0" borderId="4" xfId="10" applyNumberFormat="1" applyFont="1" applyBorder="1" applyAlignment="1">
      <alignment horizontal="right" vertical="center"/>
    </xf>
    <xf numFmtId="2" fontId="21" fillId="0" borderId="4" xfId="10" applyNumberFormat="1" applyFont="1" applyBorder="1" applyAlignment="1">
      <alignment vertical="center"/>
    </xf>
    <xf numFmtId="2" fontId="16" fillId="0" borderId="4" xfId="10" applyNumberFormat="1" applyFont="1" applyBorder="1" applyAlignment="1">
      <alignment horizontal="right" vertical="center" wrapText="1"/>
    </xf>
    <xf numFmtId="2" fontId="21" fillId="6" borderId="9" xfId="14" applyNumberFormat="1" applyFont="1" applyFill="1" applyBorder="1" applyAlignment="1">
      <alignment horizontal="right" vertical="center"/>
    </xf>
    <xf numFmtId="2" fontId="16" fillId="6" borderId="4" xfId="10" applyNumberFormat="1" applyFont="1" applyFill="1" applyBorder="1" applyAlignment="1">
      <alignment horizontal="center" vertical="center"/>
    </xf>
    <xf numFmtId="2" fontId="16" fillId="6" borderId="4" xfId="10" applyNumberFormat="1" applyFont="1" applyFill="1" applyBorder="1" applyAlignment="1">
      <alignment horizontal="center" vertical="center" wrapText="1"/>
    </xf>
    <xf numFmtId="0" fontId="16" fillId="0" borderId="4" xfId="0" applyFont="1" applyBorder="1"/>
    <xf numFmtId="0" fontId="26" fillId="0" borderId="4" xfId="0" applyFont="1" applyBorder="1"/>
    <xf numFmtId="2" fontId="16" fillId="0" borderId="4" xfId="10" applyNumberFormat="1" applyFont="1" applyBorder="1" applyAlignment="1">
      <alignment vertical="top" wrapText="1"/>
    </xf>
    <xf numFmtId="2" fontId="28" fillId="0" borderId="4" xfId="10" applyNumberFormat="1" applyFont="1" applyBorder="1" applyAlignment="1">
      <alignment horizontal="center" vertical="center"/>
    </xf>
    <xf numFmtId="168" fontId="28" fillId="0" borderId="4" xfId="10" applyNumberFormat="1" applyFont="1" applyBorder="1" applyAlignment="1">
      <alignment horizontal="right" vertical="center"/>
    </xf>
    <xf numFmtId="2" fontId="28" fillId="0" borderId="4" xfId="10" applyNumberFormat="1" applyFont="1" applyBorder="1" applyAlignment="1">
      <alignment horizontal="right" vertical="center"/>
    </xf>
    <xf numFmtId="2" fontId="21" fillId="0" borderId="4" xfId="10" applyNumberFormat="1" applyFont="1" applyBorder="1" applyAlignment="1">
      <alignment horizontal="right" vertical="center"/>
    </xf>
    <xf numFmtId="1" fontId="9" fillId="0" borderId="4" xfId="0" applyNumberFormat="1" applyFont="1" applyBorder="1" applyAlignment="1">
      <alignment vertical="center"/>
    </xf>
    <xf numFmtId="2" fontId="9" fillId="0" borderId="4" xfId="0" applyNumberFormat="1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168" fontId="16" fillId="0" borderId="4" xfId="0" applyNumberFormat="1" applyFont="1" applyBorder="1" applyAlignment="1">
      <alignment vertical="center"/>
    </xf>
    <xf numFmtId="0" fontId="0" fillId="0" borderId="4" xfId="0" applyBorder="1" applyAlignment="1">
      <alignment wrapText="1"/>
    </xf>
    <xf numFmtId="2" fontId="16" fillId="0" borderId="0" xfId="10" applyNumberFormat="1" applyFont="1" applyAlignment="1">
      <alignment vertical="center"/>
    </xf>
    <xf numFmtId="2" fontId="16" fillId="0" borderId="9" xfId="14" applyNumberFormat="1" applyFont="1" applyBorder="1" applyAlignment="1">
      <alignment horizontal="right" vertical="center"/>
    </xf>
    <xf numFmtId="43" fontId="16" fillId="0" borderId="4" xfId="110" applyFont="1" applyBorder="1" applyAlignment="1">
      <alignment vertical="center"/>
    </xf>
    <xf numFmtId="43" fontId="16" fillId="0" borderId="4" xfId="110" applyFont="1" applyBorder="1" applyAlignment="1">
      <alignment horizontal="center" vertical="center" wrapText="1"/>
    </xf>
    <xf numFmtId="43" fontId="16" fillId="0" borderId="4" xfId="110" applyFont="1" applyBorder="1" applyAlignment="1">
      <alignment horizontal="left" vertical="center"/>
    </xf>
    <xf numFmtId="2" fontId="16" fillId="0" borderId="4" xfId="14" applyNumberFormat="1" applyFont="1" applyBorder="1" applyAlignment="1">
      <alignment horizontal="center" vertical="center" wrapText="1"/>
    </xf>
    <xf numFmtId="0" fontId="21" fillId="0" borderId="9" xfId="14" applyFont="1" applyBorder="1" applyAlignment="1">
      <alignment horizontal="center" vertical="center" wrapText="1"/>
    </xf>
    <xf numFmtId="2" fontId="21" fillId="0" borderId="4" xfId="10" applyNumberFormat="1" applyFont="1" applyBorder="1" applyAlignment="1">
      <alignment vertical="center" wrapText="1"/>
    </xf>
    <xf numFmtId="2" fontId="16" fillId="0" borderId="4" xfId="10" applyNumberFormat="1" applyFont="1" applyBorder="1" applyAlignment="1">
      <alignment vertical="center" wrapText="1"/>
    </xf>
    <xf numFmtId="2" fontId="16" fillId="7" borderId="4" xfId="10" applyNumberFormat="1" applyFont="1" applyFill="1" applyBorder="1" applyAlignment="1">
      <alignment vertical="center"/>
    </xf>
    <xf numFmtId="0" fontId="21" fillId="0" borderId="4" xfId="68" applyFont="1" applyBorder="1" applyAlignment="1">
      <alignment horizontal="center" vertical="center"/>
    </xf>
    <xf numFmtId="10" fontId="16" fillId="0" borderId="4" xfId="39" applyNumberFormat="1" applyFont="1" applyFill="1" applyBorder="1" applyAlignment="1">
      <alignment horizontal="center" vertical="center"/>
    </xf>
    <xf numFmtId="2" fontId="16" fillId="0" borderId="4" xfId="14" applyNumberFormat="1" applyFont="1" applyBorder="1" applyAlignment="1">
      <alignment horizontal="right" vertical="center"/>
    </xf>
    <xf numFmtId="2" fontId="16" fillId="0" borderId="4" xfId="10" applyNumberFormat="1" applyFont="1" applyBorder="1" applyAlignment="1">
      <alignment horizontal="left" vertical="center"/>
    </xf>
    <xf numFmtId="10" fontId="16" fillId="0" borderId="9" xfId="129" applyNumberFormat="1" applyFont="1" applyBorder="1" applyAlignment="1">
      <alignment vertical="center"/>
    </xf>
    <xf numFmtId="10" fontId="21" fillId="6" borderId="9" xfId="129" applyNumberFormat="1" applyFont="1" applyFill="1" applyBorder="1" applyAlignment="1">
      <alignment vertical="center"/>
    </xf>
    <xf numFmtId="10" fontId="21" fillId="0" borderId="9" xfId="129" applyNumberFormat="1" applyFont="1" applyBorder="1" applyAlignment="1">
      <alignment vertical="center"/>
    </xf>
    <xf numFmtId="10" fontId="16" fillId="0" borderId="4" xfId="129" applyNumberFormat="1" applyFont="1" applyBorder="1" applyAlignment="1">
      <alignment horizontal="left" vertical="center"/>
    </xf>
    <xf numFmtId="10" fontId="16" fillId="0" borderId="4" xfId="129" applyNumberFormat="1" applyFont="1" applyBorder="1" applyAlignment="1">
      <alignment vertical="center"/>
    </xf>
    <xf numFmtId="43" fontId="16" fillId="0" borderId="4" xfId="111" applyFont="1" applyBorder="1" applyAlignment="1">
      <alignment vertical="center"/>
    </xf>
    <xf numFmtId="43" fontId="16" fillId="0" borderId="4" xfId="110" applyFont="1" applyBorder="1" applyAlignment="1">
      <alignment horizontal="right" vertical="center"/>
    </xf>
    <xf numFmtId="2" fontId="16" fillId="0" borderId="4" xfId="68" applyNumberFormat="1" applyFont="1" applyBorder="1" applyAlignment="1">
      <alignment horizontal="right" vertical="center"/>
    </xf>
    <xf numFmtId="0" fontId="8" fillId="0" borderId="0" xfId="10" applyFont="1" applyAlignment="1">
      <alignment vertical="center"/>
    </xf>
    <xf numFmtId="0" fontId="13" fillId="0" borderId="4" xfId="14" applyFont="1" applyBorder="1" applyAlignment="1">
      <alignment horizontal="center" vertical="center" wrapText="1"/>
    </xf>
    <xf numFmtId="0" fontId="13" fillId="0" borderId="7" xfId="10" applyFont="1" applyBorder="1" applyAlignment="1">
      <alignment horizontal="center" vertical="center" wrapText="1"/>
    </xf>
    <xf numFmtId="0" fontId="13" fillId="0" borderId="4" xfId="10" applyFont="1" applyBorder="1" applyAlignment="1">
      <alignment horizontal="center" vertical="center"/>
    </xf>
    <xf numFmtId="0" fontId="8" fillId="0" borderId="4" xfId="10" applyFont="1" applyBorder="1" applyAlignment="1">
      <alignment horizontal="center" vertical="center"/>
    </xf>
    <xf numFmtId="0" fontId="8" fillId="0" borderId="4" xfId="10" applyFont="1" applyBorder="1" applyAlignment="1">
      <alignment horizontal="center" vertical="center" wrapText="1"/>
    </xf>
    <xf numFmtId="0" fontId="8" fillId="5" borderId="4" xfId="14" applyFont="1" applyFill="1" applyBorder="1" applyAlignment="1">
      <alignment horizontal="left" vertical="center"/>
    </xf>
    <xf numFmtId="2" fontId="13" fillId="6" borderId="4" xfId="14" applyNumberFormat="1" applyFont="1" applyFill="1" applyBorder="1" applyAlignment="1">
      <alignment horizontal="center" vertical="center"/>
    </xf>
    <xf numFmtId="2" fontId="13" fillId="0" borderId="4" xfId="14" applyNumberFormat="1" applyFont="1" applyBorder="1" applyAlignment="1">
      <alignment horizontal="center" vertical="center"/>
    </xf>
    <xf numFmtId="2" fontId="13" fillId="5" borderId="4" xfId="14" applyNumberFormat="1" applyFont="1" applyFill="1" applyBorder="1" applyAlignment="1">
      <alignment horizontal="center" vertical="center"/>
    </xf>
    <xf numFmtId="0" fontId="13" fillId="0" borderId="4" xfId="14" applyFont="1" applyBorder="1">
      <alignment vertical="center"/>
    </xf>
    <xf numFmtId="2" fontId="8" fillId="0" borderId="0" xfId="14" applyNumberFormat="1" applyFont="1">
      <alignment vertical="center"/>
    </xf>
    <xf numFmtId="2" fontId="21" fillId="0" borderId="4" xfId="14" applyNumberFormat="1" applyFont="1" applyBorder="1" applyAlignment="1">
      <alignment horizontal="right" vertical="center"/>
    </xf>
    <xf numFmtId="2" fontId="21" fillId="6" borderId="4" xfId="14" applyNumberFormat="1" applyFont="1" applyFill="1" applyBorder="1" applyAlignment="1">
      <alignment horizontal="right" vertical="center"/>
    </xf>
    <xf numFmtId="0" fontId="21" fillId="4" borderId="8" xfId="68" applyFont="1" applyFill="1" applyBorder="1" applyAlignment="1">
      <alignment horizontal="center" vertical="center" wrapText="1"/>
    </xf>
    <xf numFmtId="0" fontId="21" fillId="4" borderId="20" xfId="68" applyFont="1" applyFill="1" applyBorder="1" applyAlignment="1">
      <alignment horizontal="center" vertical="center" wrapText="1"/>
    </xf>
    <xf numFmtId="0" fontId="16" fillId="4" borderId="21" xfId="68" applyFont="1" applyFill="1" applyBorder="1" applyAlignment="1">
      <alignment horizontal="center" vertical="center"/>
    </xf>
    <xf numFmtId="0" fontId="21" fillId="4" borderId="22" xfId="68" applyFont="1" applyFill="1" applyBorder="1" applyAlignment="1">
      <alignment horizontal="center" vertical="center"/>
    </xf>
    <xf numFmtId="10" fontId="21" fillId="6" borderId="22" xfId="68" applyNumberFormat="1" applyFont="1" applyFill="1" applyBorder="1" applyAlignment="1">
      <alignment horizontal="center" vertical="center"/>
    </xf>
    <xf numFmtId="2" fontId="21" fillId="6" borderId="22" xfId="19" applyNumberFormat="1" applyFont="1" applyFill="1" applyBorder="1" applyAlignment="1">
      <alignment horizontal="center" vertical="center"/>
    </xf>
    <xf numFmtId="0" fontId="16" fillId="4" borderId="4" xfId="68" applyFont="1" applyFill="1" applyBorder="1" applyAlignment="1">
      <alignment horizontal="center" vertical="center"/>
    </xf>
    <xf numFmtId="10" fontId="16" fillId="4" borderId="4" xfId="68" applyNumberFormat="1" applyFont="1" applyFill="1" applyBorder="1" applyAlignment="1">
      <alignment horizontal="center" vertical="center"/>
    </xf>
    <xf numFmtId="0" fontId="16" fillId="0" borderId="4" xfId="68" applyFont="1" applyBorder="1" applyAlignment="1">
      <alignment horizontal="center" vertical="center"/>
    </xf>
    <xf numFmtId="2" fontId="21" fillId="0" borderId="4" xfId="14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31" fillId="0" borderId="4" xfId="0" applyFont="1" applyBorder="1" applyAlignment="1">
      <alignment vertical="center"/>
    </xf>
    <xf numFmtId="0" fontId="31" fillId="0" borderId="4" xfId="0" applyFont="1" applyBorder="1" applyAlignment="1">
      <alignment horizontal="center" vertical="center"/>
    </xf>
    <xf numFmtId="2" fontId="8" fillId="0" borderId="4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31" fillId="0" borderId="7" xfId="0" applyFont="1" applyBorder="1" applyAlignment="1">
      <alignment vertical="center"/>
    </xf>
    <xf numFmtId="0" fontId="31" fillId="0" borderId="7" xfId="0" applyFont="1" applyBorder="1" applyAlignment="1">
      <alignment horizontal="center" vertical="center"/>
    </xf>
    <xf numFmtId="1" fontId="8" fillId="0" borderId="4" xfId="0" applyNumberFormat="1" applyFont="1" applyBorder="1" applyAlignment="1">
      <alignment vertical="center"/>
    </xf>
    <xf numFmtId="168" fontId="8" fillId="0" borderId="4" xfId="0" applyNumberFormat="1" applyFont="1" applyBorder="1" applyAlignment="1">
      <alignment vertical="center"/>
    </xf>
    <xf numFmtId="0" fontId="32" fillId="0" borderId="4" xfId="0" applyFont="1" applyBorder="1" applyAlignment="1">
      <alignment horizontal="center" vertical="center"/>
    </xf>
    <xf numFmtId="168" fontId="13" fillId="0" borderId="4" xfId="0" applyNumberFormat="1" applyFont="1" applyBorder="1" applyAlignment="1">
      <alignment vertical="center"/>
    </xf>
    <xf numFmtId="0" fontId="13" fillId="0" borderId="0" xfId="10" applyFont="1" applyAlignment="1">
      <alignment horizontal="left" vertical="center"/>
    </xf>
    <xf numFmtId="0" fontId="13" fillId="0" borderId="0" xfId="10" applyFont="1" applyAlignment="1">
      <alignment horizontal="right" vertical="center"/>
    </xf>
    <xf numFmtId="0" fontId="8" fillId="0" borderId="7" xfId="10" applyFont="1" applyBorder="1" applyAlignment="1">
      <alignment horizontal="center" vertical="center"/>
    </xf>
    <xf numFmtId="0" fontId="8" fillId="0" borderId="4" xfId="10" applyFont="1" applyBorder="1" applyAlignment="1">
      <alignment vertical="center"/>
    </xf>
    <xf numFmtId="2" fontId="8" fillId="0" borderId="4" xfId="14" applyNumberFormat="1" applyFont="1" applyBorder="1" applyAlignment="1">
      <alignment horizontal="right" vertical="center"/>
    </xf>
    <xf numFmtId="2" fontId="8" fillId="0" borderId="4" xfId="10" applyNumberFormat="1" applyFont="1" applyBorder="1" applyAlignment="1">
      <alignment horizontal="right" vertical="center" wrapText="1"/>
    </xf>
    <xf numFmtId="2" fontId="8" fillId="0" borderId="4" xfId="10" applyNumberFormat="1" applyFont="1" applyBorder="1" applyAlignment="1">
      <alignment horizontal="right" vertical="center"/>
    </xf>
    <xf numFmtId="0" fontId="8" fillId="0" borderId="4" xfId="10" applyFont="1" applyBorder="1" applyAlignment="1">
      <alignment horizontal="left" vertical="center"/>
    </xf>
    <xf numFmtId="0" fontId="8" fillId="0" borderId="4" xfId="10" applyFont="1" applyBorder="1" applyAlignment="1">
      <alignment vertical="center" wrapText="1"/>
    </xf>
    <xf numFmtId="2" fontId="8" fillId="0" borderId="9" xfId="14" applyNumberFormat="1" applyFont="1" applyBorder="1">
      <alignment vertical="center"/>
    </xf>
    <xf numFmtId="0" fontId="8" fillId="0" borderId="4" xfId="10" applyFont="1" applyBorder="1" applyAlignment="1">
      <alignment horizontal="left" vertical="center" wrapText="1"/>
    </xf>
    <xf numFmtId="0" fontId="13" fillId="0" borderId="0" xfId="10" applyFont="1" applyAlignment="1">
      <alignment vertical="center"/>
    </xf>
    <xf numFmtId="0" fontId="8" fillId="0" borderId="9" xfId="14" applyFont="1" applyBorder="1">
      <alignment vertical="center"/>
    </xf>
    <xf numFmtId="2" fontId="8" fillId="0" borderId="4" xfId="10" applyNumberFormat="1" applyFont="1" applyBorder="1" applyAlignment="1">
      <alignment vertical="center"/>
    </xf>
    <xf numFmtId="2" fontId="8" fillId="0" borderId="9" xfId="14" applyNumberFormat="1" applyFont="1" applyBorder="1" applyAlignment="1">
      <alignment horizontal="right" vertical="center"/>
    </xf>
    <xf numFmtId="2" fontId="13" fillId="6" borderId="9" xfId="14" applyNumberFormat="1" applyFont="1" applyFill="1" applyBorder="1">
      <alignment vertical="center"/>
    </xf>
    <xf numFmtId="10" fontId="8" fillId="0" borderId="9" xfId="14" applyNumberFormat="1" applyFont="1" applyBorder="1">
      <alignment vertical="center"/>
    </xf>
    <xf numFmtId="43" fontId="16" fillId="5" borderId="4" xfId="10" applyNumberFormat="1" applyFont="1" applyFill="1" applyBorder="1"/>
    <xf numFmtId="43" fontId="21" fillId="5" borderId="4" xfId="10" applyNumberFormat="1" applyFont="1" applyFill="1" applyBorder="1"/>
    <xf numFmtId="43" fontId="16" fillId="5" borderId="4" xfId="14" applyNumberFormat="1" applyFont="1" applyFill="1" applyBorder="1">
      <alignment vertical="center"/>
    </xf>
    <xf numFmtId="0" fontId="21" fillId="4" borderId="4" xfId="68" applyFont="1" applyFill="1" applyBorder="1" applyAlignment="1">
      <alignment horizontal="center" vertical="center" wrapText="1"/>
    </xf>
    <xf numFmtId="43" fontId="16" fillId="0" borderId="4" xfId="10" applyNumberFormat="1" applyFont="1" applyBorder="1" applyAlignment="1">
      <alignment vertical="center"/>
    </xf>
    <xf numFmtId="168" fontId="8" fillId="0" borderId="0" xfId="0" applyNumberFormat="1" applyFont="1" applyAlignment="1">
      <alignment vertical="center"/>
    </xf>
    <xf numFmtId="2" fontId="8" fillId="0" borderId="0" xfId="0" applyNumberFormat="1" applyFont="1" applyAlignment="1">
      <alignment vertical="center"/>
    </xf>
    <xf numFmtId="2" fontId="31" fillId="0" borderId="4" xfId="0" applyNumberFormat="1" applyFont="1" applyBorder="1" applyAlignment="1">
      <alignment horizontal="right"/>
    </xf>
    <xf numFmtId="2" fontId="8" fillId="0" borderId="4" xfId="0" applyNumberFormat="1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2" fontId="31" fillId="0" borderId="4" xfId="0" applyNumberFormat="1" applyFont="1" applyBorder="1" applyAlignment="1">
      <alignment horizontal="right" vertical="center"/>
    </xf>
    <xf numFmtId="1" fontId="31" fillId="0" borderId="4" xfId="0" applyNumberFormat="1" applyFont="1" applyBorder="1" applyAlignment="1">
      <alignment horizontal="right"/>
    </xf>
    <xf numFmtId="1" fontId="8" fillId="0" borderId="4" xfId="0" applyNumberFormat="1" applyFont="1" applyBorder="1" applyAlignment="1">
      <alignment horizontal="right" vertical="center"/>
    </xf>
    <xf numFmtId="168" fontId="8" fillId="0" borderId="4" xfId="0" applyNumberFormat="1" applyFont="1" applyBorder="1" applyAlignment="1">
      <alignment horizontal="right" vertical="center"/>
    </xf>
    <xf numFmtId="1" fontId="31" fillId="0" borderId="4" xfId="0" applyNumberFormat="1" applyFont="1" applyBorder="1" applyAlignment="1">
      <alignment horizontal="right" vertical="center"/>
    </xf>
    <xf numFmtId="168" fontId="13" fillId="0" borderId="4" xfId="0" applyNumberFormat="1" applyFont="1" applyBorder="1" applyAlignment="1">
      <alignment horizontal="right" vertical="center"/>
    </xf>
    <xf numFmtId="169" fontId="13" fillId="0" borderId="4" xfId="14" applyNumberFormat="1" applyFont="1" applyBorder="1" applyAlignment="1">
      <alignment horizontal="center" vertical="center"/>
    </xf>
    <xf numFmtId="169" fontId="8" fillId="0" borderId="0" xfId="10" applyNumberFormat="1" applyFont="1" applyAlignment="1">
      <alignment vertical="center"/>
    </xf>
    <xf numFmtId="168" fontId="13" fillId="6" borderId="4" xfId="14" applyNumberFormat="1" applyFont="1" applyFill="1" applyBorder="1" applyAlignment="1">
      <alignment horizontal="center" vertical="center"/>
    </xf>
    <xf numFmtId="0" fontId="13" fillId="0" borderId="0" xfId="14" applyFont="1">
      <alignment vertical="center"/>
    </xf>
    <xf numFmtId="0" fontId="1" fillId="0" borderId="4" xfId="93" applyFont="1" applyBorder="1" applyAlignment="1">
      <alignment horizontal="center"/>
    </xf>
    <xf numFmtId="0" fontId="1" fillId="0" borderId="4" xfId="93" applyFont="1" applyBorder="1"/>
    <xf numFmtId="0" fontId="1" fillId="0" borderId="4" xfId="93" applyFont="1" applyBorder="1" applyAlignment="1">
      <alignment horizontal="left"/>
    </xf>
    <xf numFmtId="170" fontId="8" fillId="0" borderId="0" xfId="14" applyNumberFormat="1" applyFont="1">
      <alignment vertical="center"/>
    </xf>
    <xf numFmtId="0" fontId="16" fillId="0" borderId="4" xfId="10" applyFont="1" applyBorder="1" applyAlignment="1">
      <alignment vertical="center"/>
    </xf>
    <xf numFmtId="0" fontId="21" fillId="0" borderId="6" xfId="14" applyFont="1" applyBorder="1" applyAlignment="1">
      <alignment horizontal="center" vertical="center" wrapText="1"/>
    </xf>
    <xf numFmtId="0" fontId="21" fillId="0" borderId="3" xfId="14" applyFont="1" applyBorder="1" applyAlignment="1">
      <alignment horizontal="center" vertical="center" wrapText="1"/>
    </xf>
    <xf numFmtId="0" fontId="21" fillId="0" borderId="9" xfId="14" applyFont="1" applyBorder="1" applyAlignment="1">
      <alignment horizontal="center" vertical="center" wrapText="1"/>
    </xf>
    <xf numFmtId="0" fontId="21" fillId="0" borderId="0" xfId="14" applyFont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21" fillId="0" borderId="0" xfId="10" applyFont="1" applyAlignment="1">
      <alignment horizontal="center" vertical="center"/>
    </xf>
    <xf numFmtId="0" fontId="16" fillId="0" borderId="4" xfId="10" applyFont="1" applyBorder="1" applyAlignment="1">
      <alignment horizontal="center" vertical="center"/>
    </xf>
    <xf numFmtId="2" fontId="16" fillId="0" borderId="4" xfId="10" applyNumberFormat="1" applyFont="1" applyBorder="1" applyAlignment="1">
      <alignment horizontal="center" vertical="center"/>
    </xf>
    <xf numFmtId="2" fontId="21" fillId="6" borderId="9" xfId="14" applyNumberFormat="1" applyFont="1" applyFill="1" applyBorder="1" applyAlignment="1">
      <alignment horizontal="center" vertical="center"/>
    </xf>
    <xf numFmtId="2" fontId="16" fillId="0" borderId="9" xfId="14" applyNumberFormat="1" applyFont="1" applyBorder="1" applyAlignment="1">
      <alignment horizontal="center" vertical="center"/>
    </xf>
    <xf numFmtId="2" fontId="16" fillId="6" borderId="9" xfId="14" applyNumberFormat="1" applyFont="1" applyFill="1" applyBorder="1" applyAlignment="1">
      <alignment horizontal="center" vertical="center"/>
    </xf>
    <xf numFmtId="10" fontId="0" fillId="0" borderId="4" xfId="0" applyNumberFormat="1" applyBorder="1" applyAlignment="1">
      <alignment horizontal="center"/>
    </xf>
    <xf numFmtId="10" fontId="0" fillId="0" borderId="4" xfId="0" applyNumberFormat="1" applyFill="1" applyBorder="1" applyAlignment="1">
      <alignment horizontal="center"/>
    </xf>
    <xf numFmtId="0" fontId="13" fillId="0" borderId="0" xfId="14" applyFont="1" applyAlignment="1">
      <alignment horizontal="center" vertical="center"/>
    </xf>
    <xf numFmtId="0" fontId="8" fillId="0" borderId="0" xfId="10" applyFont="1" applyAlignment="1">
      <alignment horizontal="center" vertical="center"/>
    </xf>
    <xf numFmtId="0" fontId="13" fillId="0" borderId="0" xfId="10" applyFont="1" applyAlignment="1">
      <alignment horizontal="center" vertical="center" wrapText="1"/>
    </xf>
    <xf numFmtId="0" fontId="8" fillId="0" borderId="0" xfId="10" applyFont="1" applyAlignment="1">
      <alignment horizontal="center" vertical="center" wrapText="1"/>
    </xf>
    <xf numFmtId="0" fontId="13" fillId="0" borderId="8" xfId="14" applyFont="1" applyBorder="1" applyAlignment="1">
      <alignment horizontal="center" vertical="center"/>
    </xf>
    <xf numFmtId="0" fontId="13" fillId="0" borderId="10" xfId="14" applyFont="1" applyBorder="1" applyAlignment="1">
      <alignment horizontal="center" vertical="center"/>
    </xf>
    <xf numFmtId="0" fontId="13" fillId="0" borderId="7" xfId="14" applyFont="1" applyBorder="1" applyAlignment="1">
      <alignment horizontal="center" vertical="center"/>
    </xf>
    <xf numFmtId="0" fontId="13" fillId="0" borderId="8" xfId="14" applyFont="1" applyBorder="1" applyAlignment="1">
      <alignment horizontal="center" vertical="center" wrapText="1"/>
    </xf>
    <xf numFmtId="0" fontId="13" fillId="0" borderId="10" xfId="14" applyFont="1" applyBorder="1" applyAlignment="1">
      <alignment horizontal="center" vertical="center" wrapText="1"/>
    </xf>
    <xf numFmtId="0" fontId="8" fillId="0" borderId="7" xfId="10" applyFont="1" applyBorder="1" applyAlignment="1">
      <alignment horizontal="center" vertical="center" wrapText="1"/>
    </xf>
    <xf numFmtId="0" fontId="13" fillId="0" borderId="4" xfId="14" applyFont="1" applyBorder="1" applyAlignment="1">
      <alignment horizontal="center" vertical="center"/>
    </xf>
    <xf numFmtId="0" fontId="8" fillId="0" borderId="4" xfId="10" applyFont="1" applyBorder="1" applyAlignment="1">
      <alignment horizontal="center" vertical="center"/>
    </xf>
    <xf numFmtId="0" fontId="13" fillId="0" borderId="4" xfId="14" applyFont="1" applyBorder="1" applyAlignment="1">
      <alignment horizontal="center" vertical="center" wrapText="1"/>
    </xf>
    <xf numFmtId="0" fontId="8" fillId="0" borderId="4" xfId="10" applyFont="1" applyBorder="1" applyAlignment="1">
      <alignment horizontal="center" vertical="center" wrapText="1"/>
    </xf>
    <xf numFmtId="0" fontId="13" fillId="0" borderId="6" xfId="14" applyFont="1" applyBorder="1" applyAlignment="1">
      <alignment horizontal="center" vertical="center" wrapText="1"/>
    </xf>
    <xf numFmtId="0" fontId="13" fillId="0" borderId="3" xfId="14" applyFont="1" applyBorder="1" applyAlignment="1">
      <alignment horizontal="center" vertical="center" wrapText="1"/>
    </xf>
    <xf numFmtId="0" fontId="13" fillId="0" borderId="9" xfId="14" applyFont="1" applyBorder="1" applyAlignment="1">
      <alignment horizontal="center" vertical="center" wrapText="1"/>
    </xf>
    <xf numFmtId="0" fontId="21" fillId="0" borderId="0" xfId="10" applyFont="1" applyAlignment="1">
      <alignment horizontal="left" vertical="center"/>
    </xf>
    <xf numFmtId="0" fontId="21" fillId="0" borderId="4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center" vertical="center"/>
    </xf>
    <xf numFmtId="0" fontId="21" fillId="0" borderId="6" xfId="14" applyFont="1" applyBorder="1" applyAlignment="1">
      <alignment horizontal="center" vertical="center" wrapText="1"/>
    </xf>
    <xf numFmtId="0" fontId="21" fillId="0" borderId="3" xfId="14" applyFont="1" applyBorder="1" applyAlignment="1">
      <alignment horizontal="center" vertical="center" wrapText="1"/>
    </xf>
    <xf numFmtId="0" fontId="21" fillId="0" borderId="9" xfId="14" applyFont="1" applyBorder="1" applyAlignment="1">
      <alignment horizontal="center" vertical="center" wrapText="1"/>
    </xf>
    <xf numFmtId="0" fontId="21" fillId="0" borderId="8" xfId="10" applyFont="1" applyBorder="1" applyAlignment="1">
      <alignment horizontal="center" vertical="center" wrapText="1"/>
    </xf>
    <xf numFmtId="0" fontId="21" fillId="0" borderId="10" xfId="10" applyFont="1" applyBorder="1" applyAlignment="1">
      <alignment horizontal="center" vertical="center" wrapText="1"/>
    </xf>
    <xf numFmtId="0" fontId="21" fillId="0" borderId="7" xfId="10" applyFont="1" applyBorder="1" applyAlignment="1">
      <alignment horizontal="center" vertical="center" wrapText="1"/>
    </xf>
    <xf numFmtId="0" fontId="21" fillId="0" borderId="4" xfId="14" applyFont="1" applyBorder="1" applyAlignment="1">
      <alignment horizontal="center" vertical="center"/>
    </xf>
    <xf numFmtId="0" fontId="16" fillId="0" borderId="4" xfId="10" applyFont="1" applyBorder="1" applyAlignment="1">
      <alignment vertical="center"/>
    </xf>
    <xf numFmtId="0" fontId="21" fillId="0" borderId="0" xfId="14" applyFont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21" fillId="0" borderId="0" xfId="10" applyFont="1" applyAlignment="1">
      <alignment horizontal="center" vertical="center"/>
    </xf>
    <xf numFmtId="0" fontId="21" fillId="0" borderId="8" xfId="14" applyFont="1" applyBorder="1" applyAlignment="1">
      <alignment horizontal="center" vertical="center" wrapText="1"/>
    </xf>
    <xf numFmtId="0" fontId="21" fillId="0" borderId="10" xfId="14" applyFont="1" applyBorder="1" applyAlignment="1">
      <alignment horizontal="center" vertical="center" wrapText="1"/>
    </xf>
    <xf numFmtId="0" fontId="16" fillId="0" borderId="7" xfId="10" applyFont="1" applyBorder="1" applyAlignment="1">
      <alignment horizontal="center" vertical="center" wrapText="1"/>
    </xf>
    <xf numFmtId="0" fontId="16" fillId="0" borderId="4" xfId="10" applyFont="1" applyBorder="1" applyAlignment="1">
      <alignment horizontal="center" vertical="center"/>
    </xf>
    <xf numFmtId="43" fontId="16" fillId="0" borderId="8" xfId="111" applyFont="1" applyBorder="1" applyAlignment="1">
      <alignment horizontal="center" vertical="center"/>
    </xf>
    <xf numFmtId="43" fontId="16" fillId="0" borderId="10" xfId="111" applyFont="1" applyBorder="1" applyAlignment="1">
      <alignment horizontal="center" vertical="center"/>
    </xf>
    <xf numFmtId="43" fontId="16" fillId="0" borderId="7" xfId="111" applyFont="1" applyBorder="1" applyAlignment="1">
      <alignment horizontal="center" vertical="center"/>
    </xf>
    <xf numFmtId="0" fontId="21" fillId="4" borderId="14" xfId="68" applyFont="1" applyFill="1" applyBorder="1" applyAlignment="1">
      <alignment horizontal="center" vertical="center"/>
    </xf>
    <xf numFmtId="0" fontId="21" fillId="4" borderId="15" xfId="68" applyFont="1" applyFill="1" applyBorder="1" applyAlignment="1">
      <alignment horizontal="center" vertical="center"/>
    </xf>
    <xf numFmtId="0" fontId="21" fillId="4" borderId="16" xfId="68" applyFont="1" applyFill="1" applyBorder="1" applyAlignment="1">
      <alignment horizontal="center" vertical="center"/>
    </xf>
    <xf numFmtId="0" fontId="21" fillId="4" borderId="5" xfId="68" applyFont="1" applyFill="1" applyBorder="1" applyAlignment="1">
      <alignment horizontal="center" vertical="center" wrapText="1"/>
    </xf>
    <xf numFmtId="0" fontId="21" fillId="4" borderId="19" xfId="68" applyFont="1" applyFill="1" applyBorder="1" applyAlignment="1">
      <alignment horizontal="center" vertical="center" wrapText="1"/>
    </xf>
    <xf numFmtId="0" fontId="21" fillId="4" borderId="4" xfId="68" quotePrefix="1" applyFont="1" applyFill="1" applyBorder="1" applyAlignment="1">
      <alignment horizontal="center" vertical="center" wrapText="1"/>
    </xf>
    <xf numFmtId="0" fontId="21" fillId="4" borderId="8" xfId="68" quotePrefix="1" applyFont="1" applyFill="1" applyBorder="1" applyAlignment="1">
      <alignment horizontal="center" vertical="center" wrapText="1"/>
    </xf>
    <xf numFmtId="0" fontId="21" fillId="4" borderId="4" xfId="68" applyFont="1" applyFill="1" applyBorder="1" applyAlignment="1">
      <alignment horizontal="center" vertical="center" wrapText="1"/>
    </xf>
    <xf numFmtId="0" fontId="21" fillId="4" borderId="8" xfId="68" applyFont="1" applyFill="1" applyBorder="1" applyAlignment="1">
      <alignment horizontal="center" vertical="center" wrapText="1"/>
    </xf>
    <xf numFmtId="0" fontId="21" fillId="4" borderId="11" xfId="68" applyFont="1" applyFill="1" applyBorder="1" applyAlignment="1">
      <alignment horizontal="center" vertical="center" wrapText="1"/>
    </xf>
    <xf numFmtId="0" fontId="21" fillId="0" borderId="3" xfId="10" applyFont="1" applyBorder="1" applyAlignment="1">
      <alignment horizontal="center" vertical="center"/>
    </xf>
    <xf numFmtId="0" fontId="21" fillId="0" borderId="9" xfId="10" applyFont="1" applyBorder="1" applyAlignment="1">
      <alignment horizontal="center" vertical="center"/>
    </xf>
    <xf numFmtId="0" fontId="13" fillId="0" borderId="0" xfId="14" applyFont="1" applyAlignment="1">
      <alignment horizontal="center" vertical="top"/>
    </xf>
    <xf numFmtId="0" fontId="13" fillId="0" borderId="4" xfId="10" applyFont="1" applyBorder="1" applyAlignment="1">
      <alignment horizontal="center" vertical="center"/>
    </xf>
    <xf numFmtId="0" fontId="9" fillId="0" borderId="4" xfId="10" applyBorder="1" applyAlignment="1">
      <alignment horizontal="center" vertical="center" wrapText="1"/>
    </xf>
    <xf numFmtId="0" fontId="9" fillId="0" borderId="4" xfId="10" applyBorder="1" applyAlignment="1">
      <alignment horizontal="center" vertical="center"/>
    </xf>
    <xf numFmtId="0" fontId="21" fillId="0" borderId="4" xfId="14" quotePrefix="1" applyFont="1" applyBorder="1" applyAlignment="1">
      <alignment horizontal="center" vertical="center" wrapText="1"/>
    </xf>
    <xf numFmtId="0" fontId="16" fillId="0" borderId="4" xfId="1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29" fillId="0" borderId="6" xfId="0" applyFont="1" applyBorder="1" applyAlignment="1">
      <alignment vertical="center" wrapText="1"/>
    </xf>
    <xf numFmtId="0" fontId="29" fillId="0" borderId="3" xfId="0" applyFont="1" applyBorder="1" applyAlignment="1">
      <alignment vertical="center" wrapText="1"/>
    </xf>
    <xf numFmtId="0" fontId="29" fillId="0" borderId="9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/>
    </xf>
    <xf numFmtId="0" fontId="21" fillId="0" borderId="6" xfId="10" applyFont="1" applyBorder="1" applyAlignment="1">
      <alignment horizontal="center" vertical="center"/>
    </xf>
  </cellXfs>
  <cellStyles count="130">
    <cellStyle name="Body" xfId="1"/>
    <cellStyle name="Comma  - Style1" xfId="2"/>
    <cellStyle name="Comma 10" xfId="112"/>
    <cellStyle name="Comma 10 2" xfId="113"/>
    <cellStyle name="Comma 11" xfId="110"/>
    <cellStyle name="Comma 11 2" xfId="19"/>
    <cellStyle name="Comma 11 2 2" xfId="96"/>
    <cellStyle name="Comma 11 2 3" xfId="72"/>
    <cellStyle name="Comma 2" xfId="24"/>
    <cellStyle name="Comma 2 2" xfId="25"/>
    <cellStyle name="Comma 2 2 2" xfId="63"/>
    <cellStyle name="Comma 2 2 3" xfId="76"/>
    <cellStyle name="Comma 2 3" xfId="26"/>
    <cellStyle name="Comma 2 3 2" xfId="77"/>
    <cellStyle name="Comma 2 4" xfId="56"/>
    <cellStyle name="Comma 2 5" xfId="75"/>
    <cellStyle name="Comma 3" xfId="27"/>
    <cellStyle name="Comma 3 2" xfId="62"/>
    <cellStyle name="Comma 3 2 2" xfId="103"/>
    <cellStyle name="Comma 3 2 3" xfId="85"/>
    <cellStyle name="Comma 3 3" xfId="78"/>
    <cellStyle name="Comma 4" xfId="28"/>
    <cellStyle name="Comma 4 2" xfId="64"/>
    <cellStyle name="Comma 4 2 2" xfId="104"/>
    <cellStyle name="Comma 4 2 3" xfId="86"/>
    <cellStyle name="Comma 4 3" xfId="79"/>
    <cellStyle name="Comma 5" xfId="29"/>
    <cellStyle name="Comma 5 2" xfId="80"/>
    <cellStyle name="Comma 6" xfId="48"/>
    <cellStyle name="Comma 6 2" xfId="49"/>
    <cellStyle name="Comma 6 3" xfId="50"/>
    <cellStyle name="Comma 6 4" xfId="51"/>
    <cellStyle name="Comma 6 5" xfId="101"/>
    <cellStyle name="Comma 6 6" xfId="83"/>
    <cellStyle name="Comma 7" xfId="21"/>
    <cellStyle name="Comma 8" xfId="65"/>
    <cellStyle name="Comma 8 2" xfId="105"/>
    <cellStyle name="Comma 8 3" xfId="87"/>
    <cellStyle name="Comma 9" xfId="111"/>
    <cellStyle name="Curren - Style2" xfId="3"/>
    <cellStyle name="Grey" xfId="4"/>
    <cellStyle name="Header1" xfId="5"/>
    <cellStyle name="Header2" xfId="6"/>
    <cellStyle name="Input [yellow]" xfId="7"/>
    <cellStyle name="no dec" xfId="8"/>
    <cellStyle name="Normal" xfId="0" builtinId="0"/>
    <cellStyle name="Normal - Style1" xfId="9"/>
    <cellStyle name="Normal 10" xfId="67"/>
    <cellStyle name="Normal 10 2" xfId="107"/>
    <cellStyle name="Normal 10 3" xfId="89"/>
    <cellStyle name="Normal 11" xfId="69"/>
    <cellStyle name="Normal 11 2" xfId="109"/>
    <cellStyle name="Normal 11 3" xfId="91"/>
    <cellStyle name="Normal 12" xfId="70"/>
    <cellStyle name="Normal 12 2" xfId="92"/>
    <cellStyle name="Normal 13" xfId="93"/>
    <cellStyle name="Normal 13 2" xfId="94"/>
    <cellStyle name="Normal 14" xfId="115"/>
    <cellStyle name="Normal 14 2" xfId="68"/>
    <cellStyle name="Normal 14 2 2" xfId="108"/>
    <cellStyle name="Normal 14 2 3" xfId="90"/>
    <cellStyle name="Normal 15" xfId="18"/>
    <cellStyle name="Normal 15 2" xfId="95"/>
    <cellStyle name="Normal 15 3" xfId="71"/>
    <cellStyle name="Normal 16" xfId="116"/>
    <cellStyle name="Normal 17" xfId="117"/>
    <cellStyle name="Normal 18" xfId="61"/>
    <cellStyle name="Normal 18 2" xfId="102"/>
    <cellStyle name="Normal 18 3" xfId="84"/>
    <cellStyle name="Normal 19" xfId="118"/>
    <cellStyle name="Normal 2" xfId="10"/>
    <cellStyle name="Normal 2 2" xfId="11"/>
    <cellStyle name="Normal 2 2 2" xfId="30"/>
    <cellStyle name="Normal 2 2 2 2" xfId="57"/>
    <cellStyle name="Normal 2 2_Working APR 2007-08 Mahagenco_Bhushan_1.3" xfId="31"/>
    <cellStyle name="Normal 2 3" xfId="12"/>
    <cellStyle name="Normal 2 4" xfId="52"/>
    <cellStyle name="Normal 2_ARR FINAL" xfId="32"/>
    <cellStyle name="Normal 20" xfId="119"/>
    <cellStyle name="Normal 21" xfId="120"/>
    <cellStyle name="Normal 22" xfId="114"/>
    <cellStyle name="Normal 24" xfId="122"/>
    <cellStyle name="Normal 25" xfId="123"/>
    <cellStyle name="Normal 26" xfId="124"/>
    <cellStyle name="Normal 27" xfId="125"/>
    <cellStyle name="Normal 28" xfId="126"/>
    <cellStyle name="Normal 29" xfId="127"/>
    <cellStyle name="Normal 3" xfId="13"/>
    <cellStyle name="Normal 3 2" xfId="33"/>
    <cellStyle name="Normal 3 2 2" xfId="58"/>
    <cellStyle name="Normal 30" xfId="128"/>
    <cellStyle name="Normal 39" xfId="22"/>
    <cellStyle name="Normal 4" xfId="34"/>
    <cellStyle name="Normal 4 2" xfId="59"/>
    <cellStyle name="Normal 5" xfId="35"/>
    <cellStyle name="Normal 5 2" xfId="36"/>
    <cellStyle name="Normal 5 3" xfId="99"/>
    <cellStyle name="Normal 5 4" xfId="81"/>
    <cellStyle name="Normal 6" xfId="37"/>
    <cellStyle name="Normal 7" xfId="38"/>
    <cellStyle name="Normal 7 2" xfId="100"/>
    <cellStyle name="Normal 7 3" xfId="82"/>
    <cellStyle name="Normal 8" xfId="53"/>
    <cellStyle name="Normal 9" xfId="54"/>
    <cellStyle name="Normal_FORMATS 5 YEAR ALOKE 2" xfId="14"/>
    <cellStyle name="Percent" xfId="129" builtinId="5"/>
    <cellStyle name="Percent [0]_#6 Temps &amp; Contractors" xfId="15"/>
    <cellStyle name="Percent [2]" xfId="16"/>
    <cellStyle name="Percent 10" xfId="74"/>
    <cellStyle name="Percent 2" xfId="39"/>
    <cellStyle name="Percent 2 2" xfId="40"/>
    <cellStyle name="Percent 2 3" xfId="60"/>
    <cellStyle name="Percent 3" xfId="41"/>
    <cellStyle name="Percent 3 2" xfId="42"/>
    <cellStyle name="Percent 4" xfId="23"/>
    <cellStyle name="Percent 41" xfId="20"/>
    <cellStyle name="Percent 41 2" xfId="97"/>
    <cellStyle name="Percent 41 3" xfId="73"/>
    <cellStyle name="Percent 5" xfId="43"/>
    <cellStyle name="Percent 5 2" xfId="44"/>
    <cellStyle name="Percent 5 3" xfId="45"/>
    <cellStyle name="Percent 6" xfId="46"/>
    <cellStyle name="Percent 6 2" xfId="47"/>
    <cellStyle name="Percent 7" xfId="66"/>
    <cellStyle name="Percent 7 2" xfId="106"/>
    <cellStyle name="Percent 7 3" xfId="88"/>
    <cellStyle name="Percent 8" xfId="121"/>
    <cellStyle name="Percent 9" xfId="98"/>
    <cellStyle name="Style 1" xfId="17"/>
    <cellStyle name="Style 2" xfId="55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O41"/>
  <sheetViews>
    <sheetView showGridLines="0" tabSelected="1" topLeftCell="A13" zoomScale="80" zoomScaleNormal="80" zoomScaleSheetLayoutView="80" workbookViewId="0">
      <selection activeCell="C20" sqref="C20"/>
    </sheetView>
  </sheetViews>
  <sheetFormatPr defaultColWidth="9.28515625" defaultRowHeight="15"/>
  <cols>
    <col min="1" max="1" width="6.28515625" style="6" customWidth="1"/>
    <col min="2" max="2" width="9.28515625" style="6" customWidth="1"/>
    <col min="3" max="3" width="16.28515625" style="6" customWidth="1"/>
    <col min="4" max="4" width="75.7109375" style="6" customWidth="1"/>
    <col min="5" max="5" width="17.7109375" style="6" customWidth="1"/>
    <col min="6" max="6" width="20.7109375" style="6" customWidth="1"/>
    <col min="7" max="15" width="18.7109375" style="6" customWidth="1"/>
    <col min="16" max="16384" width="9.28515625" style="6"/>
  </cols>
  <sheetData>
    <row r="2" spans="2:15" ht="15.75">
      <c r="B2" s="285" t="s">
        <v>543</v>
      </c>
      <c r="C2" s="285"/>
      <c r="D2" s="286"/>
      <c r="E2" s="286"/>
      <c r="F2" s="1"/>
      <c r="G2" s="1"/>
      <c r="H2" s="1"/>
      <c r="I2" s="1"/>
      <c r="J2" s="1"/>
      <c r="K2" s="1"/>
      <c r="L2" s="1"/>
      <c r="M2" s="1"/>
      <c r="N2" s="1"/>
      <c r="O2" s="1"/>
    </row>
    <row r="3" spans="2:15" ht="15.75">
      <c r="B3" s="285" t="s">
        <v>515</v>
      </c>
      <c r="C3" s="285"/>
      <c r="D3" s="286"/>
      <c r="E3" s="286"/>
      <c r="F3" s="1"/>
      <c r="G3" s="1"/>
      <c r="H3" s="1"/>
      <c r="I3" s="1"/>
      <c r="J3" s="1"/>
      <c r="K3" s="1"/>
      <c r="L3" s="1"/>
      <c r="M3" s="1"/>
      <c r="N3" s="1"/>
      <c r="O3" s="1"/>
    </row>
    <row r="4" spans="2:15" s="15" customFormat="1" ht="15.75">
      <c r="B4" s="287" t="s">
        <v>394</v>
      </c>
      <c r="C4" s="287"/>
      <c r="D4" s="288"/>
      <c r="E4" s="288"/>
      <c r="F4" s="1"/>
      <c r="G4" s="1"/>
      <c r="H4" s="1"/>
      <c r="I4" s="1"/>
      <c r="J4" s="1"/>
      <c r="K4" s="1"/>
      <c r="L4" s="1"/>
      <c r="M4" s="1"/>
      <c r="N4" s="1"/>
      <c r="O4" s="1"/>
    </row>
    <row r="5" spans="2:15" ht="15.75">
      <c r="D5" s="77" t="s">
        <v>396</v>
      </c>
    </row>
    <row r="6" spans="2:15" ht="15.75">
      <c r="N6" s="7"/>
    </row>
    <row r="7" spans="2:15" ht="15.75">
      <c r="B7" s="17" t="s">
        <v>210</v>
      </c>
      <c r="C7" s="17" t="s">
        <v>395</v>
      </c>
      <c r="D7" s="18" t="s">
        <v>7</v>
      </c>
      <c r="E7" s="18" t="s">
        <v>397</v>
      </c>
    </row>
    <row r="8" spans="2:15">
      <c r="B8" s="8">
        <v>1</v>
      </c>
      <c r="C8" s="8" t="s">
        <v>6</v>
      </c>
      <c r="D8" s="9" t="s">
        <v>399</v>
      </c>
      <c r="E8" s="10"/>
    </row>
    <row r="9" spans="2:15">
      <c r="B9" s="8">
        <f>B8+1</f>
        <v>2</v>
      </c>
      <c r="C9" s="8" t="s">
        <v>301</v>
      </c>
      <c r="D9" s="9" t="s">
        <v>401</v>
      </c>
      <c r="E9" s="10"/>
    </row>
    <row r="10" spans="2:15">
      <c r="B10" s="8">
        <f>B9+1</f>
        <v>3</v>
      </c>
      <c r="C10" s="8" t="s">
        <v>24</v>
      </c>
      <c r="D10" s="9" t="s">
        <v>402</v>
      </c>
      <c r="E10" s="10"/>
    </row>
    <row r="11" spans="2:15">
      <c r="B11" s="8">
        <f>B10+1</f>
        <v>4</v>
      </c>
      <c r="C11" s="8" t="s">
        <v>25</v>
      </c>
      <c r="D11" s="9" t="s">
        <v>403</v>
      </c>
      <c r="E11" s="10"/>
    </row>
    <row r="12" spans="2:15">
      <c r="B12" s="8">
        <f>B11+1</f>
        <v>5</v>
      </c>
      <c r="C12" s="8" t="s">
        <v>302</v>
      </c>
      <c r="D12" s="9" t="s">
        <v>404</v>
      </c>
      <c r="E12" s="10"/>
    </row>
    <row r="13" spans="2:15">
      <c r="B13" s="8">
        <f t="shared" ref="B13:B39" si="0">B12+1</f>
        <v>6</v>
      </c>
      <c r="C13" s="8" t="s">
        <v>22</v>
      </c>
      <c r="D13" s="9" t="s">
        <v>238</v>
      </c>
      <c r="E13" s="10"/>
    </row>
    <row r="14" spans="2:15">
      <c r="B14" s="8">
        <f t="shared" si="0"/>
        <v>7</v>
      </c>
      <c r="C14" s="8" t="s">
        <v>27</v>
      </c>
      <c r="D14" s="9" t="s">
        <v>405</v>
      </c>
      <c r="E14" s="10"/>
    </row>
    <row r="15" spans="2:15">
      <c r="B15" s="8">
        <f t="shared" si="0"/>
        <v>8</v>
      </c>
      <c r="C15" s="8" t="s">
        <v>28</v>
      </c>
      <c r="D15" s="11" t="s">
        <v>207</v>
      </c>
      <c r="E15" s="10"/>
    </row>
    <row r="16" spans="2:15">
      <c r="B16" s="8">
        <f t="shared" si="0"/>
        <v>9</v>
      </c>
      <c r="C16" s="8" t="s">
        <v>23</v>
      </c>
      <c r="D16" s="11" t="s">
        <v>406</v>
      </c>
      <c r="E16" s="10"/>
    </row>
    <row r="17" spans="2:5">
      <c r="B17" s="8">
        <f t="shared" si="0"/>
        <v>10</v>
      </c>
      <c r="C17" s="8" t="s">
        <v>29</v>
      </c>
      <c r="D17" s="9" t="s">
        <v>260</v>
      </c>
      <c r="E17" s="10"/>
    </row>
    <row r="18" spans="2:5">
      <c r="B18" s="8">
        <f t="shared" si="0"/>
        <v>11</v>
      </c>
      <c r="C18" s="8" t="s">
        <v>30</v>
      </c>
      <c r="D18" s="11" t="s">
        <v>318</v>
      </c>
      <c r="E18" s="10"/>
    </row>
    <row r="19" spans="2:5">
      <c r="B19" s="8">
        <f t="shared" si="0"/>
        <v>12</v>
      </c>
      <c r="C19" s="8" t="s">
        <v>31</v>
      </c>
      <c r="D19" s="11" t="s">
        <v>261</v>
      </c>
      <c r="E19" s="10"/>
    </row>
    <row r="20" spans="2:5">
      <c r="B20" s="8">
        <f t="shared" si="0"/>
        <v>13</v>
      </c>
      <c r="C20" s="8" t="s">
        <v>32</v>
      </c>
      <c r="D20" s="11" t="s">
        <v>164</v>
      </c>
      <c r="E20" s="10"/>
    </row>
    <row r="21" spans="2:5">
      <c r="B21" s="8">
        <f t="shared" si="0"/>
        <v>14</v>
      </c>
      <c r="C21" s="8" t="s">
        <v>33</v>
      </c>
      <c r="D21" s="11" t="s">
        <v>26</v>
      </c>
      <c r="E21" s="10"/>
    </row>
    <row r="22" spans="2:5">
      <c r="B22" s="8">
        <f t="shared" si="0"/>
        <v>15</v>
      </c>
      <c r="C22" s="8" t="s">
        <v>34</v>
      </c>
      <c r="D22" s="9" t="s">
        <v>407</v>
      </c>
      <c r="E22" s="10"/>
    </row>
    <row r="23" spans="2:5">
      <c r="B23" s="8">
        <f t="shared" si="0"/>
        <v>16</v>
      </c>
      <c r="C23" s="8" t="s">
        <v>35</v>
      </c>
      <c r="D23" s="9" t="s">
        <v>408</v>
      </c>
      <c r="E23" s="10"/>
    </row>
    <row r="24" spans="2:5">
      <c r="B24" s="8">
        <f t="shared" si="0"/>
        <v>17</v>
      </c>
      <c r="C24" s="8" t="s">
        <v>172</v>
      </c>
      <c r="D24" s="9" t="s">
        <v>264</v>
      </c>
      <c r="E24" s="10"/>
    </row>
    <row r="25" spans="2:5">
      <c r="B25" s="8">
        <f t="shared" si="0"/>
        <v>18</v>
      </c>
      <c r="C25" s="8" t="s">
        <v>181</v>
      </c>
      <c r="D25" s="9" t="s">
        <v>409</v>
      </c>
      <c r="E25" s="10"/>
    </row>
    <row r="26" spans="2:5">
      <c r="B26" s="8">
        <f t="shared" si="0"/>
        <v>19</v>
      </c>
      <c r="C26" s="8" t="s">
        <v>398</v>
      </c>
      <c r="D26" s="9" t="s">
        <v>247</v>
      </c>
      <c r="E26" s="10"/>
    </row>
    <row r="27" spans="2:5">
      <c r="B27" s="8">
        <f t="shared" si="0"/>
        <v>20</v>
      </c>
      <c r="C27" s="8" t="s">
        <v>240</v>
      </c>
      <c r="D27" s="9" t="s">
        <v>410</v>
      </c>
      <c r="E27" s="10"/>
    </row>
    <row r="28" spans="2:5">
      <c r="B28" s="8">
        <f t="shared" si="0"/>
        <v>21</v>
      </c>
      <c r="C28" s="8" t="s">
        <v>241</v>
      </c>
      <c r="D28" s="11" t="s">
        <v>411</v>
      </c>
      <c r="E28" s="10"/>
    </row>
    <row r="29" spans="2:5" ht="15.75">
      <c r="B29" s="12"/>
      <c r="C29" s="12"/>
      <c r="D29" s="13" t="s">
        <v>246</v>
      </c>
      <c r="E29" s="14"/>
    </row>
    <row r="30" spans="2:5">
      <c r="B30" s="8">
        <f>B28+1</f>
        <v>22</v>
      </c>
      <c r="C30" s="8" t="s">
        <v>417</v>
      </c>
      <c r="D30" s="9" t="s">
        <v>425</v>
      </c>
      <c r="E30" s="10"/>
    </row>
    <row r="31" spans="2:5">
      <c r="B31" s="8">
        <f>B30+1</f>
        <v>23</v>
      </c>
      <c r="C31" s="8" t="s">
        <v>418</v>
      </c>
      <c r="D31" s="9" t="s">
        <v>426</v>
      </c>
      <c r="E31" s="10"/>
    </row>
    <row r="32" spans="2:5">
      <c r="B32" s="8">
        <f>B31+1</f>
        <v>24</v>
      </c>
      <c r="C32" s="8" t="s">
        <v>415</v>
      </c>
      <c r="D32" s="9" t="s">
        <v>202</v>
      </c>
      <c r="E32" s="10"/>
    </row>
    <row r="33" spans="2:5">
      <c r="B33" s="8">
        <f t="shared" si="0"/>
        <v>25</v>
      </c>
      <c r="C33" s="8" t="s">
        <v>416</v>
      </c>
      <c r="D33" s="9" t="s">
        <v>203</v>
      </c>
      <c r="E33" s="10"/>
    </row>
    <row r="34" spans="2:5">
      <c r="B34" s="8">
        <f t="shared" si="0"/>
        <v>26</v>
      </c>
      <c r="C34" s="8" t="s">
        <v>419</v>
      </c>
      <c r="D34" s="9" t="s">
        <v>204</v>
      </c>
      <c r="E34" s="10"/>
    </row>
    <row r="35" spans="2:5">
      <c r="B35" s="8">
        <f t="shared" si="0"/>
        <v>27</v>
      </c>
      <c r="C35" s="8" t="s">
        <v>420</v>
      </c>
      <c r="D35" s="9" t="s">
        <v>205</v>
      </c>
      <c r="E35" s="10"/>
    </row>
    <row r="36" spans="2:5">
      <c r="B36" s="8">
        <f t="shared" si="0"/>
        <v>28</v>
      </c>
      <c r="C36" s="8" t="s">
        <v>421</v>
      </c>
      <c r="D36" s="9" t="s">
        <v>224</v>
      </c>
      <c r="E36" s="10"/>
    </row>
    <row r="37" spans="2:5">
      <c r="B37" s="8">
        <f t="shared" si="0"/>
        <v>29</v>
      </c>
      <c r="C37" s="8" t="s">
        <v>422</v>
      </c>
      <c r="D37" s="9" t="s">
        <v>206</v>
      </c>
      <c r="E37" s="10"/>
    </row>
    <row r="38" spans="2:5">
      <c r="B38" s="8">
        <f t="shared" si="0"/>
        <v>30</v>
      </c>
      <c r="C38" s="8" t="s">
        <v>423</v>
      </c>
      <c r="D38" s="9" t="s">
        <v>412</v>
      </c>
      <c r="E38" s="10"/>
    </row>
    <row r="39" spans="2:5">
      <c r="B39" s="8">
        <f t="shared" si="0"/>
        <v>31</v>
      </c>
      <c r="C39" s="8" t="s">
        <v>424</v>
      </c>
      <c r="D39" s="9" t="s">
        <v>413</v>
      </c>
      <c r="E39" s="10"/>
    </row>
    <row r="41" spans="2:5" ht="15.75">
      <c r="B41" s="16" t="s">
        <v>414</v>
      </c>
      <c r="C41" s="16"/>
    </row>
  </sheetData>
  <mergeCells count="3">
    <mergeCell ref="B2:E2"/>
    <mergeCell ref="B4:E4"/>
    <mergeCell ref="B3:E3"/>
  </mergeCells>
  <phoneticPr fontId="12" type="noConversion"/>
  <pageMargins left="0.55000000000000004" right="0.23622047244094491" top="1.1023622047244095" bottom="0.98425196850393704" header="0.23622047244094491" footer="0.23622047244094491"/>
  <pageSetup paperSize="9" scale="77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124"/>
  <sheetViews>
    <sheetView showGridLines="0" view="pageBreakPreview" topLeftCell="A94" zoomScale="90" zoomScaleNormal="90" zoomScaleSheetLayoutView="90" workbookViewId="0">
      <selection activeCell="I110" sqref="I110"/>
    </sheetView>
  </sheetViews>
  <sheetFormatPr defaultColWidth="9.28515625" defaultRowHeight="14.25"/>
  <cols>
    <col min="1" max="1" width="4.28515625" style="5" customWidth="1"/>
    <col min="2" max="2" width="9.28515625" style="5"/>
    <col min="3" max="3" width="23.7109375" style="5" customWidth="1"/>
    <col min="4" max="4" width="14.28515625" style="5" customWidth="1"/>
    <col min="5" max="6" width="13.28515625" style="5" customWidth="1"/>
    <col min="7" max="7" width="10.7109375" style="5" customWidth="1"/>
    <col min="8" max="8" width="14.7109375" style="5" customWidth="1"/>
    <col min="9" max="9" width="10.7109375" style="5" customWidth="1"/>
    <col min="10" max="10" width="15.28515625" style="5" customWidth="1"/>
    <col min="11" max="12" width="10.7109375" style="5" customWidth="1"/>
    <col min="13" max="13" width="13.7109375" style="5" customWidth="1"/>
    <col min="14" max="14" width="15.28515625" style="5" customWidth="1"/>
    <col min="15" max="15" width="10.7109375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6" ht="15">
      <c r="B1" s="26"/>
    </row>
    <row r="2" spans="2:16" ht="15">
      <c r="B2" s="313" t="s">
        <v>542</v>
      </c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</row>
    <row r="3" spans="2:16" ht="15">
      <c r="B3" s="313" t="s">
        <v>511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</row>
    <row r="4" spans="2:16" ht="15">
      <c r="B4" s="315" t="s">
        <v>304</v>
      </c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</row>
    <row r="5" spans="2:16" ht="15.75" thickBot="1">
      <c r="K5" s="38"/>
      <c r="O5" s="35" t="s">
        <v>4</v>
      </c>
    </row>
    <row r="6" spans="2:16" ht="15">
      <c r="B6" s="323" t="s">
        <v>482</v>
      </c>
      <c r="C6" s="324"/>
      <c r="D6" s="324"/>
      <c r="E6" s="324"/>
      <c r="F6" s="324"/>
      <c r="G6" s="324"/>
      <c r="H6" s="324"/>
      <c r="I6" s="324"/>
      <c r="J6" s="324"/>
      <c r="K6" s="324"/>
      <c r="L6" s="324"/>
      <c r="M6" s="324"/>
      <c r="N6" s="324"/>
      <c r="O6" s="325"/>
    </row>
    <row r="7" spans="2:16" ht="14.25" customHeight="1">
      <c r="B7" s="326" t="s">
        <v>2</v>
      </c>
      <c r="C7" s="328" t="s">
        <v>300</v>
      </c>
      <c r="D7" s="330" t="s">
        <v>288</v>
      </c>
      <c r="E7" s="330" t="s">
        <v>289</v>
      </c>
      <c r="F7" s="330" t="s">
        <v>290</v>
      </c>
      <c r="G7" s="330"/>
      <c r="H7" s="330"/>
      <c r="I7" s="330"/>
      <c r="J7" s="330" t="s">
        <v>291</v>
      </c>
      <c r="K7" s="330"/>
      <c r="L7" s="330"/>
      <c r="M7" s="330"/>
      <c r="N7" s="330" t="s">
        <v>292</v>
      </c>
      <c r="O7" s="332"/>
    </row>
    <row r="8" spans="2:16" ht="60">
      <c r="B8" s="327"/>
      <c r="C8" s="329"/>
      <c r="D8" s="331"/>
      <c r="E8" s="331"/>
      <c r="F8" s="209" t="s">
        <v>293</v>
      </c>
      <c r="G8" s="209" t="s">
        <v>138</v>
      </c>
      <c r="H8" s="209" t="s">
        <v>294</v>
      </c>
      <c r="I8" s="209" t="s">
        <v>295</v>
      </c>
      <c r="J8" s="209" t="s">
        <v>296</v>
      </c>
      <c r="K8" s="209" t="s">
        <v>138</v>
      </c>
      <c r="L8" s="209" t="s">
        <v>297</v>
      </c>
      <c r="M8" s="209" t="s">
        <v>298</v>
      </c>
      <c r="N8" s="209" t="s">
        <v>293</v>
      </c>
      <c r="O8" s="210" t="s">
        <v>295</v>
      </c>
    </row>
    <row r="9" spans="2:16" ht="15">
      <c r="B9" s="215">
        <v>1</v>
      </c>
      <c r="C9" s="73" t="s">
        <v>498</v>
      </c>
      <c r="D9" s="68">
        <v>1000</v>
      </c>
      <c r="E9" s="216">
        <v>0</v>
      </c>
      <c r="F9" s="70">
        <v>6.3001116000000001</v>
      </c>
      <c r="G9" s="193">
        <v>0</v>
      </c>
      <c r="H9" s="70">
        <v>0</v>
      </c>
      <c r="I9" s="140">
        <f>F9+G9-H9</f>
        <v>6.3001116000000001</v>
      </c>
      <c r="J9" s="70">
        <v>0</v>
      </c>
      <c r="K9" s="141">
        <f>AVERAGE(F9,I9)*E9</f>
        <v>0</v>
      </c>
      <c r="L9" s="70">
        <v>0</v>
      </c>
      <c r="M9" s="140">
        <f>J9+K9-L9</f>
        <v>0</v>
      </c>
      <c r="N9" s="140">
        <f>F9-J9</f>
        <v>6.3001116000000001</v>
      </c>
      <c r="O9" s="140">
        <f>I9-M9</f>
        <v>6.3001116000000001</v>
      </c>
    </row>
    <row r="10" spans="2:16" ht="15">
      <c r="B10" s="215">
        <v>2</v>
      </c>
      <c r="C10" s="67" t="s">
        <v>128</v>
      </c>
      <c r="D10" s="68">
        <v>1100</v>
      </c>
      <c r="E10" s="69">
        <v>3.3399999999999999E-2</v>
      </c>
      <c r="F10" s="70">
        <v>206.586964225</v>
      </c>
      <c r="G10" s="193">
        <v>0</v>
      </c>
      <c r="H10" s="70">
        <v>0</v>
      </c>
      <c r="I10" s="140">
        <f>F10+G10-H10</f>
        <v>206.586964225</v>
      </c>
      <c r="J10" s="70">
        <v>30.553168705000001</v>
      </c>
      <c r="K10" s="141">
        <f t="shared" ref="K10:K20" si="0">AVERAGE(F10,I10)*E10</f>
        <v>6.9000046051149999</v>
      </c>
      <c r="L10" s="70">
        <v>0</v>
      </c>
      <c r="M10" s="140">
        <f t="shared" ref="M10:M12" si="1">J10+K10-L10</f>
        <v>37.453173310114998</v>
      </c>
      <c r="N10" s="140">
        <f t="shared" ref="N10:N12" si="2">F10-J10</f>
        <v>176.03379552000001</v>
      </c>
      <c r="O10" s="140">
        <f t="shared" ref="O10:O12" si="3">I10-M10</f>
        <v>169.133790914885</v>
      </c>
      <c r="P10" s="173"/>
    </row>
    <row r="11" spans="2:16" ht="15">
      <c r="B11" s="215">
        <v>3</v>
      </c>
      <c r="C11" s="73" t="s">
        <v>499</v>
      </c>
      <c r="D11" s="68">
        <v>1200</v>
      </c>
      <c r="E11" s="69">
        <v>5.28E-2</v>
      </c>
      <c r="F11" s="70">
        <v>348.911229897</v>
      </c>
      <c r="G11" s="193">
        <v>1.5760552269999999</v>
      </c>
      <c r="H11" s="70">
        <v>0</v>
      </c>
      <c r="I11" s="140">
        <f t="shared" ref="I11:I12" si="4">F11+G11-H11</f>
        <v>350.48728512399998</v>
      </c>
      <c r="J11" s="70">
        <v>62.084408772000003</v>
      </c>
      <c r="K11" s="141">
        <f t="shared" si="0"/>
        <v>18.464120796554401</v>
      </c>
      <c r="L11" s="70">
        <v>0</v>
      </c>
      <c r="M11" s="140">
        <f t="shared" si="1"/>
        <v>80.5485295685544</v>
      </c>
      <c r="N11" s="140">
        <f t="shared" si="2"/>
        <v>286.82682112499998</v>
      </c>
      <c r="O11" s="140">
        <f t="shared" si="3"/>
        <v>269.9387555554456</v>
      </c>
      <c r="P11" s="173"/>
    </row>
    <row r="12" spans="2:16" ht="15">
      <c r="B12" s="215">
        <v>4</v>
      </c>
      <c r="C12" s="172" t="s">
        <v>127</v>
      </c>
      <c r="D12" s="68">
        <v>1300</v>
      </c>
      <c r="E12" s="74">
        <v>5.28E-2</v>
      </c>
      <c r="F12" s="71">
        <f>4251.262367346-118.05</f>
        <v>4133.2123673460001</v>
      </c>
      <c r="G12" s="193">
        <v>50.020935293999997</v>
      </c>
      <c r="H12" s="72">
        <v>0</v>
      </c>
      <c r="I12" s="140">
        <f t="shared" si="4"/>
        <v>4183.2333026400001</v>
      </c>
      <c r="J12" s="70">
        <f>754.65133797022-166.01</f>
        <v>588.64133797021998</v>
      </c>
      <c r="K12" s="141">
        <f t="shared" si="0"/>
        <v>219.55416568763042</v>
      </c>
      <c r="L12" s="70">
        <v>0</v>
      </c>
      <c r="M12" s="140">
        <f t="shared" si="1"/>
        <v>808.1955036578504</v>
      </c>
      <c r="N12" s="140">
        <f t="shared" si="2"/>
        <v>3544.5710293757802</v>
      </c>
      <c r="O12" s="140">
        <f t="shared" si="3"/>
        <v>3375.03779898215</v>
      </c>
      <c r="P12" s="173"/>
    </row>
    <row r="13" spans="2:16" ht="15">
      <c r="B13" s="215">
        <v>5</v>
      </c>
      <c r="C13" s="172" t="s">
        <v>500</v>
      </c>
      <c r="D13" s="68">
        <v>1400</v>
      </c>
      <c r="E13" s="216">
        <v>5.28E-2</v>
      </c>
      <c r="F13" s="71">
        <v>0</v>
      </c>
      <c r="G13" s="193">
        <v>6.6950932939999994</v>
      </c>
      <c r="H13" s="70">
        <v>0</v>
      </c>
      <c r="I13" s="140">
        <f>F13+G13-H13</f>
        <v>6.6950932939999994</v>
      </c>
      <c r="J13" s="70">
        <v>0</v>
      </c>
      <c r="K13" s="141">
        <f t="shared" si="0"/>
        <v>0.17675046296159999</v>
      </c>
      <c r="L13" s="70">
        <v>0</v>
      </c>
      <c r="M13" s="140">
        <f>J13+K13-L13</f>
        <v>0.17675046296159999</v>
      </c>
      <c r="N13" s="140">
        <f>F13-J13</f>
        <v>0</v>
      </c>
      <c r="O13" s="140">
        <f>I13-M13</f>
        <v>6.5183428310383995</v>
      </c>
      <c r="P13" s="173"/>
    </row>
    <row r="14" spans="2:16" ht="15">
      <c r="B14" s="215">
        <v>6</v>
      </c>
      <c r="C14" s="172" t="s">
        <v>501</v>
      </c>
      <c r="D14" s="68">
        <v>1500</v>
      </c>
      <c r="E14" s="69">
        <v>5.28E-2</v>
      </c>
      <c r="F14" s="71">
        <v>246.80157373200001</v>
      </c>
      <c r="G14" s="193">
        <v>0.162212</v>
      </c>
      <c r="H14" s="70">
        <v>0</v>
      </c>
      <c r="I14" s="140">
        <f>F14+G14-H14</f>
        <v>246.96378573200002</v>
      </c>
      <c r="J14" s="70">
        <v>43.388362868000002</v>
      </c>
      <c r="K14" s="141">
        <f t="shared" si="0"/>
        <v>13.0354054898496</v>
      </c>
      <c r="L14" s="70">
        <v>0</v>
      </c>
      <c r="M14" s="140">
        <f t="shared" ref="M14:M16" si="5">J14+K14-L14</f>
        <v>56.423768357849603</v>
      </c>
      <c r="N14" s="140">
        <f t="shared" ref="N14:N16" si="6">F14-J14</f>
        <v>203.41321086400001</v>
      </c>
      <c r="O14" s="140">
        <f t="shared" ref="O14:O16" si="7">I14-M14</f>
        <v>190.54001737415041</v>
      </c>
      <c r="P14" s="173"/>
    </row>
    <row r="15" spans="2:16" ht="15">
      <c r="B15" s="215">
        <v>7</v>
      </c>
      <c r="C15" s="172" t="s">
        <v>502</v>
      </c>
      <c r="D15" s="68">
        <v>1600</v>
      </c>
      <c r="E15" s="69">
        <v>3.3399999999999999E-2</v>
      </c>
      <c r="F15" s="71">
        <v>68.264184540999992</v>
      </c>
      <c r="G15" s="193">
        <v>13.49393995</v>
      </c>
      <c r="H15" s="70">
        <v>0</v>
      </c>
      <c r="I15" s="140">
        <f t="shared" ref="I15:I16" si="8">F15+G15-H15</f>
        <v>81.75812449099999</v>
      </c>
      <c r="J15" s="70">
        <v>24.945889527999999</v>
      </c>
      <c r="K15" s="141">
        <f t="shared" si="0"/>
        <v>2.5053725608343997</v>
      </c>
      <c r="L15" s="70">
        <v>0</v>
      </c>
      <c r="M15" s="140">
        <f t="shared" si="5"/>
        <v>27.451262088834397</v>
      </c>
      <c r="N15" s="140">
        <f t="shared" si="6"/>
        <v>43.318295012999997</v>
      </c>
      <c r="O15" s="140">
        <f t="shared" si="7"/>
        <v>54.306862402165592</v>
      </c>
      <c r="P15" s="173"/>
    </row>
    <row r="16" spans="2:16" ht="15">
      <c r="B16" s="215">
        <v>8</v>
      </c>
      <c r="C16" s="172" t="s">
        <v>132</v>
      </c>
      <c r="D16" s="68">
        <v>1700</v>
      </c>
      <c r="E16" s="74">
        <v>9.5000000000000001E-2</v>
      </c>
      <c r="F16" s="71">
        <v>6.058000464</v>
      </c>
      <c r="G16" s="193">
        <v>0.28055437</v>
      </c>
      <c r="H16" s="72">
        <v>0</v>
      </c>
      <c r="I16" s="140">
        <f t="shared" si="8"/>
        <v>6.338554834</v>
      </c>
      <c r="J16" s="70">
        <v>4.8443859500000004</v>
      </c>
      <c r="K16" s="141">
        <f t="shared" si="0"/>
        <v>0.58883637665499999</v>
      </c>
      <c r="L16" s="70">
        <v>0</v>
      </c>
      <c r="M16" s="140">
        <f t="shared" si="5"/>
        <v>5.4332223266550006</v>
      </c>
      <c r="N16" s="140">
        <f t="shared" si="6"/>
        <v>1.2136145139999996</v>
      </c>
      <c r="O16" s="140">
        <f t="shared" si="7"/>
        <v>0.90533250734499937</v>
      </c>
      <c r="P16" s="173"/>
    </row>
    <row r="17" spans="2:16" ht="15">
      <c r="B17" s="215">
        <v>9</v>
      </c>
      <c r="C17" s="172" t="s">
        <v>503</v>
      </c>
      <c r="D17" s="68">
        <v>1800</v>
      </c>
      <c r="E17" s="216">
        <v>6.3299999999999995E-2</v>
      </c>
      <c r="F17" s="71">
        <v>1.5829912289999999</v>
      </c>
      <c r="G17" s="193">
        <v>0</v>
      </c>
      <c r="H17" s="70">
        <v>0</v>
      </c>
      <c r="I17" s="140">
        <f>F17+G17-H17</f>
        <v>1.5829912289999999</v>
      </c>
      <c r="J17" s="70">
        <v>1.235214128</v>
      </c>
      <c r="K17" s="141">
        <f t="shared" si="0"/>
        <v>0.10020334479569999</v>
      </c>
      <c r="L17" s="70">
        <v>0</v>
      </c>
      <c r="M17" s="140">
        <f>J17+K17-L17</f>
        <v>1.3354174727957</v>
      </c>
      <c r="N17" s="140">
        <f>F17-J17</f>
        <v>0.34777710099999992</v>
      </c>
      <c r="O17" s="140">
        <f>I17-M17</f>
        <v>0.24757375620429989</v>
      </c>
      <c r="P17" s="173"/>
    </row>
    <row r="18" spans="2:16" ht="15">
      <c r="B18" s="217">
        <v>10</v>
      </c>
      <c r="C18" s="172" t="s">
        <v>504</v>
      </c>
      <c r="D18" s="183">
        <v>1900</v>
      </c>
      <c r="E18" s="184">
        <v>0.15</v>
      </c>
      <c r="F18" s="71">
        <v>2.9870286959999999</v>
      </c>
      <c r="G18" s="193">
        <f>0.012016978+0.039915945</f>
        <v>5.1932922999999999E-2</v>
      </c>
      <c r="H18" s="71">
        <v>0</v>
      </c>
      <c r="I18" s="140">
        <f>F18+G18-H18</f>
        <v>3.0389616189999997</v>
      </c>
      <c r="J18" s="71">
        <v>2.5172079549999999</v>
      </c>
      <c r="K18" s="141">
        <f t="shared" si="0"/>
        <v>0.45194927362499993</v>
      </c>
      <c r="L18" s="71"/>
      <c r="M18" s="140">
        <f t="shared" ref="M18:M19" si="9">J18+K18-L18</f>
        <v>2.9691572286249999</v>
      </c>
      <c r="N18" s="140">
        <f t="shared" ref="N18:N19" si="10">F18-J18</f>
        <v>0.46982074099999993</v>
      </c>
      <c r="O18" s="140">
        <f t="shared" ref="O18:O20" si="11">I18-M18</f>
        <v>6.9804390374999858E-2</v>
      </c>
      <c r="P18" s="173"/>
    </row>
    <row r="19" spans="2:16" ht="15">
      <c r="B19" s="215">
        <v>11</v>
      </c>
      <c r="C19" s="172" t="s">
        <v>134</v>
      </c>
      <c r="D19" s="68">
        <v>2100</v>
      </c>
      <c r="E19" s="69">
        <v>6.3299999999999995E-2</v>
      </c>
      <c r="F19" s="71">
        <v>1.3694025630000002</v>
      </c>
      <c r="G19" s="193">
        <v>4.9939901000000002E-2</v>
      </c>
      <c r="H19" s="70">
        <v>0</v>
      </c>
      <c r="I19" s="140">
        <f t="shared" ref="I19:I20" si="12">F19+G19-H19</f>
        <v>1.4193424640000001</v>
      </c>
      <c r="J19" s="70">
        <v>0.99550898800000009</v>
      </c>
      <c r="K19" s="141">
        <f t="shared" si="0"/>
        <v>8.8263780104549994E-2</v>
      </c>
      <c r="L19" s="70">
        <v>0</v>
      </c>
      <c r="M19" s="140">
        <f t="shared" si="9"/>
        <v>1.0837727681045501</v>
      </c>
      <c r="N19" s="140">
        <f t="shared" si="10"/>
        <v>0.37389357500000009</v>
      </c>
      <c r="O19" s="140">
        <f t="shared" si="11"/>
        <v>0.33556969589544994</v>
      </c>
      <c r="P19" s="173"/>
    </row>
    <row r="20" spans="2:16" ht="15">
      <c r="B20" s="215"/>
      <c r="C20" s="172" t="s">
        <v>521</v>
      </c>
      <c r="D20" s="68"/>
      <c r="E20" s="74">
        <v>0</v>
      </c>
      <c r="F20" s="71">
        <v>0</v>
      </c>
      <c r="G20" s="194">
        <v>0</v>
      </c>
      <c r="H20" s="72">
        <v>0</v>
      </c>
      <c r="I20" s="140">
        <f t="shared" si="12"/>
        <v>0</v>
      </c>
      <c r="J20" s="70">
        <v>0</v>
      </c>
      <c r="K20" s="141">
        <f t="shared" si="0"/>
        <v>0</v>
      </c>
      <c r="L20" s="70">
        <v>0</v>
      </c>
      <c r="M20" s="140"/>
      <c r="N20" s="140"/>
      <c r="O20" s="140">
        <f t="shared" si="11"/>
        <v>0</v>
      </c>
    </row>
    <row r="21" spans="2:16" ht="15.75" thickBot="1">
      <c r="B21" s="211"/>
      <c r="C21" s="212" t="s">
        <v>139</v>
      </c>
      <c r="D21" s="212"/>
      <c r="E21" s="213">
        <f>IFERROR((K21-L21)/AVERAGE(F21,I21),0)</f>
        <v>5.1770999779305202E-2</v>
      </c>
      <c r="F21" s="214">
        <f>ROUND(SUM(F9:F20),2)</f>
        <v>5022.07</v>
      </c>
      <c r="G21" s="214">
        <f>ROUND(SUM(G9:G20),2)</f>
        <v>72.33</v>
      </c>
      <c r="H21" s="214">
        <f t="shared" ref="H21:L21" si="13">SUM(H9:H20)</f>
        <v>0</v>
      </c>
      <c r="I21" s="214">
        <f>SUM(I9:I20)</f>
        <v>5094.404517252</v>
      </c>
      <c r="J21" s="214">
        <f>ROUND(SUM(J9:J20),2)</f>
        <v>759.21</v>
      </c>
      <c r="K21" s="214">
        <f>ROUND(SUM(K9:K20),2)</f>
        <v>261.87</v>
      </c>
      <c r="L21" s="214">
        <f t="shared" si="13"/>
        <v>0</v>
      </c>
      <c r="M21" s="214">
        <f>ROUND(SUM(M9:M20),2)</f>
        <v>1021.07</v>
      </c>
      <c r="N21" s="214">
        <f>ROUND(SUM(N9:N20),2)</f>
        <v>4262.87</v>
      </c>
      <c r="O21" s="214">
        <f>ROUND(SUM(O9:O20),2)</f>
        <v>4073.33</v>
      </c>
      <c r="P21" s="173"/>
    </row>
    <row r="22" spans="2:16" ht="15" thickBot="1">
      <c r="F22" s="173">
        <f>SUM(F9:F20)</f>
        <v>5022.0738542930003</v>
      </c>
      <c r="G22" s="173">
        <f t="shared" ref="G22:O22" si="14">SUM(G9:G20)</f>
        <v>72.330662958999994</v>
      </c>
      <c r="H22" s="173">
        <f t="shared" si="14"/>
        <v>0</v>
      </c>
      <c r="I22" s="173">
        <f t="shared" si="14"/>
        <v>5094.404517252</v>
      </c>
      <c r="J22" s="173">
        <f t="shared" si="14"/>
        <v>759.20548486422001</v>
      </c>
      <c r="K22" s="173">
        <f t="shared" si="14"/>
        <v>261.86507237812577</v>
      </c>
      <c r="L22" s="173">
        <f t="shared" si="14"/>
        <v>0</v>
      </c>
      <c r="M22" s="173">
        <f>SUM(M9:M20)</f>
        <v>1021.0705572423457</v>
      </c>
      <c r="N22" s="173">
        <f t="shared" si="14"/>
        <v>4262.8683694287811</v>
      </c>
      <c r="O22" s="173">
        <f t="shared" si="14"/>
        <v>4073.3339600096551</v>
      </c>
      <c r="P22" s="173"/>
    </row>
    <row r="23" spans="2:16" ht="15">
      <c r="B23" s="323" t="s">
        <v>483</v>
      </c>
      <c r="C23" s="324"/>
      <c r="D23" s="324"/>
      <c r="E23" s="324"/>
      <c r="F23" s="324"/>
      <c r="G23" s="324"/>
      <c r="H23" s="324"/>
      <c r="I23" s="324"/>
      <c r="J23" s="324"/>
      <c r="K23" s="324"/>
      <c r="L23" s="324"/>
      <c r="M23" s="324"/>
      <c r="N23" s="324"/>
      <c r="O23" s="325"/>
    </row>
    <row r="24" spans="2:16" ht="14.25" customHeight="1">
      <c r="B24" s="326" t="s">
        <v>2</v>
      </c>
      <c r="C24" s="328" t="s">
        <v>300</v>
      </c>
      <c r="D24" s="330" t="s">
        <v>288</v>
      </c>
      <c r="E24" s="330" t="s">
        <v>289</v>
      </c>
      <c r="F24" s="330" t="s">
        <v>290</v>
      </c>
      <c r="G24" s="330"/>
      <c r="H24" s="330"/>
      <c r="I24" s="330"/>
      <c r="J24" s="330" t="s">
        <v>291</v>
      </c>
      <c r="K24" s="330"/>
      <c r="L24" s="330"/>
      <c r="M24" s="330"/>
      <c r="N24" s="330" t="s">
        <v>292</v>
      </c>
      <c r="O24" s="332"/>
    </row>
    <row r="25" spans="2:16" ht="60">
      <c r="B25" s="327"/>
      <c r="C25" s="329"/>
      <c r="D25" s="331"/>
      <c r="E25" s="331"/>
      <c r="F25" s="209" t="s">
        <v>293</v>
      </c>
      <c r="G25" s="250" t="s">
        <v>138</v>
      </c>
      <c r="H25" s="209" t="s">
        <v>294</v>
      </c>
      <c r="I25" s="209" t="s">
        <v>295</v>
      </c>
      <c r="J25" s="209" t="s">
        <v>296</v>
      </c>
      <c r="K25" s="209" t="s">
        <v>138</v>
      </c>
      <c r="L25" s="209" t="s">
        <v>297</v>
      </c>
      <c r="M25" s="209" t="s">
        <v>298</v>
      </c>
      <c r="N25" s="209" t="s">
        <v>293</v>
      </c>
      <c r="O25" s="210" t="s">
        <v>295</v>
      </c>
    </row>
    <row r="26" spans="2:16" ht="15">
      <c r="B26" s="215">
        <v>1</v>
      </c>
      <c r="C26" s="73" t="s">
        <v>498</v>
      </c>
      <c r="D26" s="68">
        <v>1000</v>
      </c>
      <c r="E26" s="216">
        <v>0</v>
      </c>
      <c r="F26" s="140">
        <f>I9</f>
        <v>6.3001116000000001</v>
      </c>
      <c r="G26" s="251">
        <v>0</v>
      </c>
      <c r="H26" s="70"/>
      <c r="I26" s="140">
        <f>F26+G26-H26</f>
        <v>6.3001116000000001</v>
      </c>
      <c r="J26" s="70">
        <f>M9</f>
        <v>0</v>
      </c>
      <c r="K26" s="141">
        <f t="shared" ref="K26:K37" si="15">AVERAGE(F26,I26)*E26</f>
        <v>0</v>
      </c>
      <c r="L26" s="70"/>
      <c r="M26" s="140">
        <f>J26+K26-L26</f>
        <v>0</v>
      </c>
      <c r="N26" s="140">
        <f>F26-J26</f>
        <v>6.3001116000000001</v>
      </c>
      <c r="O26" s="140">
        <f>I26-M26</f>
        <v>6.3001116000000001</v>
      </c>
    </row>
    <row r="27" spans="2:16" ht="15">
      <c r="B27" s="215">
        <v>2</v>
      </c>
      <c r="C27" s="67" t="s">
        <v>128</v>
      </c>
      <c r="D27" s="68">
        <v>1100</v>
      </c>
      <c r="E27" s="69">
        <v>3.3399999999999999E-2</v>
      </c>
      <c r="F27" s="140">
        <f t="shared" ref="F27:F37" si="16">I10</f>
        <v>206.586964225</v>
      </c>
      <c r="G27" s="251">
        <v>10.802188834999999</v>
      </c>
      <c r="H27" s="70"/>
      <c r="I27" s="140">
        <f t="shared" ref="I27:I38" si="17">F27+G27-H27</f>
        <v>217.38915306000001</v>
      </c>
      <c r="J27" s="70">
        <f t="shared" ref="J27:J37" si="18">M10</f>
        <v>37.453173310114998</v>
      </c>
      <c r="K27" s="141">
        <f t="shared" si="15"/>
        <v>7.0804011586594999</v>
      </c>
      <c r="L27" s="70"/>
      <c r="M27" s="140">
        <f t="shared" ref="M27:M28" si="19">J27+K27-L27</f>
        <v>44.533574468774496</v>
      </c>
      <c r="N27" s="140">
        <f t="shared" ref="N27:N29" si="20">F27-J27</f>
        <v>169.133790914885</v>
      </c>
      <c r="O27" s="140">
        <f t="shared" ref="O27:O29" si="21">I27-M27</f>
        <v>172.85557859122551</v>
      </c>
    </row>
    <row r="28" spans="2:16" ht="15">
      <c r="B28" s="215">
        <v>3</v>
      </c>
      <c r="C28" s="73" t="s">
        <v>499</v>
      </c>
      <c r="D28" s="68">
        <v>1200</v>
      </c>
      <c r="E28" s="69">
        <v>5.28E-2</v>
      </c>
      <c r="F28" s="140">
        <f t="shared" si="16"/>
        <v>350.48728512399998</v>
      </c>
      <c r="G28" s="251">
        <v>0</v>
      </c>
      <c r="H28" s="70"/>
      <c r="I28" s="140">
        <f t="shared" si="17"/>
        <v>350.48728512399998</v>
      </c>
      <c r="J28" s="70">
        <f t="shared" si="18"/>
        <v>80.5485295685544</v>
      </c>
      <c r="K28" s="141">
        <f t="shared" si="15"/>
        <v>18.505728654547198</v>
      </c>
      <c r="L28" s="70"/>
      <c r="M28" s="140">
        <f t="shared" si="19"/>
        <v>99.054258223101598</v>
      </c>
      <c r="N28" s="140">
        <f t="shared" si="20"/>
        <v>269.9387555554456</v>
      </c>
      <c r="O28" s="140">
        <f t="shared" si="21"/>
        <v>251.43302690089837</v>
      </c>
    </row>
    <row r="29" spans="2:16" ht="15">
      <c r="B29" s="215">
        <v>4</v>
      </c>
      <c r="C29" s="73" t="s">
        <v>127</v>
      </c>
      <c r="D29" s="68">
        <v>1300</v>
      </c>
      <c r="E29" s="74">
        <v>5.28E-2</v>
      </c>
      <c r="F29" s="140">
        <f t="shared" si="16"/>
        <v>4183.2333026400001</v>
      </c>
      <c r="G29" s="251">
        <v>2.6476939289999999</v>
      </c>
      <c r="H29" s="72"/>
      <c r="I29" s="140">
        <f t="shared" si="17"/>
        <v>4185.8809965689998</v>
      </c>
      <c r="J29" s="70">
        <f t="shared" si="18"/>
        <v>808.1955036578504</v>
      </c>
      <c r="K29" s="141">
        <f t="shared" si="15"/>
        <v>220.94461749911758</v>
      </c>
      <c r="L29" s="70"/>
      <c r="M29" s="140">
        <f>J29+K29-L29</f>
        <v>1029.140121156968</v>
      </c>
      <c r="N29" s="140">
        <f t="shared" si="20"/>
        <v>3375.03779898215</v>
      </c>
      <c r="O29" s="140">
        <f t="shared" si="21"/>
        <v>3156.7408754120315</v>
      </c>
    </row>
    <row r="30" spans="2:16" ht="15">
      <c r="B30" s="215">
        <v>5</v>
      </c>
      <c r="C30" s="73" t="s">
        <v>500</v>
      </c>
      <c r="D30" s="68">
        <v>1400</v>
      </c>
      <c r="E30" s="216">
        <v>5.28E-2</v>
      </c>
      <c r="F30" s="140">
        <f t="shared" si="16"/>
        <v>6.6950932939999994</v>
      </c>
      <c r="G30" s="251">
        <v>0.53690000000000004</v>
      </c>
      <c r="H30" s="70"/>
      <c r="I30" s="140">
        <f t="shared" si="17"/>
        <v>7.2319932939999996</v>
      </c>
      <c r="J30" s="70">
        <f t="shared" si="18"/>
        <v>0.17675046296159999</v>
      </c>
      <c r="K30" s="141">
        <f t="shared" si="15"/>
        <v>0.36767508592319997</v>
      </c>
      <c r="L30" s="70"/>
      <c r="M30" s="140">
        <f>J30+K30-L30</f>
        <v>0.54442554888479999</v>
      </c>
      <c r="N30" s="140">
        <f>F30-J30</f>
        <v>6.5183428310383995</v>
      </c>
      <c r="O30" s="140">
        <f>I30-M30</f>
        <v>6.6875677451151994</v>
      </c>
    </row>
    <row r="31" spans="2:16" ht="15">
      <c r="B31" s="215">
        <v>6</v>
      </c>
      <c r="C31" s="67" t="s">
        <v>501</v>
      </c>
      <c r="D31" s="68">
        <v>1500</v>
      </c>
      <c r="E31" s="69">
        <v>5.28E-2</v>
      </c>
      <c r="F31" s="140">
        <f t="shared" si="16"/>
        <v>246.96378573200002</v>
      </c>
      <c r="G31" s="251">
        <v>0</v>
      </c>
      <c r="H31" s="70"/>
      <c r="I31" s="140">
        <f t="shared" si="17"/>
        <v>246.96378573200002</v>
      </c>
      <c r="J31" s="70">
        <f t="shared" si="18"/>
        <v>56.423768357849603</v>
      </c>
      <c r="K31" s="141">
        <f t="shared" si="15"/>
        <v>13.039687886649601</v>
      </c>
      <c r="L31" s="70"/>
      <c r="M31" s="140">
        <f t="shared" ref="M31:M33" si="22">J31+K31-L31</f>
        <v>69.463456244499199</v>
      </c>
      <c r="N31" s="140">
        <f t="shared" ref="N31:N33" si="23">F31-J31</f>
        <v>190.54001737415041</v>
      </c>
      <c r="O31" s="140">
        <f t="shared" ref="O31:O33" si="24">I31-M31</f>
        <v>177.50032948750084</v>
      </c>
    </row>
    <row r="32" spans="2:16" ht="15">
      <c r="B32" s="215">
        <v>7</v>
      </c>
      <c r="C32" s="73" t="s">
        <v>502</v>
      </c>
      <c r="D32" s="68">
        <v>1600</v>
      </c>
      <c r="E32" s="69">
        <v>3.3399999999999999E-2</v>
      </c>
      <c r="F32" s="140">
        <f t="shared" si="16"/>
        <v>81.75812449099999</v>
      </c>
      <c r="G32" s="251">
        <v>0</v>
      </c>
      <c r="H32" s="70"/>
      <c r="I32" s="140">
        <f t="shared" si="17"/>
        <v>81.75812449099999</v>
      </c>
      <c r="J32" s="70">
        <f t="shared" si="18"/>
        <v>27.451262088834397</v>
      </c>
      <c r="K32" s="141">
        <f t="shared" si="15"/>
        <v>2.7307213579993994</v>
      </c>
      <c r="L32" s="70"/>
      <c r="M32" s="140">
        <f t="shared" si="22"/>
        <v>30.181983446833797</v>
      </c>
      <c r="N32" s="140">
        <f t="shared" si="23"/>
        <v>54.306862402165592</v>
      </c>
      <c r="O32" s="140">
        <f t="shared" si="24"/>
        <v>51.576141044166192</v>
      </c>
    </row>
    <row r="33" spans="2:15" ht="15">
      <c r="B33" s="215">
        <v>8</v>
      </c>
      <c r="C33" s="73" t="s">
        <v>132</v>
      </c>
      <c r="D33" s="68">
        <v>1700</v>
      </c>
      <c r="E33" s="74">
        <v>9.5000000000000001E-2</v>
      </c>
      <c r="F33" s="140">
        <f t="shared" si="16"/>
        <v>6.338554834</v>
      </c>
      <c r="G33" s="251">
        <v>0</v>
      </c>
      <c r="H33" s="72"/>
      <c r="I33" s="140">
        <f t="shared" si="17"/>
        <v>6.338554834</v>
      </c>
      <c r="J33" s="70">
        <f t="shared" si="18"/>
        <v>5.4332223266550006</v>
      </c>
      <c r="K33" s="141">
        <f t="shared" si="15"/>
        <v>0.60216270923000004</v>
      </c>
      <c r="L33" s="70"/>
      <c r="M33" s="140">
        <f t="shared" si="22"/>
        <v>6.0353850358850005</v>
      </c>
      <c r="N33" s="140">
        <f t="shared" si="23"/>
        <v>0.90533250734499937</v>
      </c>
      <c r="O33" s="140">
        <f t="shared" si="24"/>
        <v>0.30316979811499944</v>
      </c>
    </row>
    <row r="34" spans="2:15" ht="15">
      <c r="B34" s="215">
        <v>9</v>
      </c>
      <c r="C34" s="73" t="s">
        <v>503</v>
      </c>
      <c r="D34" s="68">
        <v>1800</v>
      </c>
      <c r="E34" s="216">
        <v>6.3299999999999995E-2</v>
      </c>
      <c r="F34" s="140">
        <f t="shared" si="16"/>
        <v>1.5829912289999999</v>
      </c>
      <c r="G34" s="251">
        <v>0.25470557900000002</v>
      </c>
      <c r="H34" s="70"/>
      <c r="I34" s="140">
        <f t="shared" si="17"/>
        <v>1.837696808</v>
      </c>
      <c r="J34" s="70">
        <f t="shared" si="18"/>
        <v>1.3354174727957</v>
      </c>
      <c r="K34" s="141">
        <f t="shared" si="15"/>
        <v>0.10826477637104998</v>
      </c>
      <c r="L34" s="70"/>
      <c r="M34" s="140">
        <f>J34+K34-L34</f>
        <v>1.44368224916675</v>
      </c>
      <c r="N34" s="140">
        <f>F34-J34</f>
        <v>0.24757375620429989</v>
      </c>
      <c r="O34" s="140">
        <f>I34-M34</f>
        <v>0.39401455883324998</v>
      </c>
    </row>
    <row r="35" spans="2:15" ht="15">
      <c r="B35" s="215">
        <v>10</v>
      </c>
      <c r="C35" s="67" t="s">
        <v>504</v>
      </c>
      <c r="D35" s="68">
        <v>1900</v>
      </c>
      <c r="E35" s="69">
        <v>0.15</v>
      </c>
      <c r="F35" s="140">
        <f t="shared" si="16"/>
        <v>3.0389616189999997</v>
      </c>
      <c r="G35" s="251">
        <v>0.124636263</v>
      </c>
      <c r="H35" s="70"/>
      <c r="I35" s="140">
        <f t="shared" si="17"/>
        <v>3.1635978819999999</v>
      </c>
      <c r="J35" s="70">
        <f>M18</f>
        <v>2.9691572286249999</v>
      </c>
      <c r="K35" s="141">
        <f t="shared" si="15"/>
        <v>0.46519196257499995</v>
      </c>
      <c r="L35" s="70"/>
      <c r="M35" s="140">
        <f t="shared" ref="M35:M36" si="25">J35+K35-L35</f>
        <v>3.4343491911999999</v>
      </c>
      <c r="N35" s="140">
        <f t="shared" ref="N35:N36" si="26">F35-J35</f>
        <v>6.9804390374999858E-2</v>
      </c>
      <c r="O35" s="140">
        <f t="shared" ref="O35:O36" si="27">I35-M35</f>
        <v>-0.27075130920000001</v>
      </c>
    </row>
    <row r="36" spans="2:15" ht="15">
      <c r="B36" s="215">
        <v>11</v>
      </c>
      <c r="C36" s="73" t="s">
        <v>134</v>
      </c>
      <c r="D36" s="68">
        <v>2100</v>
      </c>
      <c r="E36" s="69">
        <v>6.3299999999999995E-2</v>
      </c>
      <c r="F36" s="140">
        <f t="shared" si="16"/>
        <v>1.4193424640000001</v>
      </c>
      <c r="G36" s="251">
        <v>0.366645161</v>
      </c>
      <c r="H36" s="70"/>
      <c r="I36" s="140">
        <f t="shared" si="17"/>
        <v>1.7859876250000002</v>
      </c>
      <c r="J36" s="70">
        <f t="shared" si="18"/>
        <v>1.0837727681045501</v>
      </c>
      <c r="K36" s="141">
        <f t="shared" si="15"/>
        <v>0.10144869731685</v>
      </c>
      <c r="L36" s="70"/>
      <c r="M36" s="140">
        <f t="shared" si="25"/>
        <v>1.1852214654214002</v>
      </c>
      <c r="N36" s="140">
        <f t="shared" si="26"/>
        <v>0.33556969589544994</v>
      </c>
      <c r="O36" s="140">
        <f t="shared" si="27"/>
        <v>0.60076615957860002</v>
      </c>
    </row>
    <row r="37" spans="2:15" ht="15">
      <c r="B37" s="215"/>
      <c r="C37" s="73"/>
      <c r="D37" s="68"/>
      <c r="E37" s="74"/>
      <c r="F37" s="140">
        <f t="shared" si="16"/>
        <v>0</v>
      </c>
      <c r="G37" s="71">
        <v>0</v>
      </c>
      <c r="H37" s="72"/>
      <c r="I37" s="140">
        <f t="shared" si="17"/>
        <v>0</v>
      </c>
      <c r="J37" s="70">
        <f t="shared" si="18"/>
        <v>0</v>
      </c>
      <c r="K37" s="141">
        <f t="shared" si="15"/>
        <v>0</v>
      </c>
      <c r="L37" s="70"/>
      <c r="M37" s="140"/>
      <c r="N37" s="140"/>
      <c r="O37" s="140"/>
    </row>
    <row r="38" spans="2:15" ht="15.75" thickBot="1">
      <c r="B38" s="75"/>
      <c r="C38" s="76" t="s">
        <v>139</v>
      </c>
      <c r="D38" s="76"/>
      <c r="E38" s="142">
        <f>IFERROR((K38-L38)/AVERAGE(F38,I38),0)</f>
        <v>5.1736937048567931E-2</v>
      </c>
      <c r="F38" s="143">
        <f>I21</f>
        <v>5094.404517252</v>
      </c>
      <c r="G38" s="143">
        <f>SUM(G26:G37)</f>
        <v>14.732769766999995</v>
      </c>
      <c r="H38" s="143"/>
      <c r="I38" s="140">
        <f t="shared" si="17"/>
        <v>5109.1372870189998</v>
      </c>
      <c r="J38" s="143">
        <f>M21</f>
        <v>1021.07</v>
      </c>
      <c r="K38" s="143">
        <f>ROUND(SUM(K26:K37),2)</f>
        <v>263.95</v>
      </c>
      <c r="L38" s="143">
        <f t="shared" ref="L38" si="28">SUM(L26:L37)</f>
        <v>0</v>
      </c>
      <c r="M38" s="143">
        <f>J38+K38</f>
        <v>1285.02</v>
      </c>
      <c r="N38" s="143">
        <f>F38-J38</f>
        <v>4073.3345172519998</v>
      </c>
      <c r="O38" s="143">
        <f>I38-M38</f>
        <v>3824.1172870189998</v>
      </c>
    </row>
    <row r="39" spans="2:15" ht="15" hidden="1" thickBot="1">
      <c r="F39" s="173">
        <f>SUM(F26:F37)</f>
        <v>5094.404517252</v>
      </c>
      <c r="G39" s="173">
        <f t="shared" ref="G39:O39" si="29">SUM(G26:G37)</f>
        <v>14.732769766999995</v>
      </c>
      <c r="H39" s="173">
        <f t="shared" si="29"/>
        <v>0</v>
      </c>
      <c r="I39" s="173">
        <f t="shared" si="29"/>
        <v>5109.1372870190007</v>
      </c>
      <c r="J39" s="173">
        <f t="shared" si="29"/>
        <v>1021.0705572423457</v>
      </c>
      <c r="K39" s="173">
        <f t="shared" si="29"/>
        <v>263.9458997883894</v>
      </c>
      <c r="L39" s="173">
        <f t="shared" si="29"/>
        <v>0</v>
      </c>
      <c r="M39" s="173">
        <f>SUM(M26:M37)</f>
        <v>1285.0164570307352</v>
      </c>
      <c r="N39" s="173">
        <f t="shared" si="29"/>
        <v>4073.3339600096551</v>
      </c>
      <c r="O39" s="173">
        <f t="shared" si="29"/>
        <v>3824.1208299882642</v>
      </c>
    </row>
    <row r="40" spans="2:15" ht="15">
      <c r="B40" s="323" t="s">
        <v>484</v>
      </c>
      <c r="C40" s="324"/>
      <c r="D40" s="324"/>
      <c r="E40" s="324"/>
      <c r="F40" s="324"/>
      <c r="G40" s="324"/>
      <c r="H40" s="324"/>
      <c r="I40" s="324"/>
      <c r="J40" s="324"/>
      <c r="K40" s="324"/>
      <c r="L40" s="324"/>
      <c r="M40" s="324"/>
      <c r="N40" s="324"/>
      <c r="O40" s="325"/>
    </row>
    <row r="41" spans="2:15" ht="15">
      <c r="B41" s="326" t="s">
        <v>2</v>
      </c>
      <c r="C41" s="328" t="s">
        <v>300</v>
      </c>
      <c r="D41" s="330" t="s">
        <v>288</v>
      </c>
      <c r="E41" s="330" t="s">
        <v>289</v>
      </c>
      <c r="F41" s="330" t="s">
        <v>290</v>
      </c>
      <c r="G41" s="330"/>
      <c r="H41" s="330"/>
      <c r="I41" s="330"/>
      <c r="J41" s="330" t="s">
        <v>291</v>
      </c>
      <c r="K41" s="330"/>
      <c r="L41" s="330"/>
      <c r="M41" s="330"/>
      <c r="N41" s="330" t="s">
        <v>292</v>
      </c>
      <c r="O41" s="332"/>
    </row>
    <row r="42" spans="2:15" ht="60">
      <c r="B42" s="327"/>
      <c r="C42" s="329"/>
      <c r="D42" s="331"/>
      <c r="E42" s="331"/>
      <c r="F42" s="209" t="s">
        <v>293</v>
      </c>
      <c r="G42" s="209" t="s">
        <v>138</v>
      </c>
      <c r="H42" s="209" t="s">
        <v>294</v>
      </c>
      <c r="I42" s="209" t="s">
        <v>295</v>
      </c>
      <c r="J42" s="209" t="s">
        <v>296</v>
      </c>
      <c r="K42" s="209" t="s">
        <v>138</v>
      </c>
      <c r="L42" s="209" t="s">
        <v>297</v>
      </c>
      <c r="M42" s="209" t="s">
        <v>298</v>
      </c>
      <c r="N42" s="209" t="s">
        <v>293</v>
      </c>
      <c r="O42" s="210" t="s">
        <v>295</v>
      </c>
    </row>
    <row r="43" spans="2:15" ht="15">
      <c r="B43" s="215">
        <v>1</v>
      </c>
      <c r="C43" s="73" t="s">
        <v>498</v>
      </c>
      <c r="D43" s="68">
        <v>1000</v>
      </c>
      <c r="E43" s="216">
        <v>0</v>
      </c>
      <c r="F43" s="140">
        <f t="shared" ref="F43:F54" si="30">I26</f>
        <v>6.3001116000000001</v>
      </c>
      <c r="G43" s="71">
        <v>0</v>
      </c>
      <c r="H43" s="70"/>
      <c r="I43" s="140">
        <f>F43+G43-H43</f>
        <v>6.3001116000000001</v>
      </c>
      <c r="J43" s="70">
        <f>M26</f>
        <v>0</v>
      </c>
      <c r="K43" s="141">
        <v>0</v>
      </c>
      <c r="L43" s="70"/>
      <c r="M43" s="140">
        <f>J43+K43-L43</f>
        <v>0</v>
      </c>
      <c r="N43" s="140">
        <f>F43-J43</f>
        <v>6.3001116000000001</v>
      </c>
      <c r="O43" s="140">
        <f>I43-M43</f>
        <v>6.3001116000000001</v>
      </c>
    </row>
    <row r="44" spans="2:15" ht="15">
      <c r="B44" s="215">
        <v>2</v>
      </c>
      <c r="C44" s="67" t="s">
        <v>128</v>
      </c>
      <c r="D44" s="68">
        <v>1100</v>
      </c>
      <c r="E44" s="69">
        <v>2.9149999999999999E-2</v>
      </c>
      <c r="F44" s="140">
        <f t="shared" si="30"/>
        <v>217.38915306000001</v>
      </c>
      <c r="G44" s="71">
        <v>0</v>
      </c>
      <c r="H44" s="70"/>
      <c r="I44" s="140">
        <f>F44+G44-H44</f>
        <v>217.38915306000001</v>
      </c>
      <c r="J44" s="70">
        <f t="shared" ref="J44:J54" si="31">M27</f>
        <v>44.533574468774496</v>
      </c>
      <c r="K44" s="141">
        <v>5.4198090064428754</v>
      </c>
      <c r="L44" s="70"/>
      <c r="M44" s="140">
        <f t="shared" ref="M44:M46" si="32">J44+K44-L44</f>
        <v>49.953383475217372</v>
      </c>
      <c r="N44" s="140">
        <f t="shared" ref="N44:N46" si="33">F44-J44</f>
        <v>172.85557859122551</v>
      </c>
      <c r="O44" s="140">
        <f t="shared" ref="O44:O46" si="34">I44-M44</f>
        <v>167.43576958478263</v>
      </c>
    </row>
    <row r="45" spans="2:15" ht="15">
      <c r="B45" s="215">
        <v>3</v>
      </c>
      <c r="C45" s="73" t="s">
        <v>522</v>
      </c>
      <c r="D45" s="68">
        <v>1200</v>
      </c>
      <c r="E45" s="69">
        <v>3.0694736842105264E-2</v>
      </c>
      <c r="F45" s="140">
        <f t="shared" si="30"/>
        <v>350.48728512399998</v>
      </c>
      <c r="G45" s="71">
        <v>0</v>
      </c>
      <c r="H45" s="70"/>
      <c r="I45" s="140">
        <f t="shared" ref="I45:I46" si="35">F45+G45-H45</f>
        <v>350.48728512399998</v>
      </c>
      <c r="J45" s="70">
        <f t="shared" si="31"/>
        <v>99.054258223101598</v>
      </c>
      <c r="K45" s="141">
        <v>9.6823034850465852</v>
      </c>
      <c r="L45" s="70"/>
      <c r="M45" s="140">
        <f t="shared" si="32"/>
        <v>108.73656170814819</v>
      </c>
      <c r="N45" s="140">
        <f t="shared" si="33"/>
        <v>251.43302690089837</v>
      </c>
      <c r="O45" s="140">
        <f t="shared" si="34"/>
        <v>241.75072341585178</v>
      </c>
    </row>
    <row r="46" spans="2:15" ht="15">
      <c r="B46" s="215">
        <v>4</v>
      </c>
      <c r="C46" s="172" t="s">
        <v>127</v>
      </c>
      <c r="D46" s="68">
        <v>1300</v>
      </c>
      <c r="E46" s="74">
        <v>3.0694736842105264E-2</v>
      </c>
      <c r="F46" s="140">
        <f t="shared" si="30"/>
        <v>4185.8809965689998</v>
      </c>
      <c r="G46" s="71">
        <v>99.68403600000002</v>
      </c>
      <c r="H46" s="72"/>
      <c r="I46" s="140">
        <f t="shared" si="35"/>
        <v>4285.5650325689994</v>
      </c>
      <c r="J46" s="70">
        <f t="shared" si="31"/>
        <v>1029.140121156968</v>
      </c>
      <c r="K46" s="141">
        <v>147.94628827192716</v>
      </c>
      <c r="L46" s="70"/>
      <c r="M46" s="140">
        <f t="shared" si="32"/>
        <v>1177.0864094288952</v>
      </c>
      <c r="N46" s="140">
        <f t="shared" si="33"/>
        <v>3156.7408754120315</v>
      </c>
      <c r="O46" s="140">
        <f t="shared" si="34"/>
        <v>3108.478623140104</v>
      </c>
    </row>
    <row r="47" spans="2:15" ht="15">
      <c r="B47" s="215">
        <v>5</v>
      </c>
      <c r="C47" s="172" t="s">
        <v>500</v>
      </c>
      <c r="D47" s="68">
        <v>1400</v>
      </c>
      <c r="E47" s="216">
        <v>3.0694736842105264E-2</v>
      </c>
      <c r="F47" s="140">
        <f t="shared" si="30"/>
        <v>7.2319932939999996</v>
      </c>
      <c r="G47" s="71">
        <v>0</v>
      </c>
      <c r="H47" s="70"/>
      <c r="I47" s="140">
        <f>F47+G47-H47</f>
        <v>7.2319932939999996</v>
      </c>
      <c r="J47" s="70">
        <f t="shared" si="31"/>
        <v>0.54442554888479999</v>
      </c>
      <c r="K47" s="141">
        <v>0.18495371411340633</v>
      </c>
      <c r="L47" s="70"/>
      <c r="M47" s="140">
        <f>J47+K47-L47</f>
        <v>0.72937926299820632</v>
      </c>
      <c r="N47" s="140">
        <f>F47-J47</f>
        <v>6.6875677451151994</v>
      </c>
      <c r="O47" s="140">
        <f>I47-M47</f>
        <v>6.5026140310017935</v>
      </c>
    </row>
    <row r="48" spans="2:15" ht="15">
      <c r="B48" s="215">
        <v>6</v>
      </c>
      <c r="C48" s="172" t="s">
        <v>501</v>
      </c>
      <c r="D48" s="68">
        <v>1500</v>
      </c>
      <c r="E48" s="69">
        <v>3.0694736842105264E-2</v>
      </c>
      <c r="F48" s="140">
        <f t="shared" si="30"/>
        <v>246.96378573200002</v>
      </c>
      <c r="G48" s="71">
        <v>0</v>
      </c>
      <c r="H48" s="70"/>
      <c r="I48" s="140">
        <f>F48+G48-H48</f>
        <v>246.96378573200002</v>
      </c>
      <c r="J48" s="70">
        <f t="shared" si="31"/>
        <v>69.463456244499199</v>
      </c>
      <c r="K48" s="141">
        <v>6.8224395713164299</v>
      </c>
      <c r="L48" s="70"/>
      <c r="M48" s="140">
        <f t="shared" ref="M48:M50" si="36">J48+K48-L48</f>
        <v>76.285895815815621</v>
      </c>
      <c r="N48" s="140">
        <f t="shared" ref="N48:N50" si="37">F48-J48</f>
        <v>177.50032948750084</v>
      </c>
      <c r="O48" s="140">
        <f t="shared" ref="O48:O50" si="38">I48-M48</f>
        <v>170.6778899161844</v>
      </c>
    </row>
    <row r="49" spans="2:16" ht="15">
      <c r="B49" s="215">
        <v>7</v>
      </c>
      <c r="C49" s="172" t="s">
        <v>502</v>
      </c>
      <c r="D49" s="68">
        <v>1600</v>
      </c>
      <c r="E49" s="69">
        <v>2.9149999999999999E-2</v>
      </c>
      <c r="F49" s="140">
        <f t="shared" si="30"/>
        <v>81.75812449099999</v>
      </c>
      <c r="G49" s="71">
        <f>G55-G46-G54</f>
        <v>53.248670796890565</v>
      </c>
      <c r="H49" s="70"/>
      <c r="I49" s="140">
        <f t="shared" ref="I49:I50" si="39">F49+G49-H49</f>
        <v>135.00679528789055</v>
      </c>
      <c r="J49" s="70">
        <f t="shared" si="31"/>
        <v>30.181983446833797</v>
      </c>
      <c r="K49" s="141">
        <v>3.4210365857528848</v>
      </c>
      <c r="L49" s="70"/>
      <c r="M49" s="140">
        <f t="shared" si="36"/>
        <v>33.603020032586684</v>
      </c>
      <c r="N49" s="140">
        <f t="shared" si="37"/>
        <v>51.576141044166192</v>
      </c>
      <c r="O49" s="140">
        <f t="shared" si="38"/>
        <v>101.40377525530387</v>
      </c>
      <c r="P49" s="173"/>
    </row>
    <row r="50" spans="2:16" ht="15">
      <c r="B50" s="215">
        <v>8</v>
      </c>
      <c r="C50" s="172" t="s">
        <v>132</v>
      </c>
      <c r="D50" s="68">
        <v>1700</v>
      </c>
      <c r="E50" s="74">
        <v>0.32999999999999996</v>
      </c>
      <c r="F50" s="140">
        <f t="shared" si="30"/>
        <v>6.338554834</v>
      </c>
      <c r="G50" s="71">
        <v>0</v>
      </c>
      <c r="H50" s="72"/>
      <c r="I50" s="140">
        <f t="shared" si="39"/>
        <v>6.338554834</v>
      </c>
      <c r="J50" s="70">
        <f t="shared" si="31"/>
        <v>6.0353850358850005</v>
      </c>
      <c r="K50" s="141">
        <v>0.23409803229299975</v>
      </c>
      <c r="L50" s="70"/>
      <c r="M50" s="140">
        <f t="shared" si="36"/>
        <v>6.2694830681780003</v>
      </c>
      <c r="N50" s="140">
        <f t="shared" si="37"/>
        <v>0.30316979811499944</v>
      </c>
      <c r="O50" s="140">
        <f t="shared" si="38"/>
        <v>6.9071765821999698E-2</v>
      </c>
    </row>
    <row r="51" spans="2:16" ht="15">
      <c r="B51" s="215">
        <v>9</v>
      </c>
      <c r="C51" s="172" t="s">
        <v>503</v>
      </c>
      <c r="D51" s="68">
        <v>1800</v>
      </c>
      <c r="E51" s="216">
        <v>0.13005</v>
      </c>
      <c r="F51" s="140">
        <f t="shared" si="30"/>
        <v>1.837696808</v>
      </c>
      <c r="G51" s="71">
        <v>0</v>
      </c>
      <c r="H51" s="70"/>
      <c r="I51" s="140">
        <f>F51+G51-H51</f>
        <v>1.837696808</v>
      </c>
      <c r="J51" s="70">
        <f t="shared" si="31"/>
        <v>1.44368224916675</v>
      </c>
      <c r="K51" s="141">
        <v>7.9927027783869953E-2</v>
      </c>
      <c r="L51" s="70"/>
      <c r="M51" s="140">
        <f>J51+K51-L51</f>
        <v>1.52360927695062</v>
      </c>
      <c r="N51" s="140">
        <f>F51-J51</f>
        <v>0.39401455883324998</v>
      </c>
      <c r="O51" s="140">
        <f>I51-M51</f>
        <v>0.31408753104938003</v>
      </c>
      <c r="P51" s="173"/>
    </row>
    <row r="52" spans="2:16" ht="15">
      <c r="B52" s="215">
        <v>10</v>
      </c>
      <c r="C52" s="172" t="s">
        <v>504</v>
      </c>
      <c r="D52" s="68">
        <v>1900</v>
      </c>
      <c r="E52" s="69">
        <v>0.10000000000000009</v>
      </c>
      <c r="F52" s="140">
        <f t="shared" si="30"/>
        <v>3.1635978819999999</v>
      </c>
      <c r="G52" s="71">
        <v>0</v>
      </c>
      <c r="H52" s="70"/>
      <c r="I52" s="140">
        <f>F52+G52-H52</f>
        <v>3.1635978819999999</v>
      </c>
      <c r="J52" s="70">
        <f t="shared" si="31"/>
        <v>3.4343491911999999</v>
      </c>
      <c r="K52" s="141">
        <v>4.8188956150000184E-2</v>
      </c>
      <c r="L52" s="70"/>
      <c r="M52" s="140">
        <f t="shared" ref="M52:M54" si="40">J52+K52-L52</f>
        <v>3.4825381473500001</v>
      </c>
      <c r="N52" s="140">
        <f t="shared" ref="N52:N54" si="41">F52-J52</f>
        <v>-0.27075130920000001</v>
      </c>
      <c r="O52" s="140">
        <f t="shared" ref="O52:O54" si="42">I52-M52</f>
        <v>-0.3189402653500002</v>
      </c>
    </row>
    <row r="53" spans="2:16" ht="15">
      <c r="B53" s="215">
        <v>11</v>
      </c>
      <c r="C53" s="172" t="s">
        <v>134</v>
      </c>
      <c r="D53" s="68">
        <v>2100</v>
      </c>
      <c r="E53" s="69">
        <v>0.13005</v>
      </c>
      <c r="F53" s="140">
        <f t="shared" si="30"/>
        <v>1.7859876250000002</v>
      </c>
      <c r="G53" s="71">
        <v>0</v>
      </c>
      <c r="H53" s="70"/>
      <c r="I53" s="140">
        <f t="shared" ref="I53:I54" si="43">F53+G53-H53</f>
        <v>1.7859876250000002</v>
      </c>
      <c r="J53" s="70">
        <f t="shared" si="31"/>
        <v>1.1852214654214002</v>
      </c>
      <c r="K53" s="141">
        <v>0.16612693869888001</v>
      </c>
      <c r="L53" s="70"/>
      <c r="M53" s="140">
        <f t="shared" si="40"/>
        <v>1.3513484041202801</v>
      </c>
      <c r="N53" s="140">
        <f t="shared" si="41"/>
        <v>0.60076615957860002</v>
      </c>
      <c r="O53" s="140">
        <f t="shared" si="42"/>
        <v>0.43463922087972007</v>
      </c>
    </row>
    <row r="54" spans="2:16" ht="15">
      <c r="B54" s="215"/>
      <c r="C54" s="172" t="s">
        <v>521</v>
      </c>
      <c r="D54" s="68">
        <v>0</v>
      </c>
      <c r="E54" s="74">
        <v>0.2</v>
      </c>
      <c r="F54" s="140">
        <f t="shared" si="30"/>
        <v>0</v>
      </c>
      <c r="G54" s="71">
        <v>3.7372932031094277</v>
      </c>
      <c r="H54" s="72"/>
      <c r="I54" s="140">
        <f t="shared" si="43"/>
        <v>3.7372932031094277</v>
      </c>
      <c r="J54" s="70">
        <f t="shared" si="31"/>
        <v>0</v>
      </c>
      <c r="K54" s="141">
        <v>0.3737293203109428</v>
      </c>
      <c r="L54" s="70"/>
      <c r="M54" s="140">
        <f t="shared" si="40"/>
        <v>0.3737293203109428</v>
      </c>
      <c r="N54" s="140">
        <f t="shared" si="41"/>
        <v>0</v>
      </c>
      <c r="O54" s="140">
        <f t="shared" si="42"/>
        <v>3.3635638827984851</v>
      </c>
    </row>
    <row r="55" spans="2:16" ht="15.75" thickBot="1">
      <c r="B55" s="75"/>
      <c r="C55" s="76" t="s">
        <v>139</v>
      </c>
      <c r="D55" s="76"/>
      <c r="E55" s="142">
        <f>IFERROR((K55-L55)/AVERAGE(F55,I55),0)</f>
        <v>3.3615389396141435E-2</v>
      </c>
      <c r="F55" s="143">
        <f>I38</f>
        <v>5109.1372870189998</v>
      </c>
      <c r="G55" s="143">
        <f>'F3'!I12</f>
        <v>156.67000000000002</v>
      </c>
      <c r="H55" s="143">
        <f t="shared" ref="H55:N55" si="44">SUM(H43:H54)</f>
        <v>0</v>
      </c>
      <c r="I55" s="143">
        <f>F55+G55-H55</f>
        <v>5265.8072870189999</v>
      </c>
      <c r="J55" s="144">
        <f t="shared" si="44"/>
        <v>1285.0164570307352</v>
      </c>
      <c r="K55" s="143">
        <v>174.37890090983603</v>
      </c>
      <c r="L55" s="145">
        <f t="shared" si="44"/>
        <v>0</v>
      </c>
      <c r="M55" s="144">
        <f t="shared" si="44"/>
        <v>1459.3953579405711</v>
      </c>
      <c r="N55" s="143">
        <f t="shared" si="44"/>
        <v>3824.1208299882642</v>
      </c>
      <c r="O55" s="143">
        <f>I55-M55</f>
        <v>3806.4119290784288</v>
      </c>
    </row>
    <row r="56" spans="2:16" ht="15" thickBot="1">
      <c r="F56" s="173">
        <f>SUM(F43:F54)</f>
        <v>5109.1372870190007</v>
      </c>
      <c r="G56" s="173">
        <f t="shared" ref="G56:O56" si="45">SUM(G43:G54)</f>
        <v>156.67000000000002</v>
      </c>
      <c r="H56" s="173">
        <f t="shared" si="45"/>
        <v>0</v>
      </c>
      <c r="I56" s="173">
        <f t="shared" si="45"/>
        <v>5265.8072870190008</v>
      </c>
      <c r="J56" s="173">
        <f t="shared" si="45"/>
        <v>1285.0164570307352</v>
      </c>
      <c r="K56" s="173">
        <f t="shared" si="45"/>
        <v>174.37890090983603</v>
      </c>
      <c r="L56" s="173">
        <f t="shared" si="45"/>
        <v>0</v>
      </c>
      <c r="M56" s="173">
        <f>SUM(M43:M54)</f>
        <v>1459.3953579405711</v>
      </c>
      <c r="N56" s="173">
        <f t="shared" si="45"/>
        <v>3824.1208299882642</v>
      </c>
      <c r="O56" s="173">
        <f t="shared" si="45"/>
        <v>3806.4119290784288</v>
      </c>
    </row>
    <row r="57" spans="2:16" ht="15">
      <c r="B57" s="323" t="s">
        <v>485</v>
      </c>
      <c r="C57" s="324"/>
      <c r="D57" s="324"/>
      <c r="E57" s="324"/>
      <c r="F57" s="324"/>
      <c r="G57" s="324"/>
      <c r="H57" s="324"/>
      <c r="I57" s="324"/>
      <c r="J57" s="324"/>
      <c r="K57" s="324"/>
      <c r="L57" s="324"/>
      <c r="M57" s="324"/>
      <c r="N57" s="324"/>
      <c r="O57" s="325"/>
    </row>
    <row r="58" spans="2:16" ht="15">
      <c r="B58" s="326" t="s">
        <v>2</v>
      </c>
      <c r="C58" s="328" t="s">
        <v>300</v>
      </c>
      <c r="D58" s="330" t="s">
        <v>288</v>
      </c>
      <c r="E58" s="330" t="s">
        <v>289</v>
      </c>
      <c r="F58" s="330" t="s">
        <v>290</v>
      </c>
      <c r="G58" s="330"/>
      <c r="H58" s="330"/>
      <c r="I58" s="330"/>
      <c r="J58" s="330" t="s">
        <v>291</v>
      </c>
      <c r="K58" s="330"/>
      <c r="L58" s="330"/>
      <c r="M58" s="330"/>
      <c r="N58" s="330" t="s">
        <v>292</v>
      </c>
      <c r="O58" s="332"/>
    </row>
    <row r="59" spans="2:16" ht="60">
      <c r="B59" s="327"/>
      <c r="C59" s="329"/>
      <c r="D59" s="331"/>
      <c r="E59" s="331"/>
      <c r="F59" s="209" t="s">
        <v>293</v>
      </c>
      <c r="G59" s="209" t="s">
        <v>138</v>
      </c>
      <c r="H59" s="209" t="s">
        <v>294</v>
      </c>
      <c r="I59" s="209" t="s">
        <v>295</v>
      </c>
      <c r="J59" s="209" t="s">
        <v>296</v>
      </c>
      <c r="K59" s="209" t="s">
        <v>138</v>
      </c>
      <c r="L59" s="209" t="s">
        <v>297</v>
      </c>
      <c r="M59" s="209" t="s">
        <v>298</v>
      </c>
      <c r="N59" s="209" t="s">
        <v>293</v>
      </c>
      <c r="O59" s="210" t="s">
        <v>295</v>
      </c>
    </row>
    <row r="60" spans="2:16" ht="15">
      <c r="B60" s="215">
        <v>1</v>
      </c>
      <c r="C60" s="73" t="s">
        <v>498</v>
      </c>
      <c r="D60" s="68">
        <v>1000</v>
      </c>
      <c r="E60" s="216">
        <v>0</v>
      </c>
      <c r="F60" s="140">
        <f t="shared" ref="F60:F71" si="46">I43</f>
        <v>6.3001116000000001</v>
      </c>
      <c r="G60" s="71">
        <v>0</v>
      </c>
      <c r="H60" s="70"/>
      <c r="I60" s="140">
        <f>F60+G60-H60</f>
        <v>6.3001116000000001</v>
      </c>
      <c r="J60" s="70">
        <f>M43</f>
        <v>0</v>
      </c>
      <c r="K60" s="141">
        <v>0</v>
      </c>
      <c r="L60" s="70"/>
      <c r="M60" s="140">
        <f>J60+K60-L60</f>
        <v>0</v>
      </c>
      <c r="N60" s="140">
        <f>F60-J60</f>
        <v>6.3001116000000001</v>
      </c>
      <c r="O60" s="140">
        <f>I60-M60</f>
        <v>6.3001116000000001</v>
      </c>
    </row>
    <row r="61" spans="2:16" ht="15">
      <c r="B61" s="215">
        <v>2</v>
      </c>
      <c r="C61" s="67" t="s">
        <v>128</v>
      </c>
      <c r="D61" s="68">
        <v>1100</v>
      </c>
      <c r="E61" s="69">
        <v>3.3399999999999999E-2</v>
      </c>
      <c r="F61" s="140">
        <f t="shared" si="46"/>
        <v>217.38915306000001</v>
      </c>
      <c r="G61" s="71">
        <v>0</v>
      </c>
      <c r="H61" s="70"/>
      <c r="I61" s="140">
        <f>F61+G61-H61</f>
        <v>217.38915306000001</v>
      </c>
      <c r="J61" s="70">
        <f t="shared" ref="J61:J71" si="47">M44</f>
        <v>49.953383475217372</v>
      </c>
      <c r="K61" s="141">
        <v>5.4198090064428754</v>
      </c>
      <c r="L61" s="70"/>
      <c r="M61" s="140">
        <f t="shared" ref="M61:M63" si="48">J61+K61-L61</f>
        <v>55.373192481660247</v>
      </c>
      <c r="N61" s="140">
        <f t="shared" ref="N61:N63" si="49">F61-J61</f>
        <v>167.43576958478263</v>
      </c>
      <c r="O61" s="140">
        <f t="shared" ref="O61:O63" si="50">I61-M61</f>
        <v>162.01596057833976</v>
      </c>
    </row>
    <row r="62" spans="2:16" ht="15">
      <c r="B62" s="215">
        <v>3</v>
      </c>
      <c r="C62" s="73" t="s">
        <v>499</v>
      </c>
      <c r="D62" s="68">
        <v>1200</v>
      </c>
      <c r="E62" s="69">
        <v>5.28E-2</v>
      </c>
      <c r="F62" s="140">
        <f t="shared" si="46"/>
        <v>350.48728512399998</v>
      </c>
      <c r="G62" s="71">
        <v>0</v>
      </c>
      <c r="H62" s="70"/>
      <c r="I62" s="140">
        <f t="shared" ref="I62:I63" si="51">F62+G62-H62</f>
        <v>350.48728512399998</v>
      </c>
      <c r="J62" s="70">
        <f t="shared" si="47"/>
        <v>108.73656170814819</v>
      </c>
      <c r="K62" s="141">
        <v>9.6823034850465852</v>
      </c>
      <c r="L62" s="70"/>
      <c r="M62" s="140">
        <f t="shared" si="48"/>
        <v>118.41886519319478</v>
      </c>
      <c r="N62" s="140">
        <f t="shared" si="49"/>
        <v>241.75072341585178</v>
      </c>
      <c r="O62" s="140">
        <f t="shared" si="50"/>
        <v>232.06841993080519</v>
      </c>
    </row>
    <row r="63" spans="2:16" ht="15">
      <c r="B63" s="215">
        <v>4</v>
      </c>
      <c r="C63" s="172" t="s">
        <v>127</v>
      </c>
      <c r="D63" s="68">
        <v>1300</v>
      </c>
      <c r="E63" s="74">
        <v>5.28E-2</v>
      </c>
      <c r="F63" s="140">
        <f t="shared" si="46"/>
        <v>4285.5650325689994</v>
      </c>
      <c r="G63" s="71">
        <v>321.05545119999999</v>
      </c>
      <c r="H63" s="72"/>
      <c r="I63" s="140">
        <f t="shared" si="51"/>
        <v>4606.6204837689993</v>
      </c>
      <c r="J63" s="70">
        <f t="shared" si="47"/>
        <v>1177.0864094288952</v>
      </c>
      <c r="K63" s="141">
        <v>147.31791976463521</v>
      </c>
      <c r="L63" s="70"/>
      <c r="M63" s="140">
        <f t="shared" si="48"/>
        <v>1324.4043291935304</v>
      </c>
      <c r="N63" s="140">
        <f t="shared" si="49"/>
        <v>3108.478623140104</v>
      </c>
      <c r="O63" s="140">
        <f t="shared" si="50"/>
        <v>3282.2161545754689</v>
      </c>
    </row>
    <row r="64" spans="2:16" ht="15">
      <c r="B64" s="215">
        <v>5</v>
      </c>
      <c r="C64" s="172" t="s">
        <v>500</v>
      </c>
      <c r="D64" s="68">
        <v>1400</v>
      </c>
      <c r="E64" s="216">
        <v>5.28E-2</v>
      </c>
      <c r="F64" s="140">
        <f t="shared" si="46"/>
        <v>7.2319932939999996</v>
      </c>
      <c r="G64" s="71">
        <v>0</v>
      </c>
      <c r="H64" s="70"/>
      <c r="I64" s="140">
        <f>F64+G64-H64</f>
        <v>7.2319932939999996</v>
      </c>
      <c r="J64" s="70">
        <f t="shared" si="47"/>
        <v>0.72937926299820632</v>
      </c>
      <c r="K64" s="141">
        <v>0.18495371411340633</v>
      </c>
      <c r="L64" s="70"/>
      <c r="M64" s="140">
        <f>J64+K64-L64</f>
        <v>0.91433297711161265</v>
      </c>
      <c r="N64" s="140">
        <f>F64-J64</f>
        <v>6.5026140310017935</v>
      </c>
      <c r="O64" s="140">
        <f>I64-M64</f>
        <v>6.3176603168883867</v>
      </c>
    </row>
    <row r="65" spans="2:16" ht="15">
      <c r="B65" s="215">
        <v>6</v>
      </c>
      <c r="C65" s="172" t="s">
        <v>501</v>
      </c>
      <c r="D65" s="68">
        <v>1500</v>
      </c>
      <c r="E65" s="69">
        <v>5.28E-2</v>
      </c>
      <c r="F65" s="140">
        <f t="shared" si="46"/>
        <v>246.96378573200002</v>
      </c>
      <c r="G65" s="71">
        <v>0</v>
      </c>
      <c r="H65" s="70"/>
      <c r="I65" s="140">
        <f>F65+G65-H65</f>
        <v>246.96378573200002</v>
      </c>
      <c r="J65" s="70">
        <f t="shared" si="47"/>
        <v>76.285895815815621</v>
      </c>
      <c r="K65" s="141">
        <v>6.8224395713164299</v>
      </c>
      <c r="L65" s="70"/>
      <c r="M65" s="140">
        <f t="shared" ref="M65:M67" si="52">J65+K65-L65</f>
        <v>83.108335387132058</v>
      </c>
      <c r="N65" s="140">
        <f t="shared" ref="N65:N67" si="53">F65-J65</f>
        <v>170.6778899161844</v>
      </c>
      <c r="O65" s="140">
        <f t="shared" ref="O65:O67" si="54">I65-M65</f>
        <v>163.85545034486796</v>
      </c>
    </row>
    <row r="66" spans="2:16" ht="15">
      <c r="B66" s="215">
        <v>7</v>
      </c>
      <c r="C66" s="172" t="s">
        <v>502</v>
      </c>
      <c r="D66" s="68">
        <v>1600</v>
      </c>
      <c r="E66" s="69">
        <v>3.3399999999999999E-2</v>
      </c>
      <c r="F66" s="140">
        <f t="shared" si="46"/>
        <v>135.00679528789055</v>
      </c>
      <c r="G66" s="71">
        <f>G72-G63</f>
        <v>330.87454879999996</v>
      </c>
      <c r="H66" s="70"/>
      <c r="I66" s="140">
        <f t="shared" ref="I66:I67" si="55">F66+G66-H66</f>
        <v>465.88134408789051</v>
      </c>
      <c r="J66" s="70">
        <f t="shared" si="47"/>
        <v>33.603020032586684</v>
      </c>
      <c r="K66" s="141">
        <v>12.030298676932635</v>
      </c>
      <c r="L66" s="70"/>
      <c r="M66" s="140">
        <f t="shared" si="52"/>
        <v>45.633318709519315</v>
      </c>
      <c r="N66" s="140">
        <f t="shared" si="53"/>
        <v>101.40377525530387</v>
      </c>
      <c r="O66" s="140">
        <f t="shared" si="54"/>
        <v>420.24802537837121</v>
      </c>
    </row>
    <row r="67" spans="2:16" ht="15">
      <c r="B67" s="215">
        <v>8</v>
      </c>
      <c r="C67" s="172" t="s">
        <v>132</v>
      </c>
      <c r="D67" s="68">
        <v>1700</v>
      </c>
      <c r="E67" s="74">
        <v>9.5000000000000001E-2</v>
      </c>
      <c r="F67" s="140">
        <f t="shared" si="46"/>
        <v>6.338554834</v>
      </c>
      <c r="G67" s="71">
        <v>0</v>
      </c>
      <c r="H67" s="72"/>
      <c r="I67" s="140">
        <f t="shared" si="55"/>
        <v>6.338554834</v>
      </c>
      <c r="J67" s="70">
        <f t="shared" si="47"/>
        <v>6.2694830681780003</v>
      </c>
      <c r="K67" s="141">
        <v>0</v>
      </c>
      <c r="L67" s="70"/>
      <c r="M67" s="140">
        <f t="shared" si="52"/>
        <v>6.2694830681780003</v>
      </c>
      <c r="N67" s="140">
        <f t="shared" si="53"/>
        <v>6.9071765821999698E-2</v>
      </c>
      <c r="O67" s="140">
        <f t="shared" si="54"/>
        <v>6.9071765821999698E-2</v>
      </c>
    </row>
    <row r="68" spans="2:16" ht="15">
      <c r="B68" s="215">
        <v>9</v>
      </c>
      <c r="C68" s="172" t="s">
        <v>503</v>
      </c>
      <c r="D68" s="68">
        <v>1800</v>
      </c>
      <c r="E68" s="216">
        <v>6.3299999999999995E-2</v>
      </c>
      <c r="F68" s="140">
        <f t="shared" si="46"/>
        <v>1.837696808</v>
      </c>
      <c r="G68" s="71">
        <v>0</v>
      </c>
      <c r="H68" s="70"/>
      <c r="I68" s="140">
        <f>F68+G68-H68</f>
        <v>1.837696808</v>
      </c>
      <c r="J68" s="70">
        <f t="shared" si="47"/>
        <v>1.52360927695062</v>
      </c>
      <c r="K68" s="141">
        <v>0</v>
      </c>
      <c r="L68" s="70"/>
      <c r="M68" s="140">
        <f>J68+K68-L68</f>
        <v>1.52360927695062</v>
      </c>
      <c r="N68" s="140">
        <f>F68-J68</f>
        <v>0.31408753104938003</v>
      </c>
      <c r="O68" s="140">
        <f>I68-M68</f>
        <v>0.31408753104938003</v>
      </c>
      <c r="P68" s="173"/>
    </row>
    <row r="69" spans="2:16" ht="15">
      <c r="B69" s="215">
        <v>10</v>
      </c>
      <c r="C69" s="172" t="s">
        <v>504</v>
      </c>
      <c r="D69" s="68">
        <v>1900</v>
      </c>
      <c r="E69" s="69">
        <v>0.15</v>
      </c>
      <c r="F69" s="140">
        <f t="shared" si="46"/>
        <v>3.1635978819999999</v>
      </c>
      <c r="G69" s="71">
        <v>0</v>
      </c>
      <c r="H69" s="70"/>
      <c r="I69" s="140">
        <f>F69+G69-H69</f>
        <v>3.1635978819999999</v>
      </c>
      <c r="J69" s="70">
        <f t="shared" si="47"/>
        <v>3.4825381473500001</v>
      </c>
      <c r="K69" s="141">
        <v>0</v>
      </c>
      <c r="L69" s="70"/>
      <c r="M69" s="140">
        <f t="shared" ref="M69:M71" si="56">J69+K69-L69</f>
        <v>3.4825381473500001</v>
      </c>
      <c r="N69" s="140">
        <f t="shared" ref="N69:N71" si="57">F69-J69</f>
        <v>-0.3189402653500002</v>
      </c>
      <c r="O69" s="140">
        <f t="shared" ref="O69:O71" si="58">I69-M69</f>
        <v>-0.3189402653500002</v>
      </c>
      <c r="P69" s="173"/>
    </row>
    <row r="70" spans="2:16" ht="15">
      <c r="B70" s="215">
        <v>11</v>
      </c>
      <c r="C70" s="172" t="s">
        <v>134</v>
      </c>
      <c r="D70" s="68">
        <v>2100</v>
      </c>
      <c r="E70" s="69">
        <v>6.3299999999999995E-2</v>
      </c>
      <c r="F70" s="140">
        <f t="shared" si="46"/>
        <v>1.7859876250000002</v>
      </c>
      <c r="G70" s="71">
        <v>0</v>
      </c>
      <c r="H70" s="70"/>
      <c r="I70" s="140">
        <f t="shared" ref="I70:I71" si="59">F70+G70-H70</f>
        <v>1.7859876250000002</v>
      </c>
      <c r="J70" s="70">
        <f t="shared" si="47"/>
        <v>1.3513484041202801</v>
      </c>
      <c r="K70" s="141">
        <v>7.2180507270400707E-3</v>
      </c>
      <c r="L70" s="70"/>
      <c r="M70" s="140">
        <f t="shared" si="56"/>
        <v>1.3585664548473202</v>
      </c>
      <c r="N70" s="140">
        <f t="shared" si="57"/>
        <v>0.43463922087972007</v>
      </c>
      <c r="O70" s="140">
        <f t="shared" si="58"/>
        <v>0.42742117015268</v>
      </c>
    </row>
    <row r="71" spans="2:16" ht="15">
      <c r="B71" s="215"/>
      <c r="C71" s="172" t="s">
        <v>505</v>
      </c>
      <c r="D71" s="68">
        <v>2200</v>
      </c>
      <c r="E71" s="74">
        <v>0</v>
      </c>
      <c r="F71" s="140">
        <f t="shared" si="46"/>
        <v>3.7372932031094277</v>
      </c>
      <c r="G71" s="71">
        <v>0</v>
      </c>
      <c r="H71" s="72"/>
      <c r="I71" s="140">
        <f t="shared" si="59"/>
        <v>3.7372932031094277</v>
      </c>
      <c r="J71" s="70">
        <f t="shared" si="47"/>
        <v>0.3737293203109428</v>
      </c>
      <c r="K71" s="141">
        <v>0.74745864062188561</v>
      </c>
      <c r="L71" s="70"/>
      <c r="M71" s="140">
        <f t="shared" si="56"/>
        <v>1.1211879609328284</v>
      </c>
      <c r="N71" s="140">
        <f t="shared" si="57"/>
        <v>3.3635638827984851</v>
      </c>
      <c r="O71" s="140">
        <f t="shared" si="58"/>
        <v>2.6161052421765993</v>
      </c>
    </row>
    <row r="72" spans="2:16" ht="15.75" thickBot="1">
      <c r="B72" s="75"/>
      <c r="C72" s="76" t="s">
        <v>139</v>
      </c>
      <c r="D72" s="76"/>
      <c r="E72" s="142">
        <f>IFERROR((K72-L72)/AVERAGE(F72,I72),0)</f>
        <v>3.2585804921425793E-2</v>
      </c>
      <c r="F72" s="143">
        <f>I55</f>
        <v>5265.8072870189999</v>
      </c>
      <c r="G72" s="143">
        <f>'F3'!J12</f>
        <v>651.92999999999995</v>
      </c>
      <c r="H72" s="143">
        <f t="shared" ref="H72:L72" si="60">SUM(H60:H71)</f>
        <v>0</v>
      </c>
      <c r="I72" s="143">
        <f>F72+G72</f>
        <v>5917.7372870190002</v>
      </c>
      <c r="J72" s="144">
        <f>M55</f>
        <v>1459.3953579405711</v>
      </c>
      <c r="K72" s="143">
        <v>182.21240090983608</v>
      </c>
      <c r="L72" s="145">
        <f t="shared" si="60"/>
        <v>0</v>
      </c>
      <c r="M72" s="144">
        <f>J72+K72</f>
        <v>1641.6077588504072</v>
      </c>
      <c r="N72" s="143">
        <f>F72-J72</f>
        <v>3806.4119290784288</v>
      </c>
      <c r="O72" s="143">
        <f>I72-M72</f>
        <v>4276.1295281685925</v>
      </c>
    </row>
    <row r="73" spans="2:16" ht="15" hidden="1" thickBot="1">
      <c r="F73" s="173">
        <f>SUM(F60:F71)</f>
        <v>5265.8072870190008</v>
      </c>
      <c r="G73" s="173">
        <f t="shared" ref="G73:O73" si="61">SUM(G60:G71)</f>
        <v>651.92999999999995</v>
      </c>
      <c r="H73" s="173">
        <f t="shared" si="61"/>
        <v>0</v>
      </c>
      <c r="I73" s="173">
        <f t="shared" si="61"/>
        <v>5917.7372870190002</v>
      </c>
      <c r="J73" s="173">
        <f t="shared" si="61"/>
        <v>1459.3953579405711</v>
      </c>
      <c r="K73" s="173">
        <f t="shared" si="61"/>
        <v>182.21240090983608</v>
      </c>
      <c r="L73" s="173">
        <f t="shared" si="61"/>
        <v>0</v>
      </c>
      <c r="M73" s="173">
        <f t="shared" si="61"/>
        <v>1641.6077588504068</v>
      </c>
      <c r="N73" s="173">
        <f>SUM(N60:N71)</f>
        <v>3806.4119290784288</v>
      </c>
      <c r="O73" s="173">
        <f t="shared" si="61"/>
        <v>4276.1295281685916</v>
      </c>
    </row>
    <row r="74" spans="2:16" ht="15">
      <c r="B74" s="323" t="s">
        <v>486</v>
      </c>
      <c r="C74" s="324"/>
      <c r="D74" s="324"/>
      <c r="E74" s="324"/>
      <c r="F74" s="324"/>
      <c r="G74" s="324"/>
      <c r="H74" s="324"/>
      <c r="I74" s="324"/>
      <c r="J74" s="324"/>
      <c r="K74" s="324"/>
      <c r="L74" s="324"/>
      <c r="M74" s="324"/>
      <c r="N74" s="324"/>
      <c r="O74" s="325"/>
    </row>
    <row r="75" spans="2:16" ht="15">
      <c r="B75" s="326" t="s">
        <v>2</v>
      </c>
      <c r="C75" s="328" t="s">
        <v>300</v>
      </c>
      <c r="D75" s="330" t="s">
        <v>288</v>
      </c>
      <c r="E75" s="330" t="s">
        <v>289</v>
      </c>
      <c r="F75" s="330" t="s">
        <v>290</v>
      </c>
      <c r="G75" s="330"/>
      <c r="H75" s="330"/>
      <c r="I75" s="330"/>
      <c r="J75" s="330" t="s">
        <v>291</v>
      </c>
      <c r="K75" s="330"/>
      <c r="L75" s="330"/>
      <c r="M75" s="330"/>
      <c r="N75" s="330" t="s">
        <v>292</v>
      </c>
      <c r="O75" s="332"/>
    </row>
    <row r="76" spans="2:16" ht="60">
      <c r="B76" s="327"/>
      <c r="C76" s="329"/>
      <c r="D76" s="331"/>
      <c r="E76" s="331"/>
      <c r="F76" s="209" t="s">
        <v>293</v>
      </c>
      <c r="G76" s="209" t="s">
        <v>138</v>
      </c>
      <c r="H76" s="209" t="s">
        <v>294</v>
      </c>
      <c r="I76" s="209" t="s">
        <v>295</v>
      </c>
      <c r="J76" s="209" t="s">
        <v>296</v>
      </c>
      <c r="K76" s="209" t="s">
        <v>138</v>
      </c>
      <c r="L76" s="209" t="s">
        <v>297</v>
      </c>
      <c r="M76" s="209" t="s">
        <v>298</v>
      </c>
      <c r="N76" s="209" t="s">
        <v>293</v>
      </c>
      <c r="O76" s="210" t="s">
        <v>295</v>
      </c>
    </row>
    <row r="77" spans="2:16" ht="15">
      <c r="B77" s="215">
        <v>1</v>
      </c>
      <c r="C77" s="73" t="s">
        <v>498</v>
      </c>
      <c r="D77" s="68">
        <v>1000</v>
      </c>
      <c r="E77" s="216">
        <v>0</v>
      </c>
      <c r="F77" s="140">
        <f t="shared" ref="F77:F88" si="62">I60</f>
        <v>6.3001116000000001</v>
      </c>
      <c r="G77" s="71">
        <v>0</v>
      </c>
      <c r="H77" s="70"/>
      <c r="I77" s="140">
        <f>F77+G77-H77</f>
        <v>6.3001116000000001</v>
      </c>
      <c r="J77" s="70">
        <f>M60</f>
        <v>0</v>
      </c>
      <c r="K77" s="141">
        <v>0</v>
      </c>
      <c r="L77" s="70"/>
      <c r="M77" s="140">
        <f>J77+K77-L77</f>
        <v>0</v>
      </c>
      <c r="N77" s="140">
        <f>F77-J77</f>
        <v>6.3001116000000001</v>
      </c>
      <c r="O77" s="140">
        <f>I77-M77</f>
        <v>6.3001116000000001</v>
      </c>
    </row>
    <row r="78" spans="2:16" ht="15">
      <c r="B78" s="215">
        <v>2</v>
      </c>
      <c r="C78" s="67" t="s">
        <v>128</v>
      </c>
      <c r="D78" s="68">
        <v>1100</v>
      </c>
      <c r="E78" s="69">
        <v>3.3399999999999999E-2</v>
      </c>
      <c r="F78" s="140">
        <f t="shared" si="62"/>
        <v>217.38915306000001</v>
      </c>
      <c r="G78" s="71">
        <v>0</v>
      </c>
      <c r="H78" s="70"/>
      <c r="I78" s="140">
        <f>F78+G78-H78</f>
        <v>217.38915306000001</v>
      </c>
      <c r="J78" s="70">
        <f t="shared" ref="J78:J88" si="63">M61</f>
        <v>55.373192481660247</v>
      </c>
      <c r="K78" s="141">
        <v>5.4198090064428754</v>
      </c>
      <c r="L78" s="70"/>
      <c r="M78" s="140">
        <f t="shared" ref="M78:M80" si="64">J78+K78-L78</f>
        <v>60.793001488103123</v>
      </c>
      <c r="N78" s="140">
        <f t="shared" ref="N78:N80" si="65">F78-J78</f>
        <v>162.01596057833976</v>
      </c>
      <c r="O78" s="140">
        <f t="shared" ref="O78:O80" si="66">I78-M78</f>
        <v>156.59615157189688</v>
      </c>
    </row>
    <row r="79" spans="2:16" ht="15">
      <c r="B79" s="215">
        <v>3</v>
      </c>
      <c r="C79" s="73" t="s">
        <v>499</v>
      </c>
      <c r="D79" s="68">
        <v>1200</v>
      </c>
      <c r="E79" s="69">
        <v>5.28E-2</v>
      </c>
      <c r="F79" s="140">
        <f t="shared" si="62"/>
        <v>350.48728512399998</v>
      </c>
      <c r="G79" s="71">
        <v>0</v>
      </c>
      <c r="H79" s="70"/>
      <c r="I79" s="140">
        <f t="shared" ref="I79:I80" si="67">F79+G79-H79</f>
        <v>350.48728512399998</v>
      </c>
      <c r="J79" s="70">
        <f t="shared" si="63"/>
        <v>118.41886519319478</v>
      </c>
      <c r="K79" s="141">
        <v>9.6823034850465852</v>
      </c>
      <c r="L79" s="70"/>
      <c r="M79" s="140">
        <f t="shared" si="64"/>
        <v>128.10116867824135</v>
      </c>
      <c r="N79" s="140">
        <f t="shared" si="65"/>
        <v>232.06841993080519</v>
      </c>
      <c r="O79" s="140">
        <f t="shared" si="66"/>
        <v>222.38611644575863</v>
      </c>
    </row>
    <row r="80" spans="2:16" ht="15">
      <c r="B80" s="215">
        <v>4</v>
      </c>
      <c r="C80" s="172" t="s">
        <v>127</v>
      </c>
      <c r="D80" s="68">
        <v>1300</v>
      </c>
      <c r="E80" s="74">
        <v>5.28E-2</v>
      </c>
      <c r="F80" s="140">
        <f t="shared" si="62"/>
        <v>4606.6204837689993</v>
      </c>
      <c r="G80" s="71">
        <f>G89-G83</f>
        <v>220.64</v>
      </c>
      <c r="H80" s="72"/>
      <c r="I80" s="140">
        <f t="shared" si="67"/>
        <v>4827.2604837689996</v>
      </c>
      <c r="J80" s="70">
        <f t="shared" si="63"/>
        <v>1324.4043291935304</v>
      </c>
      <c r="K80" s="141">
        <v>174.46710129038456</v>
      </c>
      <c r="L80" s="70"/>
      <c r="M80" s="140">
        <f t="shared" si="64"/>
        <v>1498.871430483915</v>
      </c>
      <c r="N80" s="140">
        <f t="shared" si="65"/>
        <v>3282.2161545754689</v>
      </c>
      <c r="O80" s="140">
        <f t="shared" si="66"/>
        <v>3328.3890532850846</v>
      </c>
    </row>
    <row r="81" spans="2:16" ht="15">
      <c r="B81" s="215">
        <v>5</v>
      </c>
      <c r="C81" s="172" t="s">
        <v>500</v>
      </c>
      <c r="D81" s="68">
        <v>1400</v>
      </c>
      <c r="E81" s="216">
        <v>5.28E-2</v>
      </c>
      <c r="F81" s="140">
        <f t="shared" si="62"/>
        <v>7.2319932939999996</v>
      </c>
      <c r="G81" s="71">
        <v>0</v>
      </c>
      <c r="H81" s="70"/>
      <c r="I81" s="140">
        <f>F81+G81-H81</f>
        <v>7.2319932939999996</v>
      </c>
      <c r="J81" s="70">
        <f t="shared" si="63"/>
        <v>0.91433297711161265</v>
      </c>
      <c r="K81" s="141">
        <v>0.18495371411340633</v>
      </c>
      <c r="L81" s="70"/>
      <c r="M81" s="140">
        <f>J81+K81-L81</f>
        <v>1.099286691225019</v>
      </c>
      <c r="N81" s="140">
        <f>F81-J81</f>
        <v>6.3176603168883867</v>
      </c>
      <c r="O81" s="140">
        <f>I81-M81</f>
        <v>6.1327066027749808</v>
      </c>
    </row>
    <row r="82" spans="2:16" ht="15">
      <c r="B82" s="215">
        <v>6</v>
      </c>
      <c r="C82" s="172" t="s">
        <v>501</v>
      </c>
      <c r="D82" s="68">
        <v>1500</v>
      </c>
      <c r="E82" s="69">
        <v>5.28E-2</v>
      </c>
      <c r="F82" s="140">
        <f t="shared" si="62"/>
        <v>246.96378573200002</v>
      </c>
      <c r="G82" s="71">
        <v>0</v>
      </c>
      <c r="H82" s="70"/>
      <c r="I82" s="140">
        <f>F82+G82-H82</f>
        <v>246.96378573200002</v>
      </c>
      <c r="J82" s="70">
        <f t="shared" si="63"/>
        <v>83.108335387132058</v>
      </c>
      <c r="K82" s="141">
        <v>6.8224395713164299</v>
      </c>
      <c r="L82" s="70"/>
      <c r="M82" s="140">
        <f t="shared" ref="M82:M84" si="68">J82+K82-L82</f>
        <v>89.930774958448495</v>
      </c>
      <c r="N82" s="140">
        <f t="shared" ref="N82:N84" si="69">F82-J82</f>
        <v>163.85545034486796</v>
      </c>
      <c r="O82" s="140">
        <f t="shared" ref="O82:O84" si="70">I82-M82</f>
        <v>157.03301077355152</v>
      </c>
    </row>
    <row r="83" spans="2:16" ht="15">
      <c r="B83" s="215">
        <v>7</v>
      </c>
      <c r="C83" s="172" t="s">
        <v>502</v>
      </c>
      <c r="D83" s="68">
        <v>1600</v>
      </c>
      <c r="E83" s="69">
        <v>3.3399999999999999E-2</v>
      </c>
      <c r="F83" s="140">
        <f t="shared" si="62"/>
        <v>465.88134408789051</v>
      </c>
      <c r="G83" s="71">
        <v>2.96</v>
      </c>
      <c r="H83" s="70"/>
      <c r="I83" s="140">
        <f t="shared" ref="I83:I84" si="71">F83+G83-H83</f>
        <v>468.84134408789049</v>
      </c>
      <c r="J83" s="70">
        <f t="shared" si="63"/>
        <v>45.633318709519315</v>
      </c>
      <c r="K83" s="141">
        <v>19.402276378380883</v>
      </c>
      <c r="L83" s="70"/>
      <c r="M83" s="140">
        <f t="shared" si="68"/>
        <v>65.035595087900191</v>
      </c>
      <c r="N83" s="140">
        <f t="shared" si="69"/>
        <v>420.24802537837121</v>
      </c>
      <c r="O83" s="140">
        <f t="shared" si="70"/>
        <v>403.80574899999033</v>
      </c>
    </row>
    <row r="84" spans="2:16" ht="15">
      <c r="B84" s="215">
        <v>8</v>
      </c>
      <c r="C84" s="172" t="s">
        <v>132</v>
      </c>
      <c r="D84" s="68">
        <v>1700</v>
      </c>
      <c r="E84" s="74">
        <v>9.5000000000000001E-2</v>
      </c>
      <c r="F84" s="140">
        <f t="shared" si="62"/>
        <v>6.338554834</v>
      </c>
      <c r="G84" s="71">
        <v>0</v>
      </c>
      <c r="H84" s="72"/>
      <c r="I84" s="140">
        <f t="shared" si="71"/>
        <v>6.338554834</v>
      </c>
      <c r="J84" s="70">
        <f t="shared" si="63"/>
        <v>6.2694830681780003</v>
      </c>
      <c r="K84" s="141">
        <v>0</v>
      </c>
      <c r="L84" s="70"/>
      <c r="M84" s="140">
        <f t="shared" si="68"/>
        <v>6.2694830681780003</v>
      </c>
      <c r="N84" s="140">
        <f t="shared" si="69"/>
        <v>6.9071765821999698E-2</v>
      </c>
      <c r="O84" s="140">
        <f t="shared" si="70"/>
        <v>6.9071765821999698E-2</v>
      </c>
    </row>
    <row r="85" spans="2:16" ht="15">
      <c r="B85" s="215">
        <v>9</v>
      </c>
      <c r="C85" s="172" t="s">
        <v>503</v>
      </c>
      <c r="D85" s="68">
        <v>1800</v>
      </c>
      <c r="E85" s="216">
        <v>6.3299999999999995E-2</v>
      </c>
      <c r="F85" s="140">
        <f t="shared" si="62"/>
        <v>1.837696808</v>
      </c>
      <c r="G85" s="71">
        <v>0</v>
      </c>
      <c r="H85" s="70"/>
      <c r="I85" s="140">
        <f>F85+G85-H85</f>
        <v>1.837696808</v>
      </c>
      <c r="J85" s="70">
        <f t="shared" si="63"/>
        <v>1.52360927695062</v>
      </c>
      <c r="K85" s="141">
        <v>0</v>
      </c>
      <c r="L85" s="70"/>
      <c r="M85" s="140">
        <f>J85+K85-L85</f>
        <v>1.52360927695062</v>
      </c>
      <c r="N85" s="140">
        <f>F85-J85</f>
        <v>0.31408753104938003</v>
      </c>
      <c r="O85" s="140">
        <f>I85-M85</f>
        <v>0.31408753104938003</v>
      </c>
      <c r="P85" s="173"/>
    </row>
    <row r="86" spans="2:16" ht="15">
      <c r="B86" s="215">
        <v>10</v>
      </c>
      <c r="C86" s="172" t="s">
        <v>504</v>
      </c>
      <c r="D86" s="68">
        <v>1900</v>
      </c>
      <c r="E86" s="69">
        <v>0.15</v>
      </c>
      <c r="F86" s="140">
        <f t="shared" si="62"/>
        <v>3.1635978819999999</v>
      </c>
      <c r="G86" s="71">
        <v>0</v>
      </c>
      <c r="H86" s="70"/>
      <c r="I86" s="140">
        <f>F86+G86-H86</f>
        <v>3.1635978819999999</v>
      </c>
      <c r="J86" s="70">
        <f t="shared" si="63"/>
        <v>3.4825381473500001</v>
      </c>
      <c r="K86" s="141">
        <v>0</v>
      </c>
      <c r="L86" s="70"/>
      <c r="M86" s="140">
        <f t="shared" ref="M86:M88" si="72">J86+K86-L86</f>
        <v>3.4825381473500001</v>
      </c>
      <c r="N86" s="140">
        <f t="shared" ref="N86:N88" si="73">F86-J86</f>
        <v>-0.3189402653500002</v>
      </c>
      <c r="O86" s="140">
        <f t="shared" ref="O86:O88" si="74">I86-M86</f>
        <v>-0.3189402653500002</v>
      </c>
      <c r="P86" s="173"/>
    </row>
    <row r="87" spans="2:16" ht="15">
      <c r="B87" s="215">
        <v>11</v>
      </c>
      <c r="C87" s="172" t="s">
        <v>134</v>
      </c>
      <c r="D87" s="68">
        <v>2100</v>
      </c>
      <c r="E87" s="69">
        <v>6.3299999999999995E-2</v>
      </c>
      <c r="F87" s="140">
        <f t="shared" si="62"/>
        <v>1.7859876250000002</v>
      </c>
      <c r="G87" s="71">
        <v>0</v>
      </c>
      <c r="H87" s="70"/>
      <c r="I87" s="140">
        <f t="shared" ref="I87:I88" si="75">F87+G87-H87</f>
        <v>1.7859876250000002</v>
      </c>
      <c r="J87" s="70">
        <f t="shared" si="63"/>
        <v>1.3585664548473202</v>
      </c>
      <c r="K87" s="141">
        <v>0</v>
      </c>
      <c r="L87" s="70"/>
      <c r="M87" s="140">
        <f t="shared" si="72"/>
        <v>1.3585664548473202</v>
      </c>
      <c r="N87" s="140">
        <f t="shared" si="73"/>
        <v>0.42742117015268</v>
      </c>
      <c r="O87" s="140">
        <f t="shared" si="74"/>
        <v>0.42742117015268</v>
      </c>
    </row>
    <row r="88" spans="2:16" ht="15">
      <c r="B88" s="215"/>
      <c r="C88" s="172" t="s">
        <v>505</v>
      </c>
      <c r="D88" s="68">
        <v>2200</v>
      </c>
      <c r="E88" s="74">
        <v>0</v>
      </c>
      <c r="F88" s="140">
        <f t="shared" si="62"/>
        <v>3.7372932031094277</v>
      </c>
      <c r="G88" s="71">
        <v>0</v>
      </c>
      <c r="H88" s="72"/>
      <c r="I88" s="140">
        <f t="shared" si="75"/>
        <v>3.7372932031094277</v>
      </c>
      <c r="J88" s="70">
        <f t="shared" si="63"/>
        <v>1.1211879609328284</v>
      </c>
      <c r="K88" s="141">
        <v>0.74745864062188561</v>
      </c>
      <c r="L88" s="70"/>
      <c r="M88" s="140">
        <f t="shared" si="72"/>
        <v>1.8686466015547141</v>
      </c>
      <c r="N88" s="140">
        <f t="shared" si="73"/>
        <v>2.6161052421765993</v>
      </c>
      <c r="O88" s="140">
        <f t="shared" si="74"/>
        <v>1.8686466015547136</v>
      </c>
    </row>
    <row r="89" spans="2:16" ht="15.75" thickBot="1">
      <c r="B89" s="75"/>
      <c r="C89" s="76" t="s">
        <v>139</v>
      </c>
      <c r="D89" s="76"/>
      <c r="E89" s="142">
        <f>IFERROR((K89-L89)/AVERAGE(F89,I89),0)</f>
        <v>3.5944108439779798E-2</v>
      </c>
      <c r="F89" s="143">
        <f>I72</f>
        <v>5917.7372870190002</v>
      </c>
      <c r="G89" s="143">
        <f>'F3'!K12</f>
        <v>223.6</v>
      </c>
      <c r="H89" s="143">
        <f t="shared" ref="H89:L89" si="76">SUM(H77:H88)</f>
        <v>0</v>
      </c>
      <c r="I89" s="143">
        <f>F89+G89</f>
        <v>6141.3372870190005</v>
      </c>
      <c r="J89" s="144">
        <f>M72</f>
        <v>1641.6077588504072</v>
      </c>
      <c r="K89" s="143">
        <v>216.72634208630666</v>
      </c>
      <c r="L89" s="145">
        <f t="shared" si="76"/>
        <v>0</v>
      </c>
      <c r="M89" s="144">
        <f>J89+K89</f>
        <v>1858.3341009367139</v>
      </c>
      <c r="N89" s="143">
        <f>F89-J89</f>
        <v>4276.1295281685925</v>
      </c>
      <c r="O89" s="143">
        <f>I89-M89</f>
        <v>4283.0031860822864</v>
      </c>
    </row>
    <row r="90" spans="2:16" ht="15" thickBot="1">
      <c r="F90" s="173">
        <f>SUM(F77:F88)</f>
        <v>5917.7372870190002</v>
      </c>
      <c r="G90" s="173">
        <f t="shared" ref="G90:O90" si="77">SUM(G77:G88)</f>
        <v>223.6</v>
      </c>
      <c r="H90" s="173">
        <f t="shared" si="77"/>
        <v>0</v>
      </c>
      <c r="I90" s="173">
        <f t="shared" si="77"/>
        <v>6141.3372870190005</v>
      </c>
      <c r="J90" s="173">
        <f t="shared" si="77"/>
        <v>1641.6077588504068</v>
      </c>
      <c r="K90" s="173">
        <f t="shared" si="77"/>
        <v>216.72634208630666</v>
      </c>
      <c r="L90" s="173">
        <f t="shared" si="77"/>
        <v>0</v>
      </c>
      <c r="M90" s="173">
        <f>SUM(M77:M88)</f>
        <v>1858.3341009367136</v>
      </c>
      <c r="N90" s="173">
        <f t="shared" si="77"/>
        <v>4276.1295281685916</v>
      </c>
      <c r="O90" s="173">
        <f t="shared" si="77"/>
        <v>4283.0031860822855</v>
      </c>
    </row>
    <row r="91" spans="2:16" ht="15">
      <c r="B91" s="323" t="s">
        <v>487</v>
      </c>
      <c r="C91" s="324"/>
      <c r="D91" s="324"/>
      <c r="E91" s="324"/>
      <c r="F91" s="324"/>
      <c r="G91" s="324"/>
      <c r="H91" s="324"/>
      <c r="I91" s="324"/>
      <c r="J91" s="324"/>
      <c r="K91" s="324"/>
      <c r="L91" s="324"/>
      <c r="M91" s="324"/>
      <c r="N91" s="324"/>
      <c r="O91" s="325"/>
    </row>
    <row r="92" spans="2:16" ht="15">
      <c r="B92" s="326" t="s">
        <v>2</v>
      </c>
      <c r="C92" s="328" t="s">
        <v>300</v>
      </c>
      <c r="D92" s="330" t="s">
        <v>288</v>
      </c>
      <c r="E92" s="330" t="s">
        <v>289</v>
      </c>
      <c r="F92" s="330" t="s">
        <v>290</v>
      </c>
      <c r="G92" s="330"/>
      <c r="H92" s="330"/>
      <c r="I92" s="330"/>
      <c r="J92" s="330" t="s">
        <v>291</v>
      </c>
      <c r="K92" s="330"/>
      <c r="L92" s="330"/>
      <c r="M92" s="330"/>
      <c r="N92" s="330" t="s">
        <v>292</v>
      </c>
      <c r="O92" s="332"/>
    </row>
    <row r="93" spans="2:16" ht="60">
      <c r="B93" s="327"/>
      <c r="C93" s="329"/>
      <c r="D93" s="331"/>
      <c r="E93" s="331"/>
      <c r="F93" s="209" t="s">
        <v>293</v>
      </c>
      <c r="G93" s="209" t="s">
        <v>138</v>
      </c>
      <c r="H93" s="209" t="s">
        <v>294</v>
      </c>
      <c r="I93" s="209" t="s">
        <v>295</v>
      </c>
      <c r="J93" s="209" t="s">
        <v>296</v>
      </c>
      <c r="K93" s="209" t="s">
        <v>138</v>
      </c>
      <c r="L93" s="209" t="s">
        <v>297</v>
      </c>
      <c r="M93" s="209" t="s">
        <v>298</v>
      </c>
      <c r="N93" s="209" t="s">
        <v>293</v>
      </c>
      <c r="O93" s="210" t="s">
        <v>295</v>
      </c>
    </row>
    <row r="94" spans="2:16" ht="15">
      <c r="B94" s="215">
        <v>1</v>
      </c>
      <c r="C94" s="73" t="s">
        <v>498</v>
      </c>
      <c r="D94" s="68">
        <v>1000</v>
      </c>
      <c r="E94" s="216">
        <v>0</v>
      </c>
      <c r="F94" s="140">
        <f t="shared" ref="F94:F105" si="78">I77</f>
        <v>6.3001116000000001</v>
      </c>
      <c r="G94" s="71">
        <v>0</v>
      </c>
      <c r="H94" s="70"/>
      <c r="I94" s="140">
        <f>F94+G94-H94</f>
        <v>6.3001116000000001</v>
      </c>
      <c r="J94" s="70">
        <f>M77</f>
        <v>0</v>
      </c>
      <c r="K94" s="141">
        <v>0</v>
      </c>
      <c r="L94" s="70"/>
      <c r="M94" s="140">
        <f>J94+K94-L94</f>
        <v>0</v>
      </c>
      <c r="N94" s="140">
        <f>F94-J94</f>
        <v>6.3001116000000001</v>
      </c>
      <c r="O94" s="140">
        <f>I94-M94</f>
        <v>6.3001116000000001</v>
      </c>
    </row>
    <row r="95" spans="2:16" ht="15">
      <c r="B95" s="215">
        <v>2</v>
      </c>
      <c r="C95" s="67" t="s">
        <v>128</v>
      </c>
      <c r="D95" s="68">
        <v>1100</v>
      </c>
      <c r="E95" s="69">
        <v>3.3399999999999999E-2</v>
      </c>
      <c r="F95" s="140">
        <f t="shared" si="78"/>
        <v>217.38915306000001</v>
      </c>
      <c r="G95" s="71">
        <v>0</v>
      </c>
      <c r="H95" s="70"/>
      <c r="I95" s="140">
        <f>F95+G95-H95</f>
        <v>217.38915306000001</v>
      </c>
      <c r="J95" s="70">
        <f t="shared" ref="J95:J105" si="79">M78</f>
        <v>60.793001488103123</v>
      </c>
      <c r="K95" s="141">
        <v>5.4198090064428754</v>
      </c>
      <c r="L95" s="70"/>
      <c r="M95" s="140">
        <f t="shared" ref="M95:M97" si="80">J95+K95-L95</f>
        <v>66.212810494546005</v>
      </c>
      <c r="N95" s="140">
        <f t="shared" ref="N95:N97" si="81">F95-J95</f>
        <v>156.59615157189688</v>
      </c>
      <c r="O95" s="140">
        <f t="shared" ref="O95:O97" si="82">I95-M95</f>
        <v>151.17634256545401</v>
      </c>
    </row>
    <row r="96" spans="2:16" ht="15">
      <c r="B96" s="215">
        <v>3</v>
      </c>
      <c r="C96" s="73" t="s">
        <v>499</v>
      </c>
      <c r="D96" s="68">
        <v>1200</v>
      </c>
      <c r="E96" s="69">
        <v>5.28E-2</v>
      </c>
      <c r="F96" s="140">
        <f t="shared" si="78"/>
        <v>350.48728512399998</v>
      </c>
      <c r="G96" s="71">
        <v>0</v>
      </c>
      <c r="H96" s="70"/>
      <c r="I96" s="140">
        <f t="shared" ref="I96:I97" si="83">F96+G96-H96</f>
        <v>350.48728512399998</v>
      </c>
      <c r="J96" s="70">
        <f t="shared" si="79"/>
        <v>128.10116867824135</v>
      </c>
      <c r="K96" s="141">
        <v>9.6823034850465852</v>
      </c>
      <c r="L96" s="70"/>
      <c r="M96" s="140">
        <f t="shared" si="80"/>
        <v>137.78347216328794</v>
      </c>
      <c r="N96" s="140">
        <f t="shared" si="81"/>
        <v>222.38611644575863</v>
      </c>
      <c r="O96" s="140">
        <f t="shared" si="82"/>
        <v>212.70381296071204</v>
      </c>
    </row>
    <row r="97" spans="2:16" ht="15">
      <c r="B97" s="215">
        <v>4</v>
      </c>
      <c r="C97" s="172" t="s">
        <v>127</v>
      </c>
      <c r="D97" s="68">
        <v>1300</v>
      </c>
      <c r="E97" s="74">
        <v>5.28E-2</v>
      </c>
      <c r="F97" s="140">
        <f t="shared" si="78"/>
        <v>4827.2604837689996</v>
      </c>
      <c r="G97" s="71">
        <f>G106-G100</f>
        <v>26.31</v>
      </c>
      <c r="H97" s="72"/>
      <c r="I97" s="140">
        <f t="shared" si="83"/>
        <v>4853.570483769</v>
      </c>
      <c r="J97" s="70">
        <f t="shared" si="79"/>
        <v>1498.871430483915</v>
      </c>
      <c r="K97" s="141">
        <v>186.95684521538465</v>
      </c>
      <c r="L97" s="70"/>
      <c r="M97" s="140">
        <f t="shared" si="80"/>
        <v>1685.8282756992996</v>
      </c>
      <c r="N97" s="140">
        <f t="shared" si="81"/>
        <v>3328.3890532850846</v>
      </c>
      <c r="O97" s="140">
        <f t="shared" si="82"/>
        <v>3167.7422080697006</v>
      </c>
    </row>
    <row r="98" spans="2:16" ht="15">
      <c r="B98" s="215">
        <v>5</v>
      </c>
      <c r="C98" s="172" t="s">
        <v>500</v>
      </c>
      <c r="D98" s="68">
        <v>1400</v>
      </c>
      <c r="E98" s="216">
        <v>5.28E-2</v>
      </c>
      <c r="F98" s="140">
        <f t="shared" si="78"/>
        <v>7.2319932939999996</v>
      </c>
      <c r="G98" s="71">
        <v>0</v>
      </c>
      <c r="H98" s="70"/>
      <c r="I98" s="140">
        <f>F98+G98-H98</f>
        <v>7.2319932939999996</v>
      </c>
      <c r="J98" s="70">
        <f t="shared" si="79"/>
        <v>1.099286691225019</v>
      </c>
      <c r="K98" s="141">
        <v>0.18495371411340633</v>
      </c>
      <c r="L98" s="70"/>
      <c r="M98" s="140">
        <f>J98+K98-L98</f>
        <v>1.2842404053384253</v>
      </c>
      <c r="N98" s="140">
        <f>F98-J98</f>
        <v>6.1327066027749808</v>
      </c>
      <c r="O98" s="140">
        <f>I98-M98</f>
        <v>5.947752888661574</v>
      </c>
    </row>
    <row r="99" spans="2:16" ht="15">
      <c r="B99" s="215">
        <v>6</v>
      </c>
      <c r="C99" s="172" t="s">
        <v>501</v>
      </c>
      <c r="D99" s="68">
        <v>1500</v>
      </c>
      <c r="E99" s="69">
        <v>5.28E-2</v>
      </c>
      <c r="F99" s="140">
        <f t="shared" si="78"/>
        <v>246.96378573200002</v>
      </c>
      <c r="G99" s="71">
        <v>0</v>
      </c>
      <c r="H99" s="70"/>
      <c r="I99" s="140">
        <f>F99+G99-H99</f>
        <v>246.96378573200002</v>
      </c>
      <c r="J99" s="70">
        <f t="shared" si="79"/>
        <v>89.930774958448495</v>
      </c>
      <c r="K99" s="141">
        <v>6.8224395713164299</v>
      </c>
      <c r="L99" s="70"/>
      <c r="M99" s="140">
        <f t="shared" ref="M99:M101" si="84">J99+K99-L99</f>
        <v>96.753214529764932</v>
      </c>
      <c r="N99" s="140">
        <f t="shared" ref="N99:N101" si="85">F99-J99</f>
        <v>157.03301077355152</v>
      </c>
      <c r="O99" s="140">
        <f t="shared" ref="O99:O101" si="86">I99-M99</f>
        <v>150.21057120223509</v>
      </c>
    </row>
    <row r="100" spans="2:16" ht="15">
      <c r="B100" s="215">
        <v>7</v>
      </c>
      <c r="C100" s="172" t="s">
        <v>502</v>
      </c>
      <c r="D100" s="68">
        <v>1600</v>
      </c>
      <c r="E100" s="69">
        <v>3.3399999999999999E-2</v>
      </c>
      <c r="F100" s="140">
        <f t="shared" si="78"/>
        <v>468.84134408789049</v>
      </c>
      <c r="G100" s="71">
        <v>3.73</v>
      </c>
      <c r="H100" s="70"/>
      <c r="I100" s="140">
        <f t="shared" ref="I100:I101" si="87">F100+G100-H100</f>
        <v>472.57134408789051</v>
      </c>
      <c r="J100" s="70">
        <f t="shared" si="79"/>
        <v>65.035595087900191</v>
      </c>
      <c r="K100" s="141">
        <v>19.490032453380884</v>
      </c>
      <c r="L100" s="70"/>
      <c r="M100" s="140">
        <f t="shared" si="84"/>
        <v>84.525627541281068</v>
      </c>
      <c r="N100" s="140">
        <f t="shared" si="85"/>
        <v>403.80574899999033</v>
      </c>
      <c r="O100" s="140">
        <f t="shared" si="86"/>
        <v>388.04571654660947</v>
      </c>
    </row>
    <row r="101" spans="2:16" ht="15">
      <c r="B101" s="215">
        <v>8</v>
      </c>
      <c r="C101" s="172" t="s">
        <v>132</v>
      </c>
      <c r="D101" s="68">
        <v>1700</v>
      </c>
      <c r="E101" s="74">
        <v>9.5000000000000001E-2</v>
      </c>
      <c r="F101" s="140">
        <f t="shared" si="78"/>
        <v>6.338554834</v>
      </c>
      <c r="G101" s="71">
        <v>0</v>
      </c>
      <c r="H101" s="72"/>
      <c r="I101" s="140">
        <f t="shared" si="87"/>
        <v>6.338554834</v>
      </c>
      <c r="J101" s="70">
        <f t="shared" si="79"/>
        <v>6.2694830681780003</v>
      </c>
      <c r="K101" s="141">
        <v>0</v>
      </c>
      <c r="L101" s="70"/>
      <c r="M101" s="140">
        <f t="shared" si="84"/>
        <v>6.2694830681780003</v>
      </c>
      <c r="N101" s="140">
        <f t="shared" si="85"/>
        <v>6.9071765821999698E-2</v>
      </c>
      <c r="O101" s="140">
        <f t="shared" si="86"/>
        <v>6.9071765821999698E-2</v>
      </c>
      <c r="P101" s="173"/>
    </row>
    <row r="102" spans="2:16" ht="15">
      <c r="B102" s="215">
        <v>9</v>
      </c>
      <c r="C102" s="172" t="s">
        <v>503</v>
      </c>
      <c r="D102" s="68">
        <v>1800</v>
      </c>
      <c r="E102" s="216">
        <v>6.3299999999999995E-2</v>
      </c>
      <c r="F102" s="140">
        <f t="shared" si="78"/>
        <v>1.837696808</v>
      </c>
      <c r="G102" s="71">
        <v>0</v>
      </c>
      <c r="H102" s="70"/>
      <c r="I102" s="140">
        <f>F102+G102-H102</f>
        <v>1.837696808</v>
      </c>
      <c r="J102" s="70">
        <f t="shared" si="79"/>
        <v>1.52360927695062</v>
      </c>
      <c r="K102" s="141">
        <v>0</v>
      </c>
      <c r="L102" s="70"/>
      <c r="M102" s="140">
        <f>J102+K102-L102</f>
        <v>1.52360927695062</v>
      </c>
      <c r="N102" s="140">
        <f>F102-J102</f>
        <v>0.31408753104938003</v>
      </c>
      <c r="O102" s="140">
        <f>I102-M102</f>
        <v>0.31408753104938003</v>
      </c>
      <c r="P102" s="173"/>
    </row>
    <row r="103" spans="2:16" ht="15">
      <c r="B103" s="215">
        <v>10</v>
      </c>
      <c r="C103" s="172" t="s">
        <v>504</v>
      </c>
      <c r="D103" s="68">
        <v>1900</v>
      </c>
      <c r="E103" s="69">
        <v>0.15</v>
      </c>
      <c r="F103" s="140">
        <f t="shared" si="78"/>
        <v>3.1635978819999999</v>
      </c>
      <c r="G103" s="71">
        <v>0</v>
      </c>
      <c r="H103" s="70"/>
      <c r="I103" s="140">
        <f>F103+G103-H103</f>
        <v>3.1635978819999999</v>
      </c>
      <c r="J103" s="70">
        <f t="shared" si="79"/>
        <v>3.4825381473500001</v>
      </c>
      <c r="K103" s="141">
        <v>0</v>
      </c>
      <c r="L103" s="70"/>
      <c r="M103" s="140">
        <f t="shared" ref="M103:M105" si="88">J103+K103-L103</f>
        <v>3.4825381473500001</v>
      </c>
      <c r="N103" s="140">
        <f t="shared" ref="N103:N105" si="89">F103-J103</f>
        <v>-0.3189402653500002</v>
      </c>
      <c r="O103" s="140">
        <f t="shared" ref="O103:O105" si="90">I103-M103</f>
        <v>-0.3189402653500002</v>
      </c>
    </row>
    <row r="104" spans="2:16" ht="15">
      <c r="B104" s="215">
        <v>11</v>
      </c>
      <c r="C104" s="172" t="s">
        <v>134</v>
      </c>
      <c r="D104" s="68">
        <v>2100</v>
      </c>
      <c r="E104" s="69">
        <v>6.3299999999999995E-2</v>
      </c>
      <c r="F104" s="140">
        <f t="shared" si="78"/>
        <v>1.7859876250000002</v>
      </c>
      <c r="G104" s="71">
        <v>0</v>
      </c>
      <c r="H104" s="70"/>
      <c r="I104" s="140">
        <f t="shared" ref="I104:I105" si="91">F104+G104-H104</f>
        <v>1.7859876250000002</v>
      </c>
      <c r="J104" s="70">
        <f t="shared" si="79"/>
        <v>1.3585664548473202</v>
      </c>
      <c r="K104" s="141">
        <v>0</v>
      </c>
      <c r="L104" s="70"/>
      <c r="M104" s="140">
        <f t="shared" si="88"/>
        <v>1.3585664548473202</v>
      </c>
      <c r="N104" s="140">
        <f t="shared" si="89"/>
        <v>0.42742117015268</v>
      </c>
      <c r="O104" s="140">
        <f t="shared" si="90"/>
        <v>0.42742117015268</v>
      </c>
    </row>
    <row r="105" spans="2:16" ht="15">
      <c r="B105" s="215"/>
      <c r="C105" s="172" t="s">
        <v>505</v>
      </c>
      <c r="D105" s="68">
        <v>2200</v>
      </c>
      <c r="E105" s="74">
        <v>0</v>
      </c>
      <c r="F105" s="140">
        <f t="shared" si="78"/>
        <v>3.7372932031094277</v>
      </c>
      <c r="G105" s="71">
        <v>0</v>
      </c>
      <c r="H105" s="72"/>
      <c r="I105" s="140">
        <f t="shared" si="91"/>
        <v>3.7372932031094277</v>
      </c>
      <c r="J105" s="70">
        <f t="shared" si="79"/>
        <v>1.8686466015547141</v>
      </c>
      <c r="K105" s="141">
        <v>0.74745864062188561</v>
      </c>
      <c r="L105" s="70"/>
      <c r="M105" s="140">
        <f t="shared" si="88"/>
        <v>2.6161052421765998</v>
      </c>
      <c r="N105" s="140">
        <f t="shared" si="89"/>
        <v>1.8686466015547136</v>
      </c>
      <c r="O105" s="140">
        <f t="shared" si="90"/>
        <v>1.1211879609328279</v>
      </c>
    </row>
    <row r="106" spans="2:16" ht="15.75" thickBot="1">
      <c r="B106" s="75"/>
      <c r="C106" s="76" t="s">
        <v>139</v>
      </c>
      <c r="D106" s="76"/>
      <c r="E106" s="142">
        <f>IFERROR((K106-L106)/AVERAGE(F106,I106),0)</f>
        <v>3.7246675492633573E-2</v>
      </c>
      <c r="F106" s="143">
        <f>I89</f>
        <v>6141.3372870190005</v>
      </c>
      <c r="G106" s="143">
        <f>'F3'!L12</f>
        <v>30.04</v>
      </c>
      <c r="H106" s="143">
        <f t="shared" ref="H106:L106" si="92">SUM(H94:H105)</f>
        <v>0</v>
      </c>
      <c r="I106" s="143">
        <f>F106+G106</f>
        <v>6171.3772870190005</v>
      </c>
      <c r="J106" s="144">
        <f>M89</f>
        <v>1858.3341009367139</v>
      </c>
      <c r="K106" s="143">
        <v>229.3038420863067</v>
      </c>
      <c r="L106" s="145">
        <f t="shared" si="92"/>
        <v>0</v>
      </c>
      <c r="M106" s="144">
        <f>J106+K106</f>
        <v>2087.6379430230204</v>
      </c>
      <c r="N106" s="143">
        <f>F106-J106</f>
        <v>4283.0031860822864</v>
      </c>
      <c r="O106" s="143">
        <f>I106-M106</f>
        <v>4083.7393439959801</v>
      </c>
    </row>
    <row r="107" spans="2:16" ht="15" hidden="1" thickBot="1">
      <c r="F107" s="173">
        <f>SUM(F94:F105)</f>
        <v>6141.3372870190005</v>
      </c>
      <c r="G107" s="173">
        <f t="shared" ref="G107:O107" si="93">SUM(G94:G105)</f>
        <v>30.04</v>
      </c>
      <c r="H107" s="173">
        <f t="shared" si="93"/>
        <v>0</v>
      </c>
      <c r="I107" s="173">
        <f t="shared" si="93"/>
        <v>6171.3772870190014</v>
      </c>
      <c r="J107" s="173">
        <f t="shared" si="93"/>
        <v>1858.3341009367136</v>
      </c>
      <c r="K107" s="173">
        <f t="shared" si="93"/>
        <v>229.30384208630673</v>
      </c>
      <c r="L107" s="173">
        <f t="shared" si="93"/>
        <v>0</v>
      </c>
      <c r="M107" s="173">
        <f t="shared" si="93"/>
        <v>2087.6379430230209</v>
      </c>
      <c r="N107" s="173">
        <f>SUM(N94:N105)</f>
        <v>4283.0031860822855</v>
      </c>
      <c r="O107" s="173">
        <f t="shared" si="93"/>
        <v>4083.7393439959792</v>
      </c>
    </row>
    <row r="108" spans="2:16" ht="15">
      <c r="B108" s="323" t="s">
        <v>488</v>
      </c>
      <c r="C108" s="324"/>
      <c r="D108" s="324"/>
      <c r="E108" s="324"/>
      <c r="F108" s="324"/>
      <c r="G108" s="324"/>
      <c r="H108" s="324"/>
      <c r="I108" s="324"/>
      <c r="J108" s="324"/>
      <c r="K108" s="324"/>
      <c r="L108" s="324"/>
      <c r="M108" s="324"/>
      <c r="N108" s="324"/>
      <c r="O108" s="325"/>
    </row>
    <row r="109" spans="2:16" ht="15">
      <c r="B109" s="326" t="s">
        <v>2</v>
      </c>
      <c r="C109" s="328" t="s">
        <v>300</v>
      </c>
      <c r="D109" s="330" t="s">
        <v>288</v>
      </c>
      <c r="E109" s="330" t="s">
        <v>289</v>
      </c>
      <c r="F109" s="330" t="s">
        <v>290</v>
      </c>
      <c r="G109" s="330"/>
      <c r="H109" s="330"/>
      <c r="I109" s="330"/>
      <c r="J109" s="330" t="s">
        <v>291</v>
      </c>
      <c r="K109" s="330"/>
      <c r="L109" s="330"/>
      <c r="M109" s="330"/>
      <c r="N109" s="330" t="s">
        <v>292</v>
      </c>
      <c r="O109" s="332"/>
    </row>
    <row r="110" spans="2:16" ht="60">
      <c r="B110" s="327"/>
      <c r="C110" s="329"/>
      <c r="D110" s="331"/>
      <c r="E110" s="331"/>
      <c r="F110" s="209" t="s">
        <v>293</v>
      </c>
      <c r="G110" s="209" t="s">
        <v>138</v>
      </c>
      <c r="H110" s="209" t="s">
        <v>294</v>
      </c>
      <c r="I110" s="209" t="s">
        <v>295</v>
      </c>
      <c r="J110" s="209" t="s">
        <v>296</v>
      </c>
      <c r="K110" s="209" t="s">
        <v>138</v>
      </c>
      <c r="L110" s="209" t="s">
        <v>297</v>
      </c>
      <c r="M110" s="209" t="s">
        <v>298</v>
      </c>
      <c r="N110" s="209" t="s">
        <v>293</v>
      </c>
      <c r="O110" s="210" t="s">
        <v>295</v>
      </c>
    </row>
    <row r="111" spans="2:16" ht="15">
      <c r="B111" s="215">
        <v>1</v>
      </c>
      <c r="C111" s="73" t="s">
        <v>498</v>
      </c>
      <c r="D111" s="68">
        <v>1000</v>
      </c>
      <c r="E111" s="216">
        <v>0</v>
      </c>
      <c r="F111" s="140">
        <f t="shared" ref="F111:F122" si="94">I94</f>
        <v>6.3001116000000001</v>
      </c>
      <c r="G111" s="71">
        <v>0</v>
      </c>
      <c r="H111" s="70"/>
      <c r="I111" s="140">
        <f>F111+G111-H111</f>
        <v>6.3001116000000001</v>
      </c>
      <c r="J111" s="70">
        <f>M94</f>
        <v>0</v>
      </c>
      <c r="K111" s="141">
        <v>0</v>
      </c>
      <c r="L111" s="70"/>
      <c r="M111" s="140">
        <f>J111+K111-L111</f>
        <v>0</v>
      </c>
      <c r="N111" s="140">
        <f>F111-J111</f>
        <v>6.3001116000000001</v>
      </c>
      <c r="O111" s="140">
        <f>I111-M111</f>
        <v>6.3001116000000001</v>
      </c>
    </row>
    <row r="112" spans="2:16" ht="15">
      <c r="B112" s="215">
        <v>2</v>
      </c>
      <c r="C112" s="67" t="s">
        <v>128</v>
      </c>
      <c r="D112" s="68">
        <v>1100</v>
      </c>
      <c r="E112" s="69">
        <v>3.3399999999999999E-2</v>
      </c>
      <c r="F112" s="140">
        <f t="shared" si="94"/>
        <v>217.38915306000001</v>
      </c>
      <c r="G112" s="71">
        <v>0</v>
      </c>
      <c r="H112" s="70"/>
      <c r="I112" s="140">
        <f>F112+G112-H112</f>
        <v>217.38915306000001</v>
      </c>
      <c r="J112" s="70">
        <f t="shared" ref="J112:J122" si="95">M95</f>
        <v>66.212810494546005</v>
      </c>
      <c r="K112" s="141">
        <v>5.4198090064428754</v>
      </c>
      <c r="L112" s="70"/>
      <c r="M112" s="140">
        <f t="shared" ref="M112:M114" si="96">J112+K112-L112</f>
        <v>71.632619500988881</v>
      </c>
      <c r="N112" s="140">
        <f t="shared" ref="N112:N114" si="97">F112-J112</f>
        <v>151.17634256545401</v>
      </c>
      <c r="O112" s="140">
        <f t="shared" ref="O112:O114" si="98">I112-M112</f>
        <v>145.75653355901113</v>
      </c>
    </row>
    <row r="113" spans="2:16" ht="15">
      <c r="B113" s="215">
        <v>3</v>
      </c>
      <c r="C113" s="73" t="s">
        <v>499</v>
      </c>
      <c r="D113" s="68">
        <v>1200</v>
      </c>
      <c r="E113" s="69">
        <v>5.28E-2</v>
      </c>
      <c r="F113" s="140">
        <f t="shared" si="94"/>
        <v>350.48728512399998</v>
      </c>
      <c r="G113" s="71">
        <v>0</v>
      </c>
      <c r="H113" s="70"/>
      <c r="I113" s="140">
        <f t="shared" ref="I113:I114" si="99">F113+G113-H113</f>
        <v>350.48728512399998</v>
      </c>
      <c r="J113" s="70">
        <f t="shared" si="95"/>
        <v>137.78347216328794</v>
      </c>
      <c r="K113" s="141">
        <v>9.6823034850465852</v>
      </c>
      <c r="L113" s="70"/>
      <c r="M113" s="140">
        <f t="shared" si="96"/>
        <v>147.46577564833453</v>
      </c>
      <c r="N113" s="140">
        <f t="shared" si="97"/>
        <v>212.70381296071204</v>
      </c>
      <c r="O113" s="140">
        <f t="shared" si="98"/>
        <v>203.02150947566545</v>
      </c>
    </row>
    <row r="114" spans="2:16" ht="15">
      <c r="B114" s="215">
        <v>4</v>
      </c>
      <c r="C114" s="172" t="s">
        <v>127</v>
      </c>
      <c r="D114" s="68">
        <v>1300</v>
      </c>
      <c r="E114" s="74">
        <v>5.28E-2</v>
      </c>
      <c r="F114" s="140">
        <f t="shared" si="94"/>
        <v>4853.570483769</v>
      </c>
      <c r="G114" s="71">
        <v>0</v>
      </c>
      <c r="H114" s="72"/>
      <c r="I114" s="140">
        <f t="shared" si="99"/>
        <v>4853.570483769</v>
      </c>
      <c r="J114" s="70">
        <f t="shared" si="95"/>
        <v>1685.8282756992996</v>
      </c>
      <c r="K114" s="141">
        <v>188.20424379038468</v>
      </c>
      <c r="L114" s="70"/>
      <c r="M114" s="140">
        <f t="shared" si="96"/>
        <v>1874.0325194896843</v>
      </c>
      <c r="N114" s="140">
        <f t="shared" si="97"/>
        <v>3167.7422080697006</v>
      </c>
      <c r="O114" s="140">
        <f t="shared" si="98"/>
        <v>2979.5379642793159</v>
      </c>
    </row>
    <row r="115" spans="2:16" ht="15">
      <c r="B115" s="215">
        <v>5</v>
      </c>
      <c r="C115" s="172" t="s">
        <v>500</v>
      </c>
      <c r="D115" s="68">
        <v>1400</v>
      </c>
      <c r="E115" s="216">
        <v>5.28E-2</v>
      </c>
      <c r="F115" s="140">
        <f t="shared" si="94"/>
        <v>7.2319932939999996</v>
      </c>
      <c r="G115" s="71">
        <v>0</v>
      </c>
      <c r="H115" s="70"/>
      <c r="I115" s="140">
        <f>F115+G115-H115</f>
        <v>7.2319932939999996</v>
      </c>
      <c r="J115" s="70">
        <f t="shared" si="95"/>
        <v>1.2842404053384253</v>
      </c>
      <c r="K115" s="141">
        <v>0.18495371411340633</v>
      </c>
      <c r="L115" s="70"/>
      <c r="M115" s="140">
        <f>J115+K115-L115</f>
        <v>1.4691941194518316</v>
      </c>
      <c r="N115" s="140">
        <f>F115-J115</f>
        <v>5.947752888661574</v>
      </c>
      <c r="O115" s="140">
        <f>I115-M115</f>
        <v>5.7627991745481681</v>
      </c>
    </row>
    <row r="116" spans="2:16" ht="15">
      <c r="B116" s="215">
        <v>6</v>
      </c>
      <c r="C116" s="172" t="s">
        <v>501</v>
      </c>
      <c r="D116" s="68">
        <v>1500</v>
      </c>
      <c r="E116" s="69">
        <v>5.28E-2</v>
      </c>
      <c r="F116" s="140">
        <f t="shared" si="94"/>
        <v>246.96378573200002</v>
      </c>
      <c r="G116" s="71">
        <v>0</v>
      </c>
      <c r="H116" s="70"/>
      <c r="I116" s="140">
        <f>F116+G116-H116</f>
        <v>246.96378573200002</v>
      </c>
      <c r="J116" s="70">
        <f t="shared" si="95"/>
        <v>96.753214529764932</v>
      </c>
      <c r="K116" s="141">
        <v>6.8224395713164299</v>
      </c>
      <c r="L116" s="70"/>
      <c r="M116" s="140">
        <f t="shared" ref="M116:M118" si="100">J116+K116-L116</f>
        <v>103.57565410108137</v>
      </c>
      <c r="N116" s="140">
        <f t="shared" ref="N116:N118" si="101">F116-J116</f>
        <v>150.21057120223509</v>
      </c>
      <c r="O116" s="140">
        <f t="shared" ref="O116:O118" si="102">I116-M116</f>
        <v>143.38813163091865</v>
      </c>
    </row>
    <row r="117" spans="2:16" ht="15">
      <c r="B117" s="215">
        <v>7</v>
      </c>
      <c r="C117" s="172" t="s">
        <v>502</v>
      </c>
      <c r="D117" s="68">
        <v>1600</v>
      </c>
      <c r="E117" s="69">
        <v>3.3399999999999999E-2</v>
      </c>
      <c r="F117" s="140">
        <f t="shared" si="94"/>
        <v>472.57134408789051</v>
      </c>
      <c r="G117" s="71"/>
      <c r="H117" s="70"/>
      <c r="I117" s="140">
        <f t="shared" ref="I117:I118" si="103">F117+G117-H117</f>
        <v>472.57134408789051</v>
      </c>
      <c r="J117" s="70">
        <f t="shared" si="95"/>
        <v>84.525627541281068</v>
      </c>
      <c r="K117" s="141">
        <v>20.045033878380885</v>
      </c>
      <c r="L117" s="70"/>
      <c r="M117" s="140">
        <f t="shared" si="100"/>
        <v>104.57066141966195</v>
      </c>
      <c r="N117" s="140">
        <f t="shared" si="101"/>
        <v>388.04571654660947</v>
      </c>
      <c r="O117" s="140">
        <f t="shared" si="102"/>
        <v>368.00068266822859</v>
      </c>
    </row>
    <row r="118" spans="2:16" ht="15">
      <c r="B118" s="215">
        <v>8</v>
      </c>
      <c r="C118" s="172" t="s">
        <v>132</v>
      </c>
      <c r="D118" s="68">
        <v>1700</v>
      </c>
      <c r="E118" s="74">
        <v>9.5000000000000001E-2</v>
      </c>
      <c r="F118" s="140">
        <f t="shared" si="94"/>
        <v>6.338554834</v>
      </c>
      <c r="G118" s="71">
        <v>0</v>
      </c>
      <c r="H118" s="72"/>
      <c r="I118" s="140">
        <f t="shared" si="103"/>
        <v>6.338554834</v>
      </c>
      <c r="J118" s="70">
        <f t="shared" si="95"/>
        <v>6.2694830681780003</v>
      </c>
      <c r="K118" s="141">
        <v>0</v>
      </c>
      <c r="L118" s="70"/>
      <c r="M118" s="140">
        <f t="shared" si="100"/>
        <v>6.2694830681780003</v>
      </c>
      <c r="N118" s="140">
        <f t="shared" si="101"/>
        <v>6.9071765821999698E-2</v>
      </c>
      <c r="O118" s="140">
        <f t="shared" si="102"/>
        <v>6.9071765821999698E-2</v>
      </c>
    </row>
    <row r="119" spans="2:16" ht="15">
      <c r="B119" s="215">
        <v>9</v>
      </c>
      <c r="C119" s="172" t="s">
        <v>503</v>
      </c>
      <c r="D119" s="68">
        <v>1800</v>
      </c>
      <c r="E119" s="216">
        <v>6.3299999999999995E-2</v>
      </c>
      <c r="F119" s="140">
        <f t="shared" si="94"/>
        <v>1.837696808</v>
      </c>
      <c r="G119" s="71">
        <v>0</v>
      </c>
      <c r="H119" s="70"/>
      <c r="I119" s="140">
        <f>F119+G119-H119</f>
        <v>1.837696808</v>
      </c>
      <c r="J119" s="70">
        <f t="shared" si="95"/>
        <v>1.52360927695062</v>
      </c>
      <c r="K119" s="141">
        <v>0</v>
      </c>
      <c r="L119" s="70"/>
      <c r="M119" s="140">
        <f>J119+K119-L119</f>
        <v>1.52360927695062</v>
      </c>
      <c r="N119" s="140">
        <f>F119-J119</f>
        <v>0.31408753104938003</v>
      </c>
      <c r="O119" s="140">
        <f>I119-M119</f>
        <v>0.31408753104938003</v>
      </c>
    </row>
    <row r="120" spans="2:16" ht="15">
      <c r="B120" s="215">
        <v>10</v>
      </c>
      <c r="C120" s="172" t="s">
        <v>504</v>
      </c>
      <c r="D120" s="68">
        <v>1900</v>
      </c>
      <c r="E120" s="69">
        <v>0.15</v>
      </c>
      <c r="F120" s="140">
        <f t="shared" si="94"/>
        <v>3.1635978819999999</v>
      </c>
      <c r="G120" s="71">
        <v>0</v>
      </c>
      <c r="H120" s="70"/>
      <c r="I120" s="140">
        <f>F120+G120-H120</f>
        <v>3.1635978819999999</v>
      </c>
      <c r="J120" s="70">
        <f t="shared" si="95"/>
        <v>3.4825381473500001</v>
      </c>
      <c r="K120" s="141">
        <v>0</v>
      </c>
      <c r="L120" s="70"/>
      <c r="M120" s="140">
        <f t="shared" ref="M120:M122" si="104">J120+K120-L120</f>
        <v>3.4825381473500001</v>
      </c>
      <c r="N120" s="140">
        <f t="shared" ref="N120:N122" si="105">F120-J120</f>
        <v>-0.3189402653500002</v>
      </c>
      <c r="O120" s="140">
        <f t="shared" ref="O120:O122" si="106">I120-M120</f>
        <v>-0.3189402653500002</v>
      </c>
      <c r="P120" s="173"/>
    </row>
    <row r="121" spans="2:16" ht="15">
      <c r="B121" s="215">
        <v>11</v>
      </c>
      <c r="C121" s="172" t="s">
        <v>134</v>
      </c>
      <c r="D121" s="68">
        <v>2100</v>
      </c>
      <c r="E121" s="69">
        <v>6.3299999999999995E-2</v>
      </c>
      <c r="F121" s="140">
        <f t="shared" si="94"/>
        <v>1.7859876250000002</v>
      </c>
      <c r="G121" s="71">
        <v>0</v>
      </c>
      <c r="H121" s="70"/>
      <c r="I121" s="140">
        <f t="shared" ref="I121:I122" si="107">F121+G121-H121</f>
        <v>1.7859876250000002</v>
      </c>
      <c r="J121" s="70">
        <f t="shared" si="95"/>
        <v>1.3585664548473202</v>
      </c>
      <c r="K121" s="141">
        <v>0</v>
      </c>
      <c r="L121" s="70"/>
      <c r="M121" s="140">
        <f t="shared" si="104"/>
        <v>1.3585664548473202</v>
      </c>
      <c r="N121" s="140">
        <f t="shared" si="105"/>
        <v>0.42742117015268</v>
      </c>
      <c r="O121" s="140">
        <f t="shared" si="106"/>
        <v>0.42742117015268</v>
      </c>
      <c r="P121" s="173"/>
    </row>
    <row r="122" spans="2:16" ht="15">
      <c r="B122" s="215"/>
      <c r="C122" s="172" t="s">
        <v>505</v>
      </c>
      <c r="D122" s="68">
        <v>2200</v>
      </c>
      <c r="E122" s="74">
        <v>0</v>
      </c>
      <c r="F122" s="140">
        <f t="shared" si="94"/>
        <v>3.7372932031094277</v>
      </c>
      <c r="G122" s="71">
        <v>0</v>
      </c>
      <c r="H122" s="72"/>
      <c r="I122" s="140">
        <f t="shared" si="107"/>
        <v>3.7372932031094277</v>
      </c>
      <c r="J122" s="70">
        <f t="shared" si="95"/>
        <v>2.6161052421765998</v>
      </c>
      <c r="K122" s="141">
        <v>0.74745864062188561</v>
      </c>
      <c r="L122" s="70"/>
      <c r="M122" s="140">
        <f t="shared" si="104"/>
        <v>3.3635638827984855</v>
      </c>
      <c r="N122" s="140">
        <f t="shared" si="105"/>
        <v>1.1211879609328279</v>
      </c>
      <c r="O122" s="140">
        <f t="shared" si="106"/>
        <v>0.37372932031094219</v>
      </c>
    </row>
    <row r="123" spans="2:16" ht="15.75" thickBot="1">
      <c r="B123" s="75"/>
      <c r="C123" s="76" t="s">
        <v>139</v>
      </c>
      <c r="D123" s="76"/>
      <c r="E123" s="142">
        <f>IFERROR((K123-L123)/AVERAGE(F123,I123),0)</f>
        <v>3.7448081901007783E-2</v>
      </c>
      <c r="F123" s="143">
        <f>I106</f>
        <v>6171.3772870190005</v>
      </c>
      <c r="G123" s="143">
        <f>'F3'!M12</f>
        <v>0</v>
      </c>
      <c r="H123" s="143">
        <f t="shared" ref="H123:L123" si="108">SUM(H111:H122)</f>
        <v>0</v>
      </c>
      <c r="I123" s="143">
        <f>F123</f>
        <v>6171.3772870190005</v>
      </c>
      <c r="J123" s="144">
        <f>M106</f>
        <v>2087.6379430230204</v>
      </c>
      <c r="K123" s="143">
        <v>231.10624208630674</v>
      </c>
      <c r="L123" s="145">
        <f t="shared" si="108"/>
        <v>0</v>
      </c>
      <c r="M123" s="144">
        <f>J123+K123</f>
        <v>2318.7441851093272</v>
      </c>
      <c r="N123" s="143">
        <f>F123-J123</f>
        <v>4083.7393439959801</v>
      </c>
      <c r="O123" s="143">
        <f>I123-M123</f>
        <v>3852.6331019096733</v>
      </c>
    </row>
    <row r="124" spans="2:16">
      <c r="F124" s="173">
        <f>SUM(F111:F122)</f>
        <v>6171.3772870190014</v>
      </c>
      <c r="G124" s="173">
        <f t="shared" ref="G124:O124" si="109">SUM(G111:G122)</f>
        <v>0</v>
      </c>
      <c r="H124" s="173">
        <f t="shared" si="109"/>
        <v>0</v>
      </c>
      <c r="I124" s="173">
        <f t="shared" si="109"/>
        <v>6171.3772870190014</v>
      </c>
      <c r="J124" s="173">
        <f t="shared" si="109"/>
        <v>2087.6379430230209</v>
      </c>
      <c r="K124" s="173">
        <f t="shared" si="109"/>
        <v>231.10624208630676</v>
      </c>
      <c r="L124" s="173">
        <f t="shared" si="109"/>
        <v>0</v>
      </c>
      <c r="M124" s="173">
        <f t="shared" si="109"/>
        <v>2318.7441851093276</v>
      </c>
      <c r="N124" s="173">
        <f>SUM(N111:N122)</f>
        <v>4083.7393439959792</v>
      </c>
      <c r="O124" s="173">
        <f t="shared" si="109"/>
        <v>3852.6331019096724</v>
      </c>
    </row>
  </sheetData>
  <mergeCells count="59">
    <mergeCell ref="B2:O2"/>
    <mergeCell ref="B3:O3"/>
    <mergeCell ref="B4:O4"/>
    <mergeCell ref="B6:O6"/>
    <mergeCell ref="J24:M24"/>
    <mergeCell ref="N24:O24"/>
    <mergeCell ref="B23:O23"/>
    <mergeCell ref="B7:B8"/>
    <mergeCell ref="C7:C8"/>
    <mergeCell ref="D7:D8"/>
    <mergeCell ref="E7:E8"/>
    <mergeCell ref="F7:I7"/>
    <mergeCell ref="J7:M7"/>
    <mergeCell ref="N7:O7"/>
    <mergeCell ref="B24:B25"/>
    <mergeCell ref="C24:C25"/>
    <mergeCell ref="D24:D25"/>
    <mergeCell ref="E24:E25"/>
    <mergeCell ref="F24:I24"/>
    <mergeCell ref="B40:O40"/>
    <mergeCell ref="B41:B42"/>
    <mergeCell ref="C41:C42"/>
    <mergeCell ref="D41:D42"/>
    <mergeCell ref="E41:E42"/>
    <mergeCell ref="F41:I41"/>
    <mergeCell ref="J41:M41"/>
    <mergeCell ref="N41:O41"/>
    <mergeCell ref="B57:O57"/>
    <mergeCell ref="B58:B59"/>
    <mergeCell ref="C58:C59"/>
    <mergeCell ref="D58:D59"/>
    <mergeCell ref="E58:E59"/>
    <mergeCell ref="F58:I58"/>
    <mergeCell ref="J58:M58"/>
    <mergeCell ref="N58:O58"/>
    <mergeCell ref="B74:O74"/>
    <mergeCell ref="B75:B76"/>
    <mergeCell ref="C75:C76"/>
    <mergeCell ref="D75:D76"/>
    <mergeCell ref="E75:E76"/>
    <mergeCell ref="F75:I75"/>
    <mergeCell ref="J75:M75"/>
    <mergeCell ref="N75:O75"/>
    <mergeCell ref="B91:O91"/>
    <mergeCell ref="B92:B93"/>
    <mergeCell ref="C92:C93"/>
    <mergeCell ref="D92:D93"/>
    <mergeCell ref="E92:E93"/>
    <mergeCell ref="F92:I92"/>
    <mergeCell ref="J92:M92"/>
    <mergeCell ref="N92:O92"/>
    <mergeCell ref="B108:O108"/>
    <mergeCell ref="B109:B110"/>
    <mergeCell ref="C109:C110"/>
    <mergeCell ref="D109:D110"/>
    <mergeCell ref="E109:E110"/>
    <mergeCell ref="F109:I109"/>
    <mergeCell ref="J109:M109"/>
    <mergeCell ref="N109:O109"/>
  </mergeCells>
  <pageMargins left="0" right="0" top="0" bottom="0" header="0.25" footer="0.25"/>
  <pageSetup paperSize="9" scale="78" fitToHeight="0" orientation="landscape" r:id="rId1"/>
  <headerFooter alignWithMargins="0">
    <oddHeader>&amp;F</oddHeader>
  </headerFooter>
  <rowBreaks count="3" manualBreakCount="3">
    <brk id="38" min="1" max="14" man="1"/>
    <brk id="72" min="1" max="14" man="1"/>
    <brk id="107" min="1" max="1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B1:M69"/>
  <sheetViews>
    <sheetView showGridLines="0" view="pageBreakPreview" zoomScale="90" zoomScaleNormal="92" zoomScaleSheetLayoutView="90" workbookViewId="0">
      <selection activeCell="G24" sqref="G24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6.7109375" style="5" customWidth="1"/>
    <col min="4" max="13" width="15.7109375" style="37" customWidth="1"/>
    <col min="14" max="16" width="11.7109375" style="5" bestFit="1" customWidth="1"/>
    <col min="17" max="16384" width="9.28515625" style="5"/>
  </cols>
  <sheetData>
    <row r="1" spans="2:13" ht="15">
      <c r="B1" s="26"/>
    </row>
    <row r="2" spans="2:13" ht="15.75">
      <c r="B2" s="285" t="s">
        <v>543</v>
      </c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</row>
    <row r="3" spans="2:13" ht="15.75">
      <c r="B3" s="285" t="s">
        <v>515</v>
      </c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</row>
    <row r="4" spans="2:13" ht="15.75">
      <c r="B4" s="285" t="s">
        <v>260</v>
      </c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</row>
    <row r="5" spans="2:13" ht="15">
      <c r="B5" s="36" t="s">
        <v>57</v>
      </c>
      <c r="C5" s="26" t="s">
        <v>306</v>
      </c>
      <c r="D5" s="277"/>
      <c r="E5" s="277"/>
      <c r="F5" s="277"/>
      <c r="G5" s="277"/>
      <c r="H5" s="277"/>
      <c r="I5" s="277"/>
      <c r="J5" s="277"/>
    </row>
    <row r="6" spans="2:13" ht="15">
      <c r="M6" s="275" t="s">
        <v>4</v>
      </c>
    </row>
    <row r="7" spans="2:13" s="19" customFormat="1" ht="15" customHeight="1">
      <c r="B7" s="316" t="s">
        <v>210</v>
      </c>
      <c r="C7" s="311" t="s">
        <v>18</v>
      </c>
      <c r="D7" s="305" t="s">
        <v>516</v>
      </c>
      <c r="E7" s="306"/>
      <c r="F7" s="307"/>
      <c r="G7" s="305" t="s">
        <v>517</v>
      </c>
      <c r="H7" s="306"/>
      <c r="I7" s="304" t="s">
        <v>252</v>
      </c>
      <c r="J7" s="304"/>
      <c r="K7" s="304"/>
      <c r="L7" s="304"/>
      <c r="M7" s="304"/>
    </row>
    <row r="8" spans="2:13" s="19" customFormat="1" ht="30">
      <c r="B8" s="317"/>
      <c r="C8" s="311"/>
      <c r="D8" s="276" t="s">
        <v>393</v>
      </c>
      <c r="E8" s="276" t="s">
        <v>267</v>
      </c>
      <c r="F8" s="276" t="s">
        <v>226</v>
      </c>
      <c r="G8" s="276" t="s">
        <v>393</v>
      </c>
      <c r="H8" s="276" t="s">
        <v>266</v>
      </c>
      <c r="I8" s="276" t="s">
        <v>484</v>
      </c>
      <c r="J8" s="276" t="s">
        <v>485</v>
      </c>
      <c r="K8" s="276" t="s">
        <v>486</v>
      </c>
      <c r="L8" s="276" t="s">
        <v>487</v>
      </c>
      <c r="M8" s="276" t="s">
        <v>488</v>
      </c>
    </row>
    <row r="9" spans="2:13" s="19" customFormat="1" ht="15">
      <c r="B9" s="318"/>
      <c r="C9" s="319"/>
      <c r="D9" s="276" t="s">
        <v>10</v>
      </c>
      <c r="E9" s="276" t="s">
        <v>12</v>
      </c>
      <c r="F9" s="276" t="s">
        <v>256</v>
      </c>
      <c r="G9" s="276" t="s">
        <v>10</v>
      </c>
      <c r="H9" s="276" t="s">
        <v>547</v>
      </c>
      <c r="I9" s="276" t="s">
        <v>8</v>
      </c>
      <c r="J9" s="276" t="s">
        <v>8</v>
      </c>
      <c r="K9" s="276" t="s">
        <v>8</v>
      </c>
      <c r="L9" s="276" t="s">
        <v>8</v>
      </c>
      <c r="M9" s="276" t="s">
        <v>8</v>
      </c>
    </row>
    <row r="10" spans="2:13">
      <c r="B10" s="64">
        <v>1</v>
      </c>
      <c r="C10" s="29" t="s">
        <v>188</v>
      </c>
      <c r="D10" s="148">
        <f>'F4'!F21*70%</f>
        <v>3515.4489999999996</v>
      </c>
      <c r="E10" s="279">
        <f>D10</f>
        <v>3515.4489999999996</v>
      </c>
      <c r="F10" s="279">
        <f>E10</f>
        <v>3515.4489999999996</v>
      </c>
      <c r="G10" s="134"/>
      <c r="H10" s="134">
        <f>E10+E14</f>
        <v>3566.0789376946996</v>
      </c>
      <c r="I10" s="134">
        <f>H10+H14</f>
        <v>3576.3918765315993</v>
      </c>
      <c r="J10" s="134">
        <f t="shared" ref="J10:M10" si="0">I10+I14</f>
        <v>3686.0608765315992</v>
      </c>
      <c r="K10" s="134">
        <f t="shared" si="0"/>
        <v>4142.4118765315989</v>
      </c>
      <c r="L10" s="134">
        <f t="shared" si="0"/>
        <v>4298.9318765315984</v>
      </c>
      <c r="M10" s="134">
        <f t="shared" si="0"/>
        <v>4319.9598765315986</v>
      </c>
    </row>
    <row r="11" spans="2:13">
      <c r="B11" s="23">
        <f>B10+1</f>
        <v>2</v>
      </c>
      <c r="C11" s="29" t="s">
        <v>189</v>
      </c>
      <c r="D11" s="148">
        <f>'F4'!J21</f>
        <v>759.21</v>
      </c>
      <c r="E11" s="279">
        <f>D11</f>
        <v>759.21</v>
      </c>
      <c r="F11" s="279">
        <f>E11</f>
        <v>759.21</v>
      </c>
      <c r="G11" s="134"/>
      <c r="H11" s="134">
        <f>E11+E15</f>
        <v>1021.08</v>
      </c>
      <c r="I11" s="134">
        <f>H11+H15</f>
        <v>1285.03</v>
      </c>
      <c r="J11" s="134">
        <f t="shared" ref="J11:M11" si="1">I11+I15</f>
        <v>1459.4089009098361</v>
      </c>
      <c r="K11" s="134">
        <f t="shared" si="1"/>
        <v>1641.6213018196722</v>
      </c>
      <c r="L11" s="134">
        <f t="shared" si="1"/>
        <v>1858.3476439059789</v>
      </c>
      <c r="M11" s="134">
        <f t="shared" si="1"/>
        <v>2087.6514859922854</v>
      </c>
    </row>
    <row r="12" spans="2:13" ht="15">
      <c r="B12" s="23">
        <f t="shared" ref="B12:B22" si="2">B11+1</f>
        <v>3</v>
      </c>
      <c r="C12" s="31" t="s">
        <v>190</v>
      </c>
      <c r="D12" s="280">
        <f>D10-D11</f>
        <v>2756.2389999999996</v>
      </c>
      <c r="E12" s="280">
        <f t="shared" ref="E12:M12" si="3">E10-E11</f>
        <v>2756.2389999999996</v>
      </c>
      <c r="F12" s="280">
        <f t="shared" si="3"/>
        <v>2756.2389999999996</v>
      </c>
      <c r="G12" s="280"/>
      <c r="H12" s="280">
        <f t="shared" si="3"/>
        <v>2544.9989376946996</v>
      </c>
      <c r="I12" s="280">
        <f>I10-I11</f>
        <v>2291.3618765315996</v>
      </c>
      <c r="J12" s="280">
        <f t="shared" si="3"/>
        <v>2226.6519756217631</v>
      </c>
      <c r="K12" s="280">
        <f t="shared" si="3"/>
        <v>2500.7905747119266</v>
      </c>
      <c r="L12" s="280">
        <f t="shared" si="3"/>
        <v>2440.5842326256197</v>
      </c>
      <c r="M12" s="280">
        <f t="shared" si="3"/>
        <v>2232.3083905393132</v>
      </c>
    </row>
    <row r="13" spans="2:13" ht="28.5">
      <c r="B13" s="23">
        <f t="shared" si="2"/>
        <v>4</v>
      </c>
      <c r="C13" s="78" t="s">
        <v>191</v>
      </c>
      <c r="D13" s="281"/>
      <c r="E13" s="281"/>
      <c r="F13" s="281"/>
      <c r="G13" s="281"/>
      <c r="H13" s="281"/>
      <c r="I13" s="281"/>
      <c r="J13" s="281"/>
      <c r="K13" s="281"/>
      <c r="L13" s="281"/>
      <c r="M13" s="281"/>
    </row>
    <row r="14" spans="2:13" s="35" customFormat="1" ht="28.5">
      <c r="B14" s="23">
        <f t="shared" si="2"/>
        <v>5</v>
      </c>
      <c r="C14" s="40" t="s">
        <v>431</v>
      </c>
      <c r="D14" s="281">
        <f>('F4'!G21-'F4'!H21)*70%</f>
        <v>50.630999999999993</v>
      </c>
      <c r="E14" s="279">
        <f>F3.1!H21*70%</f>
        <v>50.629937694699997</v>
      </c>
      <c r="F14" s="279">
        <f>E14</f>
        <v>50.629937694699997</v>
      </c>
      <c r="G14" s="134"/>
      <c r="H14" s="134">
        <f>'F3'!H12*0.7</f>
        <v>10.312938836899999</v>
      </c>
      <c r="I14" s="134">
        <f>'F3'!I12*0.7</f>
        <v>109.66900000000001</v>
      </c>
      <c r="J14" s="134">
        <f>'F3'!J12*0.7</f>
        <v>456.35099999999994</v>
      </c>
      <c r="K14" s="134">
        <f>'F3'!K12*0.7</f>
        <v>156.51999999999998</v>
      </c>
      <c r="L14" s="134">
        <f>'F3'!L12*0.7</f>
        <v>21.027999999999999</v>
      </c>
      <c r="M14" s="134">
        <f>'F3'!M12*0.7</f>
        <v>0</v>
      </c>
    </row>
    <row r="15" spans="2:13">
      <c r="B15" s="23">
        <f t="shared" si="2"/>
        <v>6</v>
      </c>
      <c r="C15" s="78" t="s">
        <v>196</v>
      </c>
      <c r="D15" s="282">
        <f>'F1'!F12</f>
        <v>253.4</v>
      </c>
      <c r="E15" s="282">
        <f>'F1'!G12</f>
        <v>261.87</v>
      </c>
      <c r="F15" s="282">
        <f>'F1'!H12</f>
        <v>261.87</v>
      </c>
      <c r="G15" s="282"/>
      <c r="H15" s="282">
        <f>'F1'!J12</f>
        <v>263.95</v>
      </c>
      <c r="I15" s="282">
        <f>'F1'!K12</f>
        <v>174.37890090983603</v>
      </c>
      <c r="J15" s="282">
        <f>'F1'!L12</f>
        <v>182.21240090983608</v>
      </c>
      <c r="K15" s="282">
        <f>'F1'!M12</f>
        <v>216.72634208630666</v>
      </c>
      <c r="L15" s="282">
        <f>'F1'!N12</f>
        <v>229.3038420863067</v>
      </c>
      <c r="M15" s="282">
        <f>'F1'!O12</f>
        <v>231.10624208630674</v>
      </c>
    </row>
    <row r="16" spans="2:13" ht="15">
      <c r="B16" s="23">
        <f t="shared" si="2"/>
        <v>7</v>
      </c>
      <c r="C16" s="29" t="s">
        <v>192</v>
      </c>
      <c r="D16" s="280">
        <f>D12-D13+D14-D15</f>
        <v>2553.4699999999993</v>
      </c>
      <c r="E16" s="280">
        <f t="shared" ref="E16:M16" si="4">E12-E13+E14-E15</f>
        <v>2544.9989376946996</v>
      </c>
      <c r="F16" s="280">
        <f t="shared" si="4"/>
        <v>2544.9989376946996</v>
      </c>
      <c r="G16" s="280"/>
      <c r="H16" s="280">
        <f t="shared" si="4"/>
        <v>2291.3618765315996</v>
      </c>
      <c r="I16" s="280">
        <f t="shared" si="4"/>
        <v>2226.6519756217635</v>
      </c>
      <c r="J16" s="280">
        <f t="shared" si="4"/>
        <v>2500.7905747119271</v>
      </c>
      <c r="K16" s="280">
        <f t="shared" si="4"/>
        <v>2440.5842326256197</v>
      </c>
      <c r="L16" s="280">
        <f t="shared" si="4"/>
        <v>2232.3083905393128</v>
      </c>
      <c r="M16" s="280">
        <f t="shared" si="4"/>
        <v>2001.2021484530064</v>
      </c>
    </row>
    <row r="17" spans="2:13" ht="15">
      <c r="B17" s="23">
        <f t="shared" si="2"/>
        <v>8</v>
      </c>
      <c r="C17" s="29" t="s">
        <v>193</v>
      </c>
      <c r="D17" s="280">
        <f>D10-D13+D14-D15</f>
        <v>3312.6799999999994</v>
      </c>
      <c r="E17" s="280">
        <f t="shared" ref="E17:M17" si="5">E10-E13+E14-E15</f>
        <v>3304.2089376946997</v>
      </c>
      <c r="F17" s="280">
        <f t="shared" si="5"/>
        <v>3304.2089376946997</v>
      </c>
      <c r="G17" s="280"/>
      <c r="H17" s="280">
        <f t="shared" si="5"/>
        <v>3312.4418765315995</v>
      </c>
      <c r="I17" s="280">
        <f t="shared" si="5"/>
        <v>3511.6819756217633</v>
      </c>
      <c r="J17" s="280">
        <f t="shared" si="5"/>
        <v>3960.1994756217628</v>
      </c>
      <c r="K17" s="280">
        <f t="shared" si="5"/>
        <v>4082.205534445292</v>
      </c>
      <c r="L17" s="280">
        <f t="shared" si="5"/>
        <v>4090.6560344452919</v>
      </c>
      <c r="M17" s="280">
        <f t="shared" si="5"/>
        <v>4088.8536344452918</v>
      </c>
    </row>
    <row r="18" spans="2:13" ht="15">
      <c r="B18" s="23">
        <f t="shared" si="2"/>
        <v>9</v>
      </c>
      <c r="C18" s="29" t="s">
        <v>232</v>
      </c>
      <c r="D18" s="280">
        <f>AVERAGE(D12,D16)</f>
        <v>2654.8544999999995</v>
      </c>
      <c r="E18" s="280">
        <f t="shared" ref="E18:M18" si="6">AVERAGE(E12,E16)</f>
        <v>2650.6189688473496</v>
      </c>
      <c r="F18" s="280">
        <f t="shared" si="6"/>
        <v>2650.6189688473496</v>
      </c>
      <c r="G18" s="280"/>
      <c r="H18" s="280">
        <f t="shared" si="6"/>
        <v>2418.1804071131496</v>
      </c>
      <c r="I18" s="280">
        <f t="shared" si="6"/>
        <v>2259.0069260766813</v>
      </c>
      <c r="J18" s="280">
        <f t="shared" si="6"/>
        <v>2363.7212751668449</v>
      </c>
      <c r="K18" s="280">
        <f t="shared" si="6"/>
        <v>2470.6874036687732</v>
      </c>
      <c r="L18" s="280">
        <f t="shared" si="6"/>
        <v>2336.4463115824665</v>
      </c>
      <c r="M18" s="280">
        <f t="shared" si="6"/>
        <v>2116.7552694961596</v>
      </c>
    </row>
    <row r="19" spans="2:13">
      <c r="B19" s="23">
        <f t="shared" si="2"/>
        <v>10</v>
      </c>
      <c r="C19" s="78" t="s">
        <v>231</v>
      </c>
      <c r="D19" s="283">
        <v>9.9699999999999997E-2</v>
      </c>
      <c r="E19" s="283">
        <v>9.9699999999999997E-2</v>
      </c>
      <c r="F19" s="283">
        <v>9.9699999999999997E-2</v>
      </c>
      <c r="G19" s="284"/>
      <c r="H19" s="284">
        <v>0.10299999999999999</v>
      </c>
      <c r="I19" s="284">
        <v>0.10299999999999999</v>
      </c>
      <c r="J19" s="284">
        <v>0.1031</v>
      </c>
      <c r="K19" s="284">
        <v>0.1031</v>
      </c>
      <c r="L19" s="284">
        <v>0.1031</v>
      </c>
      <c r="M19" s="284">
        <v>0.1031</v>
      </c>
    </row>
    <row r="20" spans="2:13" ht="15">
      <c r="B20" s="23">
        <f t="shared" si="2"/>
        <v>11</v>
      </c>
      <c r="C20" s="29" t="s">
        <v>307</v>
      </c>
      <c r="D20" s="280">
        <f>D18*D19</f>
        <v>264.68899364999993</v>
      </c>
      <c r="E20" s="280">
        <f>E18*E19</f>
        <v>264.26671119408076</v>
      </c>
      <c r="F20" s="280">
        <f t="shared" ref="F20:M20" si="7">F18*F19</f>
        <v>264.26671119408076</v>
      </c>
      <c r="G20" s="280"/>
      <c r="H20" s="280">
        <f t="shared" si="7"/>
        <v>249.0725819326544</v>
      </c>
      <c r="I20" s="280">
        <f t="shared" si="7"/>
        <v>232.67771338589816</v>
      </c>
      <c r="J20" s="280">
        <f t="shared" si="7"/>
        <v>243.6996634697017</v>
      </c>
      <c r="K20" s="280">
        <f t="shared" si="7"/>
        <v>254.72787131825052</v>
      </c>
      <c r="L20" s="280">
        <f t="shared" si="7"/>
        <v>240.88761472415229</v>
      </c>
      <c r="M20" s="280">
        <f t="shared" si="7"/>
        <v>218.23746828505404</v>
      </c>
    </row>
    <row r="21" spans="2:13">
      <c r="B21" s="23">
        <f t="shared" si="2"/>
        <v>12</v>
      </c>
      <c r="C21" s="29" t="s">
        <v>309</v>
      </c>
      <c r="D21" s="281"/>
      <c r="E21" s="281"/>
      <c r="F21" s="281"/>
      <c r="G21" s="281"/>
      <c r="H21" s="281"/>
      <c r="I21" s="281"/>
      <c r="J21" s="281"/>
      <c r="K21" s="281"/>
      <c r="L21" s="281"/>
      <c r="M21" s="281"/>
    </row>
    <row r="22" spans="2:13" ht="15">
      <c r="B22" s="23">
        <f t="shared" si="2"/>
        <v>13</v>
      </c>
      <c r="C22" s="29" t="s">
        <v>310</v>
      </c>
      <c r="D22" s="280">
        <v>275.05</v>
      </c>
      <c r="E22" s="280">
        <f t="shared" ref="E22:M22" si="8">E20+E21</f>
        <v>264.26671119408076</v>
      </c>
      <c r="F22" s="280">
        <f t="shared" si="8"/>
        <v>264.26671119408076</v>
      </c>
      <c r="G22" s="280">
        <v>263.85000000000002</v>
      </c>
      <c r="H22" s="280">
        <f t="shared" si="8"/>
        <v>249.0725819326544</v>
      </c>
      <c r="I22" s="280">
        <f t="shared" si="8"/>
        <v>232.67771338589816</v>
      </c>
      <c r="J22" s="280">
        <f t="shared" si="8"/>
        <v>243.6996634697017</v>
      </c>
      <c r="K22" s="280">
        <f t="shared" si="8"/>
        <v>254.72787131825052</v>
      </c>
      <c r="L22" s="280">
        <f t="shared" si="8"/>
        <v>240.88761472415229</v>
      </c>
      <c r="M22" s="280">
        <f t="shared" si="8"/>
        <v>218.23746828505404</v>
      </c>
    </row>
    <row r="23" spans="2:13">
      <c r="B23" s="37"/>
      <c r="C23" s="5" t="s">
        <v>269</v>
      </c>
    </row>
    <row r="24" spans="2:13">
      <c r="C24" s="5" t="s">
        <v>432</v>
      </c>
    </row>
    <row r="25" spans="2:13" ht="8.25" customHeight="1">
      <c r="B25" s="36" t="s">
        <v>62</v>
      </c>
      <c r="C25" s="26" t="s">
        <v>308</v>
      </c>
    </row>
    <row r="26" spans="2:13" ht="0.75" hidden="1" customHeight="1">
      <c r="J26" s="275" t="s">
        <v>4</v>
      </c>
    </row>
    <row r="27" spans="2:13" ht="1.5" customHeight="1">
      <c r="B27" s="316" t="s">
        <v>210</v>
      </c>
      <c r="C27" s="311" t="s">
        <v>18</v>
      </c>
      <c r="D27" s="272" t="s">
        <v>573</v>
      </c>
      <c r="E27" s="272" t="s">
        <v>574</v>
      </c>
      <c r="F27" s="273"/>
      <c r="G27" s="274"/>
      <c r="H27" s="333"/>
      <c r="I27" s="333"/>
      <c r="J27" s="334"/>
    </row>
    <row r="28" spans="2:13" ht="30">
      <c r="B28" s="317"/>
      <c r="C28" s="311"/>
      <c r="D28" s="276" t="s">
        <v>575</v>
      </c>
      <c r="E28" s="276" t="s">
        <v>576</v>
      </c>
      <c r="F28" s="276" t="s">
        <v>568</v>
      </c>
      <c r="G28" s="276" t="s">
        <v>569</v>
      </c>
      <c r="H28" s="276" t="s">
        <v>570</v>
      </c>
      <c r="I28" s="276" t="s">
        <v>571</v>
      </c>
      <c r="J28" s="276" t="s">
        <v>572</v>
      </c>
    </row>
    <row r="29" spans="2:13" ht="15">
      <c r="B29" s="318"/>
      <c r="C29" s="319"/>
      <c r="D29" s="276" t="s">
        <v>12</v>
      </c>
      <c r="E29" s="276" t="s">
        <v>5</v>
      </c>
      <c r="F29" s="276" t="s">
        <v>8</v>
      </c>
      <c r="G29" s="276" t="s">
        <v>8</v>
      </c>
      <c r="H29" s="276" t="s">
        <v>8</v>
      </c>
      <c r="I29" s="276" t="s">
        <v>8</v>
      </c>
      <c r="J29" s="276" t="s">
        <v>8</v>
      </c>
    </row>
    <row r="30" spans="2:13" ht="15">
      <c r="B30" s="23">
        <v>1</v>
      </c>
      <c r="C30" s="42" t="s">
        <v>565</v>
      </c>
      <c r="D30" s="278"/>
      <c r="E30" s="278"/>
      <c r="F30" s="278"/>
      <c r="G30" s="278"/>
      <c r="H30" s="278"/>
      <c r="I30" s="278"/>
      <c r="J30" s="278"/>
    </row>
    <row r="31" spans="2:13">
      <c r="B31" s="29"/>
      <c r="C31" s="29" t="s">
        <v>13</v>
      </c>
      <c r="D31" s="279">
        <v>3238.33</v>
      </c>
      <c r="E31" s="279">
        <v>2904.75</v>
      </c>
      <c r="F31" s="279">
        <v>2675.28</v>
      </c>
      <c r="G31" s="279">
        <v>2306.2700000000004</v>
      </c>
      <c r="H31" s="279">
        <v>1937.2600000000004</v>
      </c>
      <c r="I31" s="279">
        <v>1568.2500000000005</v>
      </c>
      <c r="J31" s="279">
        <v>1199.2400000000005</v>
      </c>
    </row>
    <row r="32" spans="2:13">
      <c r="B32" s="29"/>
      <c r="C32" s="29" t="s">
        <v>177</v>
      </c>
      <c r="D32" s="279">
        <v>16.78</v>
      </c>
      <c r="E32" s="279">
        <v>126.82</v>
      </c>
      <c r="F32" s="279">
        <v>0</v>
      </c>
      <c r="G32" s="279">
        <v>0</v>
      </c>
      <c r="H32" s="279">
        <v>0</v>
      </c>
      <c r="I32" s="279">
        <v>0</v>
      </c>
      <c r="J32" s="279">
        <v>0</v>
      </c>
    </row>
    <row r="33" spans="2:10">
      <c r="B33" s="29"/>
      <c r="C33" s="29" t="s">
        <v>14</v>
      </c>
      <c r="D33" s="279">
        <v>350.36</v>
      </c>
      <c r="E33" s="279">
        <v>356.29</v>
      </c>
      <c r="F33" s="279">
        <v>369.01</v>
      </c>
      <c r="G33" s="279">
        <v>369.01</v>
      </c>
      <c r="H33" s="279">
        <v>369.01</v>
      </c>
      <c r="I33" s="279">
        <v>369.01</v>
      </c>
      <c r="J33" s="279">
        <v>369.01</v>
      </c>
    </row>
    <row r="34" spans="2:10" ht="15">
      <c r="B34" s="29"/>
      <c r="C34" s="29" t="s">
        <v>15</v>
      </c>
      <c r="D34" s="135">
        <v>2904.75</v>
      </c>
      <c r="E34" s="135">
        <v>2675.28</v>
      </c>
      <c r="F34" s="135">
        <v>2306.2700000000004</v>
      </c>
      <c r="G34" s="135">
        <v>1937.2600000000004</v>
      </c>
      <c r="H34" s="135">
        <v>1568.2500000000005</v>
      </c>
      <c r="I34" s="135">
        <v>1199.2400000000005</v>
      </c>
      <c r="J34" s="135">
        <v>830.23000000000047</v>
      </c>
    </row>
    <row r="35" spans="2:10" ht="15">
      <c r="B35" s="29"/>
      <c r="C35" s="29" t="s">
        <v>233</v>
      </c>
      <c r="D35" s="135">
        <v>3078.55</v>
      </c>
      <c r="E35" s="135">
        <v>2724.7572815533977</v>
      </c>
      <c r="F35" s="135">
        <v>2506.1165048543685</v>
      </c>
      <c r="G35" s="135">
        <v>2137.1844660194174</v>
      </c>
      <c r="H35" s="135">
        <v>1768.1553398058252</v>
      </c>
      <c r="I35" s="135">
        <v>1399.1262135922329</v>
      </c>
      <c r="J35" s="135">
        <v>1030.0970873786407</v>
      </c>
    </row>
    <row r="36" spans="2:10">
      <c r="B36" s="29"/>
      <c r="C36" s="29" t="s">
        <v>16</v>
      </c>
      <c r="D36" s="279">
        <v>9.9700000000000006</v>
      </c>
      <c r="E36" s="279">
        <v>10.3</v>
      </c>
      <c r="F36" s="279">
        <v>10.3</v>
      </c>
      <c r="G36" s="279">
        <v>10.3</v>
      </c>
      <c r="H36" s="279">
        <v>10.3</v>
      </c>
      <c r="I36" s="279">
        <v>10.3</v>
      </c>
      <c r="J36" s="279">
        <v>10.3</v>
      </c>
    </row>
    <row r="37" spans="2:10" ht="15">
      <c r="B37" s="29"/>
      <c r="C37" s="29" t="s">
        <v>307</v>
      </c>
      <c r="D37" s="135">
        <v>306.83</v>
      </c>
      <c r="E37" s="135">
        <v>280.64999999999998</v>
      </c>
      <c r="F37" s="135">
        <v>258.13</v>
      </c>
      <c r="G37" s="135">
        <v>220.13</v>
      </c>
      <c r="H37" s="135">
        <v>182.12</v>
      </c>
      <c r="I37" s="135">
        <v>144.11000000000001</v>
      </c>
      <c r="J37" s="135">
        <v>106.1</v>
      </c>
    </row>
    <row r="38" spans="2:10">
      <c r="B38" s="29"/>
      <c r="C38" s="29" t="s">
        <v>309</v>
      </c>
      <c r="D38" s="279">
        <v>0</v>
      </c>
      <c r="E38" s="279">
        <v>0</v>
      </c>
      <c r="F38" s="279">
        <v>0</v>
      </c>
      <c r="G38" s="279">
        <v>0</v>
      </c>
      <c r="H38" s="279">
        <v>0</v>
      </c>
      <c r="I38" s="279">
        <v>0</v>
      </c>
      <c r="J38" s="279">
        <v>0</v>
      </c>
    </row>
    <row r="39" spans="2:10" ht="15">
      <c r="B39" s="29"/>
      <c r="C39" s="29" t="s">
        <v>310</v>
      </c>
      <c r="D39" s="135">
        <v>306.83</v>
      </c>
      <c r="E39" s="135">
        <v>280.64999999999998</v>
      </c>
      <c r="F39" s="135">
        <v>258.13</v>
      </c>
      <c r="G39" s="135">
        <v>220.13</v>
      </c>
      <c r="H39" s="135">
        <v>182.12</v>
      </c>
      <c r="I39" s="135">
        <v>144.11000000000001</v>
      </c>
      <c r="J39" s="135">
        <v>106.1</v>
      </c>
    </row>
    <row r="40" spans="2:10" ht="15">
      <c r="B40" s="23">
        <v>2</v>
      </c>
      <c r="C40" s="42" t="s">
        <v>566</v>
      </c>
      <c r="D40" s="279"/>
      <c r="E40" s="279"/>
      <c r="F40" s="279"/>
      <c r="G40" s="279"/>
      <c r="H40" s="279"/>
      <c r="I40" s="279"/>
      <c r="J40" s="279"/>
    </row>
    <row r="41" spans="2:10">
      <c r="B41" s="29"/>
      <c r="C41" s="29" t="s">
        <v>13</v>
      </c>
      <c r="D41" s="279">
        <v>0</v>
      </c>
      <c r="E41" s="279">
        <v>0</v>
      </c>
      <c r="F41" s="279">
        <v>0</v>
      </c>
      <c r="G41" s="279">
        <v>386.94000000000005</v>
      </c>
      <c r="H41" s="279">
        <v>444.98</v>
      </c>
      <c r="I41" s="279">
        <v>360.22</v>
      </c>
      <c r="J41" s="279">
        <v>275.46000000000004</v>
      </c>
    </row>
    <row r="42" spans="2:10">
      <c r="B42" s="29"/>
      <c r="C42" s="29" t="s">
        <v>177</v>
      </c>
      <c r="D42" s="279">
        <v>0</v>
      </c>
      <c r="E42" s="279">
        <v>0</v>
      </c>
      <c r="F42" s="279">
        <v>419.72</v>
      </c>
      <c r="G42" s="279">
        <v>139.91</v>
      </c>
      <c r="H42" s="279">
        <v>0</v>
      </c>
      <c r="I42" s="279">
        <v>0</v>
      </c>
      <c r="J42" s="279">
        <v>0</v>
      </c>
    </row>
    <row r="43" spans="2:10">
      <c r="B43" s="29"/>
      <c r="C43" s="29" t="s">
        <v>14</v>
      </c>
      <c r="D43" s="279">
        <v>0</v>
      </c>
      <c r="E43" s="279">
        <v>0</v>
      </c>
      <c r="F43" s="279">
        <v>32.78</v>
      </c>
      <c r="G43" s="279">
        <v>81.87</v>
      </c>
      <c r="H43" s="279">
        <v>84.76</v>
      </c>
      <c r="I43" s="279">
        <v>84.76</v>
      </c>
      <c r="J43" s="279">
        <v>84.76</v>
      </c>
    </row>
    <row r="44" spans="2:10" ht="15">
      <c r="B44" s="29"/>
      <c r="C44" s="29" t="s">
        <v>15</v>
      </c>
      <c r="D44" s="135">
        <v>0</v>
      </c>
      <c r="E44" s="135">
        <v>0</v>
      </c>
      <c r="F44" s="135">
        <v>386.94000000000005</v>
      </c>
      <c r="G44" s="135">
        <v>444.98</v>
      </c>
      <c r="H44" s="135">
        <v>360.22</v>
      </c>
      <c r="I44" s="135">
        <v>275.46000000000004</v>
      </c>
      <c r="J44" s="135">
        <v>190.70000000000005</v>
      </c>
    </row>
    <row r="45" spans="2:10" ht="15">
      <c r="B45" s="29"/>
      <c r="C45" s="29" t="s">
        <v>233</v>
      </c>
      <c r="D45" s="135">
        <v>0</v>
      </c>
      <c r="E45" s="135">
        <v>0</v>
      </c>
      <c r="F45" s="135">
        <v>200</v>
      </c>
      <c r="G45" s="135">
        <v>467.1455938697319</v>
      </c>
      <c r="H45" s="135">
        <v>406.13026819923368</v>
      </c>
      <c r="I45" s="135">
        <v>321.36015325670496</v>
      </c>
      <c r="J45" s="135">
        <v>236.59003831417627</v>
      </c>
    </row>
    <row r="46" spans="2:10">
      <c r="B46" s="29"/>
      <c r="C46" s="29" t="s">
        <v>16</v>
      </c>
      <c r="D46" s="279">
        <v>0</v>
      </c>
      <c r="E46" s="279">
        <v>0</v>
      </c>
      <c r="F46" s="279">
        <v>10.44</v>
      </c>
      <c r="G46" s="279">
        <v>10.44</v>
      </c>
      <c r="H46" s="279">
        <v>10.44</v>
      </c>
      <c r="I46" s="279">
        <v>10.44</v>
      </c>
      <c r="J46" s="279">
        <v>10.44</v>
      </c>
    </row>
    <row r="47" spans="2:10" ht="15">
      <c r="B47" s="29"/>
      <c r="C47" s="29" t="s">
        <v>307</v>
      </c>
      <c r="D47" s="135">
        <v>0</v>
      </c>
      <c r="E47" s="135">
        <v>0</v>
      </c>
      <c r="F47" s="135">
        <v>20.88</v>
      </c>
      <c r="G47" s="135">
        <v>48.77</v>
      </c>
      <c r="H47" s="135">
        <v>42.4</v>
      </c>
      <c r="I47" s="135">
        <v>33.549999999999997</v>
      </c>
      <c r="J47" s="135">
        <v>24.7</v>
      </c>
    </row>
    <row r="48" spans="2:10">
      <c r="B48" s="29"/>
      <c r="C48" s="29" t="s">
        <v>309</v>
      </c>
      <c r="D48" s="279">
        <v>0</v>
      </c>
      <c r="E48" s="279">
        <v>0</v>
      </c>
      <c r="F48" s="279">
        <v>0</v>
      </c>
      <c r="G48" s="279">
        <v>0</v>
      </c>
      <c r="H48" s="279">
        <v>0</v>
      </c>
      <c r="I48" s="279">
        <v>0</v>
      </c>
      <c r="J48" s="279">
        <v>0</v>
      </c>
    </row>
    <row r="49" spans="2:10" ht="15">
      <c r="B49" s="29"/>
      <c r="C49" s="29" t="s">
        <v>310</v>
      </c>
      <c r="D49" s="135">
        <v>0</v>
      </c>
      <c r="E49" s="135">
        <v>0</v>
      </c>
      <c r="F49" s="135">
        <v>20.88</v>
      </c>
      <c r="G49" s="135">
        <v>48.77</v>
      </c>
      <c r="H49" s="135">
        <v>42.4</v>
      </c>
      <c r="I49" s="135">
        <v>33.549999999999997</v>
      </c>
      <c r="J49" s="135">
        <v>24.7</v>
      </c>
    </row>
    <row r="50" spans="2:10" ht="15">
      <c r="B50" s="29">
        <v>3</v>
      </c>
      <c r="C50" s="42" t="s">
        <v>567</v>
      </c>
      <c r="D50" s="279"/>
      <c r="E50" s="279"/>
      <c r="F50" s="279"/>
      <c r="G50" s="279"/>
      <c r="H50" s="279"/>
      <c r="I50" s="279"/>
      <c r="J50" s="279"/>
    </row>
    <row r="51" spans="2:10" ht="15">
      <c r="B51" s="23"/>
      <c r="C51" s="42" t="s">
        <v>13</v>
      </c>
      <c r="D51" s="279">
        <v>0</v>
      </c>
      <c r="E51" s="279">
        <v>0</v>
      </c>
      <c r="F51" s="279">
        <v>200</v>
      </c>
      <c r="G51" s="279">
        <v>278.22000000000003</v>
      </c>
      <c r="H51" s="279">
        <v>271.26000000000005</v>
      </c>
      <c r="I51" s="279">
        <v>243.44000000000005</v>
      </c>
      <c r="J51" s="279">
        <v>215.62000000000006</v>
      </c>
    </row>
    <row r="52" spans="2:10" ht="15">
      <c r="B52" s="29"/>
      <c r="C52" s="29" t="s">
        <v>177</v>
      </c>
      <c r="D52" s="135">
        <v>0</v>
      </c>
      <c r="E52" s="135">
        <v>200</v>
      </c>
      <c r="F52" s="135">
        <v>78.22</v>
      </c>
      <c r="G52" s="135">
        <v>0</v>
      </c>
      <c r="H52" s="135">
        <v>0</v>
      </c>
      <c r="I52" s="135">
        <v>0</v>
      </c>
      <c r="J52" s="135">
        <v>0</v>
      </c>
    </row>
    <row r="53" spans="2:10" ht="15">
      <c r="B53" s="29"/>
      <c r="C53" s="29" t="s">
        <v>14</v>
      </c>
      <c r="D53" s="135">
        <v>0</v>
      </c>
      <c r="E53" s="135">
        <v>0</v>
      </c>
      <c r="F53" s="135">
        <v>0</v>
      </c>
      <c r="G53" s="135">
        <v>6.96</v>
      </c>
      <c r="H53" s="135">
        <v>27.82</v>
      </c>
      <c r="I53" s="135">
        <v>27.82</v>
      </c>
      <c r="J53" s="135">
        <v>27.82</v>
      </c>
    </row>
    <row r="54" spans="2:10" ht="15">
      <c r="B54" s="29"/>
      <c r="C54" s="29" t="s">
        <v>15</v>
      </c>
      <c r="D54" s="135">
        <v>0</v>
      </c>
      <c r="E54" s="135">
        <v>200</v>
      </c>
      <c r="F54" s="135">
        <v>278.22000000000003</v>
      </c>
      <c r="G54" s="135">
        <v>271.26000000000005</v>
      </c>
      <c r="H54" s="135">
        <v>243.44000000000005</v>
      </c>
      <c r="I54" s="135">
        <v>215.62000000000006</v>
      </c>
      <c r="J54" s="135">
        <v>187.80000000000007</v>
      </c>
    </row>
    <row r="55" spans="2:10" ht="15">
      <c r="B55" s="29"/>
      <c r="C55" s="29" t="s">
        <v>233</v>
      </c>
      <c r="D55" s="135">
        <v>0</v>
      </c>
      <c r="E55" s="135">
        <v>41.666666666666671</v>
      </c>
      <c r="F55" s="135">
        <v>261.96078431372547</v>
      </c>
      <c r="G55" s="135">
        <v>277.05882352941182</v>
      </c>
      <c r="H55" s="135">
        <v>256.1764705882353</v>
      </c>
      <c r="I55" s="135">
        <v>228.33333333333331</v>
      </c>
      <c r="J55" s="135">
        <v>200.58823529411768</v>
      </c>
    </row>
    <row r="56" spans="2:10" ht="15">
      <c r="B56" s="29"/>
      <c r="C56" s="29" t="s">
        <v>16</v>
      </c>
      <c r="D56" s="135">
        <v>0</v>
      </c>
      <c r="E56" s="135">
        <v>10.199999999999999</v>
      </c>
      <c r="F56" s="135">
        <v>10.199999999999999</v>
      </c>
      <c r="G56" s="135">
        <v>10.199999999999999</v>
      </c>
      <c r="H56" s="135">
        <v>10.199999999999999</v>
      </c>
      <c r="I56" s="135">
        <v>10.199999999999999</v>
      </c>
      <c r="J56" s="135">
        <v>10.199999999999999</v>
      </c>
    </row>
    <row r="57" spans="2:10" ht="15">
      <c r="B57" s="29"/>
      <c r="C57" s="29" t="s">
        <v>307</v>
      </c>
      <c r="D57" s="135">
        <v>0</v>
      </c>
      <c r="E57" s="135">
        <v>4.25</v>
      </c>
      <c r="F57" s="135">
        <v>26.72</v>
      </c>
      <c r="G57" s="135">
        <v>28.26</v>
      </c>
      <c r="H57" s="135">
        <v>26.13</v>
      </c>
      <c r="I57" s="135">
        <v>23.29</v>
      </c>
      <c r="J57" s="135">
        <v>20.46</v>
      </c>
    </row>
    <row r="58" spans="2:10" ht="15">
      <c r="B58" s="29"/>
      <c r="C58" s="29" t="s">
        <v>309</v>
      </c>
      <c r="D58" s="135">
        <v>0</v>
      </c>
      <c r="E58" s="135">
        <v>0</v>
      </c>
      <c r="F58" s="135">
        <v>0</v>
      </c>
      <c r="G58" s="135">
        <v>0</v>
      </c>
      <c r="H58" s="135">
        <v>0</v>
      </c>
      <c r="I58" s="135">
        <v>0</v>
      </c>
      <c r="J58" s="135">
        <v>0</v>
      </c>
    </row>
    <row r="59" spans="2:10" ht="15">
      <c r="B59" s="29"/>
      <c r="C59" s="29" t="s">
        <v>310</v>
      </c>
      <c r="D59" s="135">
        <v>0</v>
      </c>
      <c r="E59" s="135">
        <v>4.25</v>
      </c>
      <c r="F59" s="135">
        <v>26.72</v>
      </c>
      <c r="G59" s="135">
        <v>28.26</v>
      </c>
      <c r="H59" s="135">
        <v>26.13</v>
      </c>
      <c r="I59" s="135">
        <v>23.29</v>
      </c>
      <c r="J59" s="135">
        <v>20.46</v>
      </c>
    </row>
    <row r="60" spans="2:10" ht="15">
      <c r="B60" s="29"/>
      <c r="C60" s="42" t="s">
        <v>139</v>
      </c>
      <c r="D60" s="135"/>
      <c r="E60" s="135"/>
      <c r="F60" s="135"/>
      <c r="G60" s="135"/>
      <c r="H60" s="135"/>
      <c r="I60" s="135"/>
      <c r="J60" s="135"/>
    </row>
    <row r="61" spans="2:10">
      <c r="B61" s="271"/>
      <c r="C61" s="271" t="s">
        <v>13</v>
      </c>
      <c r="D61" s="279">
        <v>3238.33</v>
      </c>
      <c r="E61" s="279">
        <v>2904.75</v>
      </c>
      <c r="F61" s="279">
        <v>2875.28</v>
      </c>
      <c r="G61" s="279">
        <v>2971.4300000000003</v>
      </c>
      <c r="H61" s="279">
        <v>2653.5000000000009</v>
      </c>
      <c r="I61" s="279">
        <v>2171.9100000000008</v>
      </c>
      <c r="J61" s="279">
        <v>1690.3200000000006</v>
      </c>
    </row>
    <row r="62" spans="2:10">
      <c r="B62" s="271"/>
      <c r="C62" s="271" t="s">
        <v>177</v>
      </c>
      <c r="D62" s="279">
        <v>16.78</v>
      </c>
      <c r="E62" s="279">
        <v>326.82</v>
      </c>
      <c r="F62" s="279">
        <v>497.94000000000005</v>
      </c>
      <c r="G62" s="279">
        <v>139.91</v>
      </c>
      <c r="H62" s="279">
        <v>0</v>
      </c>
      <c r="I62" s="279">
        <v>0</v>
      </c>
      <c r="J62" s="279">
        <v>0</v>
      </c>
    </row>
    <row r="63" spans="2:10">
      <c r="B63" s="271"/>
      <c r="C63" s="271" t="s">
        <v>14</v>
      </c>
      <c r="D63" s="279">
        <v>350.36</v>
      </c>
      <c r="E63" s="279">
        <v>356.29</v>
      </c>
      <c r="F63" s="279">
        <v>401.78999999999996</v>
      </c>
      <c r="G63" s="279">
        <v>457.84</v>
      </c>
      <c r="H63" s="279">
        <v>481.59</v>
      </c>
      <c r="I63" s="279">
        <v>481.59</v>
      </c>
      <c r="J63" s="279">
        <v>481.59</v>
      </c>
    </row>
    <row r="64" spans="2:10">
      <c r="B64" s="271"/>
      <c r="C64" s="271" t="s">
        <v>15</v>
      </c>
      <c r="D64" s="279">
        <v>2904.75</v>
      </c>
      <c r="E64" s="279">
        <v>2875.28</v>
      </c>
      <c r="F64" s="279">
        <v>2971.4300000000003</v>
      </c>
      <c r="G64" s="279">
        <v>2653.5</v>
      </c>
      <c r="H64" s="279">
        <v>2171.9100000000008</v>
      </c>
      <c r="I64" s="279">
        <v>1690.3200000000008</v>
      </c>
      <c r="J64" s="279">
        <v>1208.7300000000007</v>
      </c>
    </row>
    <row r="65" spans="2:10">
      <c r="B65" s="271"/>
      <c r="C65" s="271" t="s">
        <v>233</v>
      </c>
      <c r="D65" s="279">
        <v>3078.55</v>
      </c>
      <c r="E65" s="279">
        <v>2766.4239482200642</v>
      </c>
      <c r="F65" s="279">
        <v>2968.077289168094</v>
      </c>
      <c r="G65" s="279">
        <v>2881.3888834185609</v>
      </c>
      <c r="H65" s="279">
        <v>2430.4620785932939</v>
      </c>
      <c r="I65" s="279">
        <v>1948.8197001822712</v>
      </c>
      <c r="J65" s="279">
        <v>1467.2753609869346</v>
      </c>
    </row>
    <row r="66" spans="2:10">
      <c r="B66" s="271"/>
      <c r="C66" s="271" t="s">
        <v>16</v>
      </c>
      <c r="D66" s="279">
        <v>9.9667051046759028</v>
      </c>
      <c r="E66" s="279">
        <v>10.298493843769194</v>
      </c>
      <c r="F66" s="279">
        <v>10.30060777445898</v>
      </c>
      <c r="G66" s="279">
        <v>10.313082059490734</v>
      </c>
      <c r="H66" s="279">
        <v>10.312853765859682</v>
      </c>
      <c r="I66" s="279">
        <v>10.311369491041443</v>
      </c>
      <c r="J66" s="279">
        <v>10.308903428887257</v>
      </c>
    </row>
    <row r="67" spans="2:10">
      <c r="B67" s="271"/>
      <c r="C67" s="271" t="s">
        <v>307</v>
      </c>
      <c r="D67" s="279">
        <v>306.83</v>
      </c>
      <c r="E67" s="279">
        <v>284.89999999999998</v>
      </c>
      <c r="F67" s="279">
        <v>305.73</v>
      </c>
      <c r="G67" s="279">
        <v>297.15999999999997</v>
      </c>
      <c r="H67" s="279">
        <v>250.65</v>
      </c>
      <c r="I67" s="279">
        <v>200.95000000000002</v>
      </c>
      <c r="J67" s="279">
        <v>151.26</v>
      </c>
    </row>
    <row r="68" spans="2:10">
      <c r="B68" s="271"/>
      <c r="C68" s="271" t="s">
        <v>309</v>
      </c>
      <c r="D68" s="279">
        <v>0</v>
      </c>
      <c r="E68" s="279">
        <v>0</v>
      </c>
      <c r="F68" s="279">
        <v>0</v>
      </c>
      <c r="G68" s="279">
        <v>0</v>
      </c>
      <c r="H68" s="279">
        <v>0</v>
      </c>
      <c r="I68" s="279">
        <v>0</v>
      </c>
      <c r="J68" s="279">
        <v>0</v>
      </c>
    </row>
    <row r="69" spans="2:10" ht="15">
      <c r="B69" s="271"/>
      <c r="C69" s="42" t="s">
        <v>310</v>
      </c>
      <c r="D69" s="278">
        <v>306.83</v>
      </c>
      <c r="E69" s="278">
        <v>284.89999999999998</v>
      </c>
      <c r="F69" s="278">
        <v>305.73</v>
      </c>
      <c r="G69" s="278">
        <v>297.15999999999997</v>
      </c>
      <c r="H69" s="278">
        <v>250.65</v>
      </c>
      <c r="I69" s="278">
        <v>200.95000000000002</v>
      </c>
      <c r="J69" s="278">
        <v>151.26</v>
      </c>
    </row>
  </sheetData>
  <mergeCells count="11">
    <mergeCell ref="B2:M2"/>
    <mergeCell ref="B3:M3"/>
    <mergeCell ref="B4:M4"/>
    <mergeCell ref="H27:J27"/>
    <mergeCell ref="B7:B9"/>
    <mergeCell ref="C7:C9"/>
    <mergeCell ref="D7:F7"/>
    <mergeCell ref="G7:H7"/>
    <mergeCell ref="I7:M7"/>
    <mergeCell ref="B27:B29"/>
    <mergeCell ref="C27:C29"/>
  </mergeCells>
  <pageMargins left="0" right="0" top="0" bottom="0" header="0.23622047244094491" footer="0.23622047244094491"/>
  <pageSetup paperSize="9" scale="54" fitToHeight="0" orientation="landscape" r:id="rId1"/>
  <headerFooter alignWithMargins="0">
    <oddHeader>&amp;F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23"/>
  <sheetViews>
    <sheetView showGridLines="0" zoomScale="80" zoomScaleNormal="80" zoomScaleSheetLayoutView="90" workbookViewId="0">
      <selection activeCell="K30" sqref="K30"/>
    </sheetView>
  </sheetViews>
  <sheetFormatPr defaultColWidth="9.28515625" defaultRowHeight="15"/>
  <cols>
    <col min="1" max="1" width="4.28515625" style="195" customWidth="1"/>
    <col min="2" max="2" width="6.28515625" style="195" customWidth="1"/>
    <col min="3" max="3" width="35.5703125" style="195" customWidth="1"/>
    <col min="4" max="4" width="13.7109375" style="195" bestFit="1" customWidth="1"/>
    <col min="5" max="5" width="12.5703125" style="195" bestFit="1" customWidth="1"/>
    <col min="6" max="6" width="13.42578125" style="195" bestFit="1" customWidth="1"/>
    <col min="7" max="7" width="13.7109375" style="195" bestFit="1" customWidth="1"/>
    <col min="8" max="8" width="13.7109375" style="195" customWidth="1"/>
    <col min="9" max="9" width="12.7109375" style="195" bestFit="1" customWidth="1"/>
    <col min="10" max="10" width="13.7109375" style="195" bestFit="1" customWidth="1"/>
    <col min="11" max="13" width="11.7109375" style="195" bestFit="1" customWidth="1"/>
    <col min="14" max="14" width="11.7109375" style="195" hidden="1" customWidth="1"/>
    <col min="15" max="16" width="11.7109375" style="195" bestFit="1" customWidth="1"/>
    <col min="17" max="16384" width="9.28515625" style="195"/>
  </cols>
  <sheetData>
    <row r="1" spans="2:14" ht="15.75">
      <c r="B1" s="230"/>
    </row>
    <row r="2" spans="2:14" ht="15.75">
      <c r="B2" s="285" t="s">
        <v>543</v>
      </c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</row>
    <row r="3" spans="2:14" ht="15.75">
      <c r="B3" s="285" t="s">
        <v>515</v>
      </c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</row>
    <row r="4" spans="2:14" ht="15.75">
      <c r="B4" s="335" t="s">
        <v>560</v>
      </c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</row>
    <row r="5" spans="2:14" ht="15.75">
      <c r="B5" s="77"/>
      <c r="C5" s="230"/>
      <c r="D5" s="231"/>
      <c r="E5" s="231"/>
      <c r="F5" s="231"/>
      <c r="G5" s="231"/>
      <c r="H5" s="231"/>
      <c r="I5" s="231"/>
      <c r="J5" s="231"/>
    </row>
    <row r="6" spans="2:14" ht="15.75">
      <c r="M6" s="7" t="s">
        <v>4</v>
      </c>
    </row>
    <row r="7" spans="2:14" s="6" customFormat="1" ht="15" customHeight="1">
      <c r="B7" s="292" t="s">
        <v>210</v>
      </c>
      <c r="C7" s="295" t="s">
        <v>18</v>
      </c>
      <c r="D7" s="299" t="s">
        <v>482</v>
      </c>
      <c r="E7" s="300"/>
      <c r="F7" s="301"/>
      <c r="G7" s="299" t="s">
        <v>483</v>
      </c>
      <c r="H7" s="300"/>
      <c r="I7" s="336" t="s">
        <v>252</v>
      </c>
      <c r="J7" s="336"/>
      <c r="K7" s="336"/>
      <c r="L7" s="336"/>
      <c r="M7" s="336"/>
    </row>
    <row r="8" spans="2:14" s="6" customFormat="1" ht="47.25">
      <c r="B8" s="293"/>
      <c r="C8" s="295"/>
      <c r="D8" s="196" t="s">
        <v>393</v>
      </c>
      <c r="E8" s="196" t="s">
        <v>267</v>
      </c>
      <c r="F8" s="196" t="s">
        <v>226</v>
      </c>
      <c r="G8" s="196" t="s">
        <v>393</v>
      </c>
      <c r="H8" s="196" t="s">
        <v>266</v>
      </c>
      <c r="I8" s="196" t="s">
        <v>484</v>
      </c>
      <c r="J8" s="196" t="s">
        <v>485</v>
      </c>
      <c r="K8" s="196" t="s">
        <v>486</v>
      </c>
      <c r="L8" s="196" t="s">
        <v>487</v>
      </c>
      <c r="M8" s="196" t="s">
        <v>488</v>
      </c>
    </row>
    <row r="9" spans="2:14" s="6" customFormat="1" ht="15.75">
      <c r="B9" s="294"/>
      <c r="C9" s="296"/>
      <c r="D9" s="196" t="s">
        <v>10</v>
      </c>
      <c r="E9" s="196" t="s">
        <v>12</v>
      </c>
      <c r="F9" s="196" t="s">
        <v>256</v>
      </c>
      <c r="G9" s="196" t="s">
        <v>10</v>
      </c>
      <c r="H9" s="196" t="s">
        <v>547</v>
      </c>
      <c r="I9" s="196" t="s">
        <v>8</v>
      </c>
      <c r="J9" s="196" t="s">
        <v>8</v>
      </c>
      <c r="K9" s="196" t="s">
        <v>8</v>
      </c>
      <c r="L9" s="196" t="s">
        <v>8</v>
      </c>
      <c r="M9" s="196" t="s">
        <v>8</v>
      </c>
    </row>
    <row r="10" spans="2:14">
      <c r="B10" s="232">
        <v>1</v>
      </c>
      <c r="C10" s="233" t="s">
        <v>311</v>
      </c>
      <c r="D10" s="234">
        <f>'F10'!E23*'F12'!E17*30/365/10</f>
        <v>100.35587027811876</v>
      </c>
      <c r="E10" s="234">
        <f>'F10'!F23*'F12'!F17*30/365/10</f>
        <v>99.988944990426944</v>
      </c>
      <c r="F10" s="234">
        <f>E10</f>
        <v>99.988944990426944</v>
      </c>
      <c r="G10" s="234">
        <f>'F10'!H23*'F12'!H17*30/365/10</f>
        <v>0</v>
      </c>
      <c r="H10" s="234">
        <f>'F10'!I23*'F12'!I17*30/365/10</f>
        <v>160.30126623809321</v>
      </c>
      <c r="I10" s="235">
        <f>800*24*0.85*(1-0.0525)*'F12'!J17*20/10000</f>
        <v>110.82053943937919</v>
      </c>
      <c r="J10" s="235">
        <f>800*24*0.85*(1-0.0525)*'F12'!K17*20/10000</f>
        <v>113.03695022816679</v>
      </c>
      <c r="K10" s="235">
        <f>800*24*0.85*(1-0.0525)*'F12'!L17*20/10000</f>
        <v>115.29768923273012</v>
      </c>
      <c r="L10" s="235">
        <f>800*24*0.85*(1-0.0525)*'F12'!M17*20/10000</f>
        <v>117.60364301738471</v>
      </c>
      <c r="M10" s="235">
        <f>800*24*0.85*(1-0.0525)*'F12'!N17*20/10000</f>
        <v>119.95571587773243</v>
      </c>
      <c r="N10" s="264">
        <f>E10-F10</f>
        <v>0</v>
      </c>
    </row>
    <row r="11" spans="2:14">
      <c r="B11" s="199">
        <f>B10+1</f>
        <v>2</v>
      </c>
      <c r="C11" s="233" t="s">
        <v>312</v>
      </c>
      <c r="D11" s="234">
        <f>'F10'!E23*'F12'!E17*30/365/10</f>
        <v>100.35587027811876</v>
      </c>
      <c r="E11" s="236">
        <f>'F10'!F23*'F12'!F17*30/365/10</f>
        <v>99.988944990426944</v>
      </c>
      <c r="F11" s="234">
        <f>E11</f>
        <v>99.988944990426944</v>
      </c>
      <c r="G11" s="236">
        <f>'F10'!H23*'F12'!H17*30/365/10</f>
        <v>0</v>
      </c>
      <c r="H11" s="234">
        <f>'F10'!I23*'F12'!I17*30/365/10</f>
        <v>160.30126623809321</v>
      </c>
      <c r="I11" s="235">
        <f>800*24*0.85*(1-0.0525)*'F12'!J17*30/10000</f>
        <v>166.2308091590688</v>
      </c>
      <c r="J11" s="235">
        <f>800*24*0.85*(1-0.0525)*'F12'!K17*30/10000</f>
        <v>169.5554253422502</v>
      </c>
      <c r="K11" s="235">
        <f>800*24*0.85*(1-0.0525)*'F12'!L17*30/10000</f>
        <v>172.9465338490952</v>
      </c>
      <c r="L11" s="235">
        <f>800*24*0.85*(1-0.0525)*'F12'!M17*30/10000</f>
        <v>176.40546452607708</v>
      </c>
      <c r="M11" s="235">
        <f>800*24*0.85*(1-0.0525)*'F12'!N17*30/10000</f>
        <v>179.93357381659862</v>
      </c>
      <c r="N11" s="264">
        <f t="shared" ref="N11:N20" si="0">E11-F11</f>
        <v>0</v>
      </c>
    </row>
    <row r="12" spans="2:14">
      <c r="B12" s="199">
        <f t="shared" ref="B12:B20" si="1">B11+1</f>
        <v>3</v>
      </c>
      <c r="C12" s="237" t="s">
        <v>313</v>
      </c>
      <c r="D12" s="236">
        <f>'F10'!E23*'F12'!E18*2/12/10</f>
        <v>2.2661765707806167</v>
      </c>
      <c r="E12" s="236">
        <f>'F10'!F23*'F12'!F18*2/12/10</f>
        <v>4.8728982493175614</v>
      </c>
      <c r="F12" s="234">
        <f t="shared" ref="F12:F14" si="2">E12</f>
        <v>4.8728982493175614</v>
      </c>
      <c r="G12" s="236">
        <f>'F10'!H23*'F12'!H18*2/12/10</f>
        <v>0</v>
      </c>
      <c r="H12" s="234">
        <f>'F10'!I23*'F12'!I18*2/12/10</f>
        <v>2.3254937450184854</v>
      </c>
      <c r="I12" s="234">
        <f>800*24*0.85*(1-0.0525)*'F12'!J18*365*1/12/10000</f>
        <v>1.626074005569613</v>
      </c>
      <c r="J12" s="234">
        <f>800*24*0.85*(1-0.0525)*'F12'!K18*365*1/12/10000</f>
        <v>1.6585954856810055</v>
      </c>
      <c r="K12" s="234">
        <f>800*24*0.85*(1-0.0525)*'F12'!L18*365*1/12/10000</f>
        <v>1.6917673953946262</v>
      </c>
      <c r="L12" s="234">
        <f>800*24*0.85*(1-0.0525)*'F12'!M18*365*1/12/10000</f>
        <v>1.7256027433025185</v>
      </c>
      <c r="M12" s="234">
        <f>800*24*0.85*(1-0.0525)*'F12'!N18*365*1/12/10000</f>
        <v>1.7601147981685688</v>
      </c>
      <c r="N12" s="264">
        <f t="shared" si="0"/>
        <v>0</v>
      </c>
    </row>
    <row r="13" spans="2:14">
      <c r="B13" s="199">
        <f t="shared" si="1"/>
        <v>4</v>
      </c>
      <c r="C13" s="238" t="s">
        <v>314</v>
      </c>
      <c r="D13" s="239">
        <f>'F1'!F11/12</f>
        <v>33.608849999999997</v>
      </c>
      <c r="E13" s="239">
        <f>'F1'!G11/12</f>
        <v>40.967001927385425</v>
      </c>
      <c r="F13" s="234">
        <f t="shared" si="2"/>
        <v>40.967001927385425</v>
      </c>
      <c r="G13" s="239">
        <f>'F1'!I11/12</f>
        <v>40.415099999999995</v>
      </c>
      <c r="H13" s="239">
        <f>'F1'!J11/12</f>
        <v>45.687579262732925</v>
      </c>
      <c r="I13" s="239">
        <f>'F1'!K11/12</f>
        <v>47.408912488356748</v>
      </c>
      <c r="J13" s="239">
        <f>'F1'!L11/12</f>
        <v>50.043862909547222</v>
      </c>
      <c r="K13" s="239">
        <f>'F1'!M11/12</f>
        <v>53.109483059528515</v>
      </c>
      <c r="L13" s="239">
        <f>'F1'!N11/12</f>
        <v>56.083123227288233</v>
      </c>
      <c r="M13" s="239">
        <f>'F1'!O11/12</f>
        <v>59.108629675831878</v>
      </c>
      <c r="N13" s="264">
        <f t="shared" si="0"/>
        <v>0</v>
      </c>
    </row>
    <row r="14" spans="2:14" s="241" customFormat="1" ht="15.75">
      <c r="B14" s="199">
        <f t="shared" si="1"/>
        <v>5</v>
      </c>
      <c r="C14" s="240" t="s">
        <v>315</v>
      </c>
      <c r="D14" s="239">
        <f>'F1'!F11*20%</f>
        <v>80.661239999999992</v>
      </c>
      <c r="E14" s="239">
        <f>'F1'!G11*20%</f>
        <v>98.320804625725032</v>
      </c>
      <c r="F14" s="234">
        <f t="shared" si="2"/>
        <v>98.320804625725032</v>
      </c>
      <c r="G14" s="239">
        <f>'F1'!I11*20%</f>
        <v>96.99624</v>
      </c>
      <c r="H14" s="239">
        <f>'F1'!J11*20%</f>
        <v>109.65019023055902</v>
      </c>
      <c r="I14" s="239">
        <f>'F4'!F55*1%</f>
        <v>51.09137287019</v>
      </c>
      <c r="J14" s="239">
        <f>'F4'!F72*1%</f>
        <v>52.658072870189997</v>
      </c>
      <c r="K14" s="239">
        <f>'F4'!F89*1%</f>
        <v>59.177372870190005</v>
      </c>
      <c r="L14" s="239">
        <f>'F4'!F106*1%</f>
        <v>61.41337287019001</v>
      </c>
      <c r="M14" s="239">
        <f>'F4'!F123*1%</f>
        <v>61.713772870190006</v>
      </c>
      <c r="N14" s="264">
        <f t="shared" si="0"/>
        <v>0</v>
      </c>
    </row>
    <row r="15" spans="2:14">
      <c r="B15" s="199">
        <f t="shared" si="1"/>
        <v>6</v>
      </c>
      <c r="C15" s="238" t="s">
        <v>540</v>
      </c>
      <c r="D15" s="239">
        <f>('F1'!F22+'F1'!F16)*2/12</f>
        <v>419.10828019029924</v>
      </c>
      <c r="E15" s="239">
        <f ca="1">('F1'!G22+'F1'!G16)*2/12</f>
        <v>440.36738097809206</v>
      </c>
      <c r="F15" s="234">
        <f ca="1">E15</f>
        <v>440.36738097809206</v>
      </c>
      <c r="G15" s="239">
        <f>('F1'!I22+'F1'!I16)*2/12</f>
        <v>559.94703369328442</v>
      </c>
      <c r="H15" s="239">
        <f ca="1">('F1'!J22+'F1'!J16)*2/12</f>
        <v>572.02897662509974</v>
      </c>
      <c r="I15" s="239">
        <f ca="1">('F1'!K22+'F1'!K16)*45/365</f>
        <v>419.89447675062331</v>
      </c>
      <c r="J15" s="239">
        <f ca="1">('F1'!L22+'F1'!L16)*45/365</f>
        <v>434.30751321573626</v>
      </c>
      <c r="K15" s="239">
        <f ca="1">('F1'!M22+'F1'!M16)*45/365</f>
        <v>453.54734431891598</v>
      </c>
      <c r="L15" s="239">
        <f ca="1">('F1'!N22+'F1'!N16)*45/365</f>
        <v>464.75504631758997</v>
      </c>
      <c r="M15" s="239">
        <f ca="1">('F1'!O22+'F1'!O16)*45/365</f>
        <v>471.67780711380567</v>
      </c>
      <c r="N15" s="264">
        <f t="shared" ca="1" si="0"/>
        <v>0</v>
      </c>
    </row>
    <row r="16" spans="2:14">
      <c r="B16" s="199"/>
      <c r="C16" s="238" t="s">
        <v>316</v>
      </c>
      <c r="D16" s="242"/>
      <c r="E16" s="237"/>
      <c r="F16" s="243"/>
      <c r="G16" s="237"/>
      <c r="H16" s="237"/>
      <c r="I16" s="236"/>
      <c r="J16" s="237"/>
      <c r="K16" s="237"/>
      <c r="L16" s="237"/>
      <c r="M16" s="237"/>
      <c r="N16" s="264">
        <f t="shared" si="0"/>
        <v>0</v>
      </c>
    </row>
    <row r="17" spans="2:14">
      <c r="B17" s="199">
        <f>B15+1</f>
        <v>7</v>
      </c>
      <c r="C17" s="233" t="s">
        <v>541</v>
      </c>
      <c r="D17" s="239">
        <f>'F12'!E19*'F10'!E23*30/365/10</f>
        <v>101.47343680617497</v>
      </c>
      <c r="E17" s="239">
        <f>'F12'!F19*'F10'!F23*30/365/10</f>
        <v>102.39201809967945</v>
      </c>
      <c r="F17" s="239">
        <f>E17</f>
        <v>102.39201809967945</v>
      </c>
      <c r="G17" s="239">
        <f>'F12'!H19*'F10'!H23*30/365/10</f>
        <v>0</v>
      </c>
      <c r="H17" s="239">
        <f>'F12'!I19*'F10'!I23*30/365/10</f>
        <v>161.44808507125305</v>
      </c>
      <c r="I17" s="244">
        <f>800*24*0.85*(1-0.0525)*30*'F12'!J19/10000</f>
        <v>167.83460817826074</v>
      </c>
      <c r="J17" s="239">
        <f>800*24*0.85*(1-0.0525)*30*'F12'!K19/10000</f>
        <v>171.19130034182595</v>
      </c>
      <c r="K17" s="239">
        <f>800*24*0.85*(1-0.0525)*30*'F12'!L19/10000</f>
        <v>174.61512634866247</v>
      </c>
      <c r="L17" s="239">
        <f>800*24*0.85*(1-0.0525)*30*'F12'!M19/10000</f>
        <v>178.10742887563575</v>
      </c>
      <c r="M17" s="239">
        <f>800*24*0.85*(1-0.0525)*30*'F12'!N19/10000</f>
        <v>181.66957745314843</v>
      </c>
      <c r="N17" s="264">
        <f t="shared" si="0"/>
        <v>0</v>
      </c>
    </row>
    <row r="18" spans="2:14" ht="15.75">
      <c r="B18" s="199">
        <f t="shared" si="1"/>
        <v>8</v>
      </c>
      <c r="C18" s="233" t="s">
        <v>55</v>
      </c>
      <c r="D18" s="245">
        <f t="shared" ref="D18:H18" si="3">SUM(D10:D15)-D17</f>
        <v>634.88285051114235</v>
      </c>
      <c r="E18" s="245">
        <f t="shared" ca="1" si="3"/>
        <v>682.11395766169449</v>
      </c>
      <c r="F18" s="245">
        <f t="shared" ca="1" si="3"/>
        <v>682.11395766169449</v>
      </c>
      <c r="G18" s="245">
        <f t="shared" si="3"/>
        <v>697.35837369328442</v>
      </c>
      <c r="H18" s="245">
        <f t="shared" ca="1" si="3"/>
        <v>888.84668726834366</v>
      </c>
      <c r="I18" s="245">
        <f t="shared" ref="I18:M18" ca="1" si="4">SUM(I10:I15)-I17</f>
        <v>629.23757653492692</v>
      </c>
      <c r="J18" s="245">
        <f t="shared" ca="1" si="4"/>
        <v>650.06911970974556</v>
      </c>
      <c r="K18" s="245">
        <f t="shared" ca="1" si="4"/>
        <v>681.15506437719205</v>
      </c>
      <c r="L18" s="245">
        <f t="shared" ca="1" si="4"/>
        <v>699.87882382619694</v>
      </c>
      <c r="M18" s="245">
        <f t="shared" ca="1" si="4"/>
        <v>712.48003669917864</v>
      </c>
      <c r="N18" s="264">
        <f t="shared" ca="1" si="0"/>
        <v>0</v>
      </c>
    </row>
    <row r="19" spans="2:14">
      <c r="B19" s="199">
        <f t="shared" si="1"/>
        <v>9</v>
      </c>
      <c r="C19" s="233" t="s">
        <v>317</v>
      </c>
      <c r="D19" s="246">
        <v>8.5500000000000007E-2</v>
      </c>
      <c r="E19" s="246">
        <v>9.4382191780821911E-2</v>
      </c>
      <c r="F19" s="246">
        <f>E19</f>
        <v>9.4382191780821911E-2</v>
      </c>
      <c r="G19" s="246">
        <v>8.5500000000000007E-2</v>
      </c>
      <c r="H19" s="246">
        <v>0.1008</v>
      </c>
      <c r="I19" s="246">
        <v>0.10150000000000001</v>
      </c>
      <c r="J19" s="246">
        <v>0.10150000000000001</v>
      </c>
      <c r="K19" s="246">
        <v>0.10150000000000001</v>
      </c>
      <c r="L19" s="246">
        <v>0.10150000000000001</v>
      </c>
      <c r="M19" s="246">
        <v>0.10150000000000001</v>
      </c>
      <c r="N19" s="264">
        <f t="shared" si="0"/>
        <v>0</v>
      </c>
    </row>
    <row r="20" spans="2:14" ht="15.75">
      <c r="B20" s="199">
        <f t="shared" si="1"/>
        <v>10</v>
      </c>
      <c r="C20" s="238" t="s">
        <v>318</v>
      </c>
      <c r="D20" s="245">
        <v>59.87</v>
      </c>
      <c r="E20" s="245">
        <f t="shared" ref="E20:M20" ca="1" si="5">E18*E19</f>
        <v>64.37941036840148</v>
      </c>
      <c r="F20" s="245">
        <f t="shared" ca="1" si="5"/>
        <v>64.37941036840148</v>
      </c>
      <c r="G20" s="245">
        <v>64.55</v>
      </c>
      <c r="H20" s="245">
        <f t="shared" ca="1" si="5"/>
        <v>89.595746076649036</v>
      </c>
      <c r="I20" s="245">
        <f t="shared" ca="1" si="5"/>
        <v>63.867614018295086</v>
      </c>
      <c r="J20" s="245">
        <f t="shared" ca="1" si="5"/>
        <v>65.982015650539182</v>
      </c>
      <c r="K20" s="245">
        <f t="shared" ca="1" si="5"/>
        <v>69.137239034285003</v>
      </c>
      <c r="L20" s="245">
        <f t="shared" ca="1" si="5"/>
        <v>71.037700618358997</v>
      </c>
      <c r="M20" s="245">
        <f t="shared" ca="1" si="5"/>
        <v>72.316723724966636</v>
      </c>
      <c r="N20" s="264">
        <f t="shared" ca="1" si="0"/>
        <v>0</v>
      </c>
    </row>
    <row r="22" spans="2:14">
      <c r="C22" s="195" t="s">
        <v>269</v>
      </c>
    </row>
    <row r="23" spans="2:14">
      <c r="C23" s="195" t="s">
        <v>430</v>
      </c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0" right="0.25" top="1" bottom="1" header="0.25" footer="0.25"/>
  <pageSetup paperSize="9" scale="83" orientation="landscape" r:id="rId1"/>
  <headerFooter alignWithMargins="0">
    <oddHeader>&amp;F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4"/>
  <sheetViews>
    <sheetView showGridLines="0" zoomScale="80" zoomScaleNormal="80" zoomScaleSheetLayoutView="90" workbookViewId="0">
      <selection activeCell="P19" sqref="P19"/>
    </sheetView>
  </sheetViews>
  <sheetFormatPr defaultColWidth="9.28515625" defaultRowHeight="14.25"/>
  <cols>
    <col min="1" max="1" width="3.28515625" style="5" customWidth="1"/>
    <col min="2" max="2" width="6.28515625" style="5" customWidth="1"/>
    <col min="3" max="3" width="60.28515625" style="5" customWidth="1"/>
    <col min="4" max="4" width="12.42578125" style="5" customWidth="1"/>
    <col min="5" max="5" width="11" style="5" customWidth="1"/>
    <col min="6" max="6" width="13.42578125" style="5" bestFit="1" customWidth="1"/>
    <col min="7" max="8" width="12.140625" style="5" customWidth="1"/>
    <col min="9" max="13" width="11.28515625" style="5" customWidth="1"/>
    <col min="14" max="16" width="11.7109375" style="5" bestFit="1" customWidth="1"/>
    <col min="17" max="16384" width="9.28515625" style="5"/>
  </cols>
  <sheetData>
    <row r="1" spans="2:13" ht="15">
      <c r="B1" s="26"/>
    </row>
    <row r="3" spans="2:13" ht="15.75">
      <c r="B3" s="285" t="s">
        <v>543</v>
      </c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</row>
    <row r="4" spans="2:13" ht="15.75">
      <c r="B4" s="285" t="s">
        <v>515</v>
      </c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</row>
    <row r="5" spans="2:13" ht="15.75">
      <c r="B5" s="335" t="s">
        <v>561</v>
      </c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5"/>
    </row>
    <row r="6" spans="2:13" ht="15">
      <c r="M6" s="28" t="s">
        <v>4</v>
      </c>
    </row>
    <row r="7" spans="2:13" s="19" customFormat="1" ht="15" customHeight="1">
      <c r="B7" s="316" t="s">
        <v>210</v>
      </c>
      <c r="C7" s="311" t="s">
        <v>18</v>
      </c>
      <c r="D7" s="305" t="s">
        <v>482</v>
      </c>
      <c r="E7" s="306"/>
      <c r="F7" s="307"/>
      <c r="G7" s="305" t="s">
        <v>483</v>
      </c>
      <c r="H7" s="306"/>
      <c r="I7" s="304" t="s">
        <v>252</v>
      </c>
      <c r="J7" s="304"/>
      <c r="K7" s="304"/>
      <c r="L7" s="304"/>
      <c r="M7" s="304"/>
    </row>
    <row r="8" spans="2:13" s="19" customFormat="1" ht="45">
      <c r="B8" s="317"/>
      <c r="C8" s="311"/>
      <c r="D8" s="21" t="s">
        <v>393</v>
      </c>
      <c r="E8" s="21" t="s">
        <v>267</v>
      </c>
      <c r="F8" s="21" t="s">
        <v>226</v>
      </c>
      <c r="G8" s="21" t="s">
        <v>393</v>
      </c>
      <c r="H8" s="21" t="s">
        <v>266</v>
      </c>
      <c r="I8" s="21" t="s">
        <v>484</v>
      </c>
      <c r="J8" s="21" t="s">
        <v>485</v>
      </c>
      <c r="K8" s="21" t="s">
        <v>486</v>
      </c>
      <c r="L8" s="21" t="s">
        <v>487</v>
      </c>
      <c r="M8" s="21" t="s">
        <v>488</v>
      </c>
    </row>
    <row r="9" spans="2:13" s="19" customFormat="1" ht="30">
      <c r="B9" s="318"/>
      <c r="C9" s="319"/>
      <c r="D9" s="21" t="s">
        <v>10</v>
      </c>
      <c r="E9" s="21" t="s">
        <v>12</v>
      </c>
      <c r="F9" s="21" t="s">
        <v>256</v>
      </c>
      <c r="G9" s="21" t="s">
        <v>10</v>
      </c>
      <c r="H9" s="21" t="s">
        <v>547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64">
        <v>1</v>
      </c>
      <c r="C10" s="29" t="s">
        <v>242</v>
      </c>
      <c r="D10" s="185">
        <f>'F4'!F21*30%</f>
        <v>1506.6209999999999</v>
      </c>
      <c r="E10" s="155">
        <f>D10</f>
        <v>1506.6209999999999</v>
      </c>
      <c r="F10" s="155">
        <f>E10</f>
        <v>1506.6209999999999</v>
      </c>
      <c r="G10" s="157"/>
      <c r="H10" s="157">
        <f>F10+F12</f>
        <v>1528.3195447262999</v>
      </c>
      <c r="I10" s="157">
        <f>H10+H12</f>
        <v>1532.7393756563999</v>
      </c>
      <c r="J10" s="157">
        <f>I10+I12</f>
        <v>1579.7403756563999</v>
      </c>
      <c r="K10" s="157">
        <f>J10+J12</f>
        <v>1775.3193756563999</v>
      </c>
      <c r="L10" s="157">
        <f>K10+K12</f>
        <v>1842.3993756563998</v>
      </c>
      <c r="M10" s="157">
        <f>L10+L12</f>
        <v>1851.4113756563997</v>
      </c>
    </row>
    <row r="11" spans="2:13">
      <c r="B11" s="23">
        <f>B10+1</f>
        <v>2</v>
      </c>
      <c r="C11" s="29" t="s">
        <v>243</v>
      </c>
      <c r="D11" s="185"/>
      <c r="E11" s="155">
        <f>F3.1!H21</f>
        <v>72.328482421000004</v>
      </c>
      <c r="F11" s="155">
        <f>E11</f>
        <v>72.328482421000004</v>
      </c>
      <c r="G11" s="157"/>
      <c r="H11" s="157">
        <f>F3.1!H37</f>
        <v>14.732769767000001</v>
      </c>
      <c r="I11" s="157">
        <f>F3.1!H43</f>
        <v>156.67000000000002</v>
      </c>
      <c r="J11" s="157">
        <f>F3.1!H49</f>
        <v>651.92999999999995</v>
      </c>
      <c r="K11" s="157">
        <f>F3.1!H58</f>
        <v>223.6</v>
      </c>
      <c r="L11" s="157">
        <f>F3.1!H65</f>
        <v>30.04</v>
      </c>
      <c r="M11" s="157">
        <f>F3.1!H71</f>
        <v>0</v>
      </c>
    </row>
    <row r="12" spans="2:13">
      <c r="B12" s="23">
        <f t="shared" ref="B12:B22" si="0">B11+1</f>
        <v>3</v>
      </c>
      <c r="C12" s="31" t="s">
        <v>19</v>
      </c>
      <c r="D12" s="185">
        <f>D11*25%</f>
        <v>0</v>
      </c>
      <c r="E12" s="185">
        <f>E11*30%</f>
        <v>21.6985447263</v>
      </c>
      <c r="F12" s="185">
        <f>F11*30%</f>
        <v>21.6985447263</v>
      </c>
      <c r="G12" s="185">
        <f t="shared" ref="G12" si="1">G11*25%</f>
        <v>0</v>
      </c>
      <c r="H12" s="185">
        <f>H11*30%</f>
        <v>4.4198309300999998</v>
      </c>
      <c r="I12" s="185">
        <f>I11*30%</f>
        <v>47.001000000000005</v>
      </c>
      <c r="J12" s="185">
        <f t="shared" ref="J12:M12" si="2">J11*30%</f>
        <v>195.57899999999998</v>
      </c>
      <c r="K12" s="185">
        <f t="shared" si="2"/>
        <v>67.08</v>
      </c>
      <c r="L12" s="185">
        <f t="shared" si="2"/>
        <v>9.0119999999999987</v>
      </c>
      <c r="M12" s="185">
        <f t="shared" si="2"/>
        <v>0</v>
      </c>
    </row>
    <row r="13" spans="2:13" ht="28.5">
      <c r="B13" s="23">
        <f t="shared" si="0"/>
        <v>4</v>
      </c>
      <c r="C13" s="78" t="s">
        <v>20</v>
      </c>
      <c r="D13" s="174"/>
      <c r="E13" s="155"/>
      <c r="F13" s="185"/>
      <c r="G13" s="155"/>
      <c r="H13" s="155"/>
      <c r="I13" s="155"/>
      <c r="J13" s="155"/>
      <c r="K13" s="155"/>
      <c r="L13" s="155"/>
      <c r="M13" s="155"/>
    </row>
    <row r="14" spans="2:13" s="35" customFormat="1" ht="15">
      <c r="B14" s="23">
        <f t="shared" si="0"/>
        <v>5</v>
      </c>
      <c r="C14" s="40" t="s">
        <v>21</v>
      </c>
      <c r="D14" s="158">
        <f>D10+D12-D13</f>
        <v>1506.6209999999999</v>
      </c>
      <c r="E14" s="158">
        <f t="shared" ref="E14:M14" si="3">E10+E12-E13</f>
        <v>1528.3195447262999</v>
      </c>
      <c r="F14" s="158">
        <f>F10+F12-F13</f>
        <v>1528.3195447262999</v>
      </c>
      <c r="G14" s="158">
        <f t="shared" si="3"/>
        <v>0</v>
      </c>
      <c r="H14" s="158">
        <f t="shared" si="3"/>
        <v>1532.7393756563999</v>
      </c>
      <c r="I14" s="158">
        <f t="shared" si="3"/>
        <v>1579.7403756563999</v>
      </c>
      <c r="J14" s="158">
        <f t="shared" si="3"/>
        <v>1775.3193756563999</v>
      </c>
      <c r="K14" s="158">
        <f t="shared" si="3"/>
        <v>1842.3993756563998</v>
      </c>
      <c r="L14" s="158">
        <f t="shared" si="3"/>
        <v>1851.4113756563997</v>
      </c>
      <c r="M14" s="158">
        <f t="shared" si="3"/>
        <v>1851.4113756563997</v>
      </c>
    </row>
    <row r="15" spans="2:13" s="35" customFormat="1" ht="15">
      <c r="B15" s="23"/>
      <c r="C15" s="80" t="s">
        <v>319</v>
      </c>
      <c r="D15" s="146"/>
      <c r="E15" s="186"/>
      <c r="F15" s="151"/>
      <c r="G15" s="186"/>
      <c r="H15" s="186"/>
      <c r="I15" s="186"/>
      <c r="J15" s="186"/>
      <c r="K15" s="186"/>
      <c r="L15" s="186"/>
      <c r="M15" s="186"/>
    </row>
    <row r="16" spans="2:13" s="35" customFormat="1" ht="15">
      <c r="B16" s="23">
        <f>B14+1</f>
        <v>6</v>
      </c>
      <c r="C16" s="40" t="s">
        <v>320</v>
      </c>
      <c r="D16" s="187">
        <v>0.155</v>
      </c>
      <c r="E16" s="187">
        <v>0.155</v>
      </c>
      <c r="F16" s="187">
        <v>0.155</v>
      </c>
      <c r="G16" s="187">
        <v>0.155</v>
      </c>
      <c r="H16" s="187">
        <v>0.155</v>
      </c>
      <c r="I16" s="187">
        <v>0.155</v>
      </c>
      <c r="J16" s="187">
        <v>0.155</v>
      </c>
      <c r="K16" s="187">
        <v>0.155</v>
      </c>
      <c r="L16" s="187">
        <v>0.155</v>
      </c>
      <c r="M16" s="187">
        <v>0.155</v>
      </c>
    </row>
    <row r="17" spans="2:13" s="35" customFormat="1" ht="15">
      <c r="B17" s="23">
        <f>B16+1</f>
        <v>7</v>
      </c>
      <c r="C17" s="40" t="s">
        <v>321</v>
      </c>
      <c r="D17" s="187">
        <v>0.17471999999999999</v>
      </c>
      <c r="E17" s="187">
        <v>0.25168000000000001</v>
      </c>
      <c r="F17" s="187">
        <v>0.25168000000000001</v>
      </c>
      <c r="G17" s="187">
        <v>0.17471999999999999</v>
      </c>
      <c r="H17" s="187">
        <v>0.25168000000000001</v>
      </c>
      <c r="I17" s="187">
        <v>0.25168000000000001</v>
      </c>
      <c r="J17" s="187">
        <v>0.25168000000000001</v>
      </c>
      <c r="K17" s="187">
        <v>0.25168000000000001</v>
      </c>
      <c r="L17" s="187">
        <v>0.25168000000000001</v>
      </c>
      <c r="M17" s="187">
        <v>0.25168000000000001</v>
      </c>
    </row>
    <row r="18" spans="2:13" s="35" customFormat="1" ht="15">
      <c r="B18" s="23">
        <f>B17+1</f>
        <v>8</v>
      </c>
      <c r="C18" s="32" t="s">
        <v>319</v>
      </c>
      <c r="D18" s="188">
        <f>D16/(1-D17)</f>
        <v>0.18781504459092671</v>
      </c>
      <c r="E18" s="188">
        <f t="shared" ref="E18:M18" si="4">E16/(1-E17)</f>
        <v>0.20713063929869574</v>
      </c>
      <c r="F18" s="188">
        <f t="shared" si="4"/>
        <v>0.20713063929869574</v>
      </c>
      <c r="G18" s="188">
        <f t="shared" si="4"/>
        <v>0.18781504459092671</v>
      </c>
      <c r="H18" s="188">
        <f t="shared" si="4"/>
        <v>0.20713063929869574</v>
      </c>
      <c r="I18" s="188">
        <f t="shared" si="4"/>
        <v>0.20713063929869574</v>
      </c>
      <c r="J18" s="188">
        <f t="shared" si="4"/>
        <v>0.20713063929869574</v>
      </c>
      <c r="K18" s="188">
        <f t="shared" si="4"/>
        <v>0.20713063929869574</v>
      </c>
      <c r="L18" s="188">
        <f t="shared" si="4"/>
        <v>0.20713063929869574</v>
      </c>
      <c r="M18" s="188">
        <f t="shared" si="4"/>
        <v>0.20713063929869574</v>
      </c>
    </row>
    <row r="19" spans="2:13" ht="15">
      <c r="B19" s="23"/>
      <c r="C19" s="80" t="s">
        <v>194</v>
      </c>
      <c r="D19" s="189"/>
      <c r="E19" s="190"/>
      <c r="F19" s="191"/>
      <c r="G19" s="190"/>
      <c r="H19" s="190"/>
      <c r="I19" s="190"/>
      <c r="J19" s="190"/>
      <c r="K19" s="190"/>
      <c r="L19" s="190"/>
      <c r="M19" s="190"/>
    </row>
    <row r="20" spans="2:13" ht="17.25" customHeight="1">
      <c r="B20" s="23">
        <f>B18+1</f>
        <v>9</v>
      </c>
      <c r="C20" s="78" t="s">
        <v>244</v>
      </c>
      <c r="D20" s="139">
        <f>D10*D18</f>
        <v>282.96609029662659</v>
      </c>
      <c r="E20" s="139">
        <f t="shared" ref="E20:M20" si="5">E10*E18</f>
        <v>312.06737091084022</v>
      </c>
      <c r="F20" s="139">
        <f t="shared" si="5"/>
        <v>312.06737091084022</v>
      </c>
      <c r="G20" s="139">
        <f t="shared" si="5"/>
        <v>0</v>
      </c>
      <c r="H20" s="139">
        <f t="shared" si="5"/>
        <v>316.56180435185013</v>
      </c>
      <c r="I20" s="139">
        <f>I10*I18</f>
        <v>317.47728675799391</v>
      </c>
      <c r="J20" s="139">
        <f t="shared" si="5"/>
        <v>327.21263393567187</v>
      </c>
      <c r="K20" s="139">
        <f t="shared" si="5"/>
        <v>367.72303723907146</v>
      </c>
      <c r="L20" s="139">
        <f t="shared" si="5"/>
        <v>381.617360523228</v>
      </c>
      <c r="M20" s="139">
        <f t="shared" si="5"/>
        <v>383.4840218445878</v>
      </c>
    </row>
    <row r="21" spans="2:13" ht="18.75" customHeight="1">
      <c r="B21" s="23">
        <f t="shared" si="0"/>
        <v>10</v>
      </c>
      <c r="C21" s="78" t="s">
        <v>245</v>
      </c>
      <c r="D21" s="139">
        <f>AVERAGE(D10,D14)*D18-D20</f>
        <v>0</v>
      </c>
      <c r="E21" s="139">
        <f t="shared" ref="E21:M21" si="6">AVERAGE(E10,E14)*E18-E20</f>
        <v>2.24721672050498</v>
      </c>
      <c r="F21" s="139">
        <f t="shared" si="6"/>
        <v>2.24721672050498</v>
      </c>
      <c r="G21" s="139">
        <f t="shared" si="6"/>
        <v>0</v>
      </c>
      <c r="H21" s="139">
        <f t="shared" si="6"/>
        <v>0.45774120307186195</v>
      </c>
      <c r="I21" s="139">
        <f>AVERAGE(I10,I14)*I18-I20</f>
        <v>4.8676735888389544</v>
      </c>
      <c r="J21" s="139">
        <f t="shared" si="6"/>
        <v>20.255201651699792</v>
      </c>
      <c r="K21" s="139">
        <f t="shared" si="6"/>
        <v>6.9471616420782993</v>
      </c>
      <c r="L21" s="139">
        <f t="shared" si="6"/>
        <v>0.93333066067992831</v>
      </c>
      <c r="M21" s="139">
        <f t="shared" si="6"/>
        <v>0</v>
      </c>
    </row>
    <row r="22" spans="2:13" ht="15">
      <c r="B22" s="23">
        <f t="shared" si="0"/>
        <v>11</v>
      </c>
      <c r="C22" s="42" t="s">
        <v>195</v>
      </c>
      <c r="D22" s="139">
        <v>288.43</v>
      </c>
      <c r="E22" s="139">
        <f t="shared" ref="E22:M22" si="7">E20+E21</f>
        <v>314.3145876313452</v>
      </c>
      <c r="F22" s="139">
        <f t="shared" si="7"/>
        <v>314.3145876313452</v>
      </c>
      <c r="G22" s="139">
        <v>299.35000000000002</v>
      </c>
      <c r="H22" s="139">
        <f t="shared" si="7"/>
        <v>317.01954555492199</v>
      </c>
      <c r="I22" s="139">
        <f t="shared" si="7"/>
        <v>322.34496034683286</v>
      </c>
      <c r="J22" s="139">
        <f t="shared" si="7"/>
        <v>347.46783558737167</v>
      </c>
      <c r="K22" s="139">
        <f t="shared" si="7"/>
        <v>374.67019888114976</v>
      </c>
      <c r="L22" s="139">
        <f t="shared" si="7"/>
        <v>382.55069118390793</v>
      </c>
      <c r="M22" s="139">
        <f t="shared" si="7"/>
        <v>383.4840218445878</v>
      </c>
    </row>
    <row r="23" spans="2:13">
      <c r="C23" s="5" t="s">
        <v>269</v>
      </c>
    </row>
    <row r="24" spans="2:13">
      <c r="C24" s="5" t="s">
        <v>432</v>
      </c>
    </row>
  </sheetData>
  <mergeCells count="8">
    <mergeCell ref="B3:M3"/>
    <mergeCell ref="B4:M4"/>
    <mergeCell ref="B5:M5"/>
    <mergeCell ref="B7:B9"/>
    <mergeCell ref="C7:C9"/>
    <mergeCell ref="D7:F7"/>
    <mergeCell ref="G7:H7"/>
    <mergeCell ref="I7:M7"/>
  </mergeCells>
  <pageMargins left="0" right="0" top="1" bottom="1" header="0.25" footer="0.25"/>
  <pageSetup paperSize="9" scale="78" orientation="landscape" r:id="rId1"/>
  <headerFooter alignWithMargins="0">
    <oddHeader>&amp;F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2"/>
  <sheetViews>
    <sheetView showGridLines="0" zoomScale="90" zoomScaleNormal="90" zoomScaleSheetLayoutView="90" workbookViewId="0">
      <selection activeCell="I24" sqref="I24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7" width="11.28515625" style="5" customWidth="1"/>
    <col min="8" max="8" width="13" style="5" customWidth="1"/>
    <col min="9" max="13" width="11.28515625" style="5" customWidth="1"/>
    <col min="14" max="16" width="11.7109375" style="5" bestFit="1" customWidth="1"/>
    <col min="17" max="16384" width="9.28515625" style="5"/>
  </cols>
  <sheetData>
    <row r="1" spans="2:13" ht="15">
      <c r="B1" s="26"/>
    </row>
    <row r="3" spans="2:13" ht="15.75">
      <c r="B3" s="285" t="s">
        <v>543</v>
      </c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</row>
    <row r="4" spans="2:13" ht="15.75">
      <c r="B4" s="285" t="s">
        <v>515</v>
      </c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</row>
    <row r="5" spans="2:13" ht="15.75">
      <c r="B5" s="335" t="s">
        <v>562</v>
      </c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5"/>
    </row>
    <row r="6" spans="2:13" ht="15">
      <c r="M6" s="28" t="s">
        <v>4</v>
      </c>
    </row>
    <row r="7" spans="2:13" s="19" customFormat="1" ht="32.25" customHeight="1">
      <c r="B7" s="316" t="s">
        <v>210</v>
      </c>
      <c r="C7" s="311" t="s">
        <v>18</v>
      </c>
      <c r="D7" s="305" t="s">
        <v>516</v>
      </c>
      <c r="E7" s="306"/>
      <c r="F7" s="307"/>
      <c r="G7" s="305" t="s">
        <v>549</v>
      </c>
      <c r="H7" s="306"/>
      <c r="I7" s="304" t="s">
        <v>252</v>
      </c>
      <c r="J7" s="304"/>
      <c r="K7" s="304"/>
      <c r="L7" s="304"/>
      <c r="M7" s="304"/>
    </row>
    <row r="8" spans="2:13" s="19" customFormat="1" ht="30">
      <c r="B8" s="317"/>
      <c r="C8" s="311"/>
      <c r="D8" s="21" t="s">
        <v>393</v>
      </c>
      <c r="E8" s="21" t="s">
        <v>267</v>
      </c>
      <c r="F8" s="21" t="s">
        <v>226</v>
      </c>
      <c r="G8" s="21" t="s">
        <v>393</v>
      </c>
      <c r="H8" s="21" t="s">
        <v>266</v>
      </c>
      <c r="I8" s="21" t="s">
        <v>484</v>
      </c>
      <c r="J8" s="21" t="s">
        <v>485</v>
      </c>
      <c r="K8" s="21" t="s">
        <v>486</v>
      </c>
      <c r="L8" s="21" t="s">
        <v>487</v>
      </c>
      <c r="M8" s="21" t="s">
        <v>488</v>
      </c>
    </row>
    <row r="9" spans="2:13" s="19" customFormat="1" ht="15">
      <c r="B9" s="318"/>
      <c r="C9" s="319"/>
      <c r="D9" s="21" t="s">
        <v>10</v>
      </c>
      <c r="E9" s="21" t="s">
        <v>12</v>
      </c>
      <c r="F9" s="21" t="s">
        <v>256</v>
      </c>
      <c r="G9" s="21" t="s">
        <v>10</v>
      </c>
      <c r="H9" s="21" t="s">
        <v>547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64">
        <v>1</v>
      </c>
      <c r="C10" s="29" t="s">
        <v>322</v>
      </c>
      <c r="D10" s="2"/>
      <c r="E10" s="175">
        <v>0.56313865059420531</v>
      </c>
      <c r="F10" s="175">
        <v>0.56313865059420531</v>
      </c>
      <c r="G10" s="176"/>
      <c r="H10" s="176">
        <v>0.61982558967369283</v>
      </c>
      <c r="I10" s="176">
        <v>0.56313865059420531</v>
      </c>
      <c r="J10" s="176">
        <v>0.58566419661797353</v>
      </c>
      <c r="K10" s="176">
        <v>0.6090907644826925</v>
      </c>
      <c r="L10" s="176">
        <v>0.63345439506200019</v>
      </c>
      <c r="M10" s="176">
        <v>0.65879257086448018</v>
      </c>
    </row>
    <row r="11" spans="2:13">
      <c r="B11" s="64">
        <f>B10+1</f>
        <v>2</v>
      </c>
      <c r="C11" s="29" t="s">
        <v>323</v>
      </c>
      <c r="D11" s="2"/>
      <c r="E11" s="175">
        <v>0</v>
      </c>
      <c r="F11" s="175">
        <v>0</v>
      </c>
      <c r="G11" s="176"/>
      <c r="H11" s="176">
        <v>0</v>
      </c>
      <c r="I11" s="176">
        <v>0</v>
      </c>
      <c r="J11" s="176">
        <v>0</v>
      </c>
      <c r="K11" s="176">
        <v>0</v>
      </c>
      <c r="L11" s="176">
        <v>0</v>
      </c>
      <c r="M11" s="176">
        <v>0</v>
      </c>
    </row>
    <row r="12" spans="2:13">
      <c r="B12" s="64">
        <f>B11+1</f>
        <v>3</v>
      </c>
      <c r="C12" s="29" t="s">
        <v>324</v>
      </c>
      <c r="D12" s="2"/>
      <c r="E12" s="175">
        <f>174.38727568294-113.9</f>
        <v>60.48727568293998</v>
      </c>
      <c r="F12" s="175">
        <v>60.48727568293998</v>
      </c>
      <c r="G12" s="176"/>
      <c r="H12" s="176">
        <f>173.539176883-115.68</f>
        <v>57.859176883000003</v>
      </c>
      <c r="I12" s="176">
        <v>6.898986939694385E-3</v>
      </c>
      <c r="J12" s="176">
        <v>7.1749464172821608E-3</v>
      </c>
      <c r="K12" s="176">
        <v>7.4619442739734471E-3</v>
      </c>
      <c r="L12" s="176">
        <v>7.7604220449323854E-3</v>
      </c>
      <c r="M12" s="176">
        <v>8.0708389267296812E-3</v>
      </c>
    </row>
    <row r="13" spans="2:13">
      <c r="B13" s="23">
        <f t="shared" ref="B13:B21" si="0">B12+1</f>
        <v>4</v>
      </c>
      <c r="C13" s="31" t="s">
        <v>325</v>
      </c>
      <c r="D13" s="2"/>
      <c r="E13" s="175">
        <v>0</v>
      </c>
      <c r="F13" s="175">
        <v>0</v>
      </c>
      <c r="G13" s="176"/>
      <c r="H13" s="176">
        <v>0</v>
      </c>
      <c r="I13" s="176">
        <v>0</v>
      </c>
      <c r="J13" s="176">
        <v>0</v>
      </c>
      <c r="K13" s="176">
        <v>0</v>
      </c>
      <c r="L13" s="176">
        <v>0</v>
      </c>
      <c r="M13" s="176">
        <v>0</v>
      </c>
    </row>
    <row r="14" spans="2:13" ht="15.75" customHeight="1">
      <c r="B14" s="23">
        <f t="shared" si="0"/>
        <v>5</v>
      </c>
      <c r="C14" s="78" t="s">
        <v>326</v>
      </c>
      <c r="D14" s="79"/>
      <c r="E14" s="177">
        <v>0</v>
      </c>
      <c r="F14" s="175">
        <v>0</v>
      </c>
      <c r="G14" s="177"/>
      <c r="H14" s="176">
        <v>0</v>
      </c>
      <c r="I14" s="177">
        <v>0</v>
      </c>
      <c r="J14" s="177">
        <v>0</v>
      </c>
      <c r="K14" s="177">
        <v>0</v>
      </c>
      <c r="L14" s="177">
        <v>0</v>
      </c>
      <c r="M14" s="177">
        <v>0</v>
      </c>
    </row>
    <row r="15" spans="2:13" s="35" customFormat="1" ht="15">
      <c r="B15" s="23">
        <f t="shared" si="0"/>
        <v>6</v>
      </c>
      <c r="C15" s="40" t="s">
        <v>327</v>
      </c>
      <c r="D15" s="79"/>
      <c r="E15" s="177">
        <v>1.0287764128166776</v>
      </c>
      <c r="F15" s="175">
        <v>1.0287764128166776</v>
      </c>
      <c r="G15" s="177"/>
      <c r="H15" s="176">
        <v>0.33992669794149843</v>
      </c>
      <c r="I15" s="177">
        <v>1.0287764128166776</v>
      </c>
      <c r="J15" s="177">
        <v>1.0699274693293448</v>
      </c>
      <c r="K15" s="177">
        <v>1.1127245681025186</v>
      </c>
      <c r="L15" s="177">
        <v>1.1572335508266194</v>
      </c>
      <c r="M15" s="177">
        <v>1.2035228928596842</v>
      </c>
    </row>
    <row r="16" spans="2:13" s="35" customFormat="1" ht="15">
      <c r="B16" s="23">
        <f t="shared" si="0"/>
        <v>7</v>
      </c>
      <c r="C16" s="78" t="s">
        <v>328</v>
      </c>
      <c r="D16" s="79"/>
      <c r="E16" s="177">
        <v>0</v>
      </c>
      <c r="F16" s="175">
        <v>0</v>
      </c>
      <c r="G16" s="177"/>
      <c r="H16" s="176">
        <v>0</v>
      </c>
      <c r="I16" s="177">
        <v>0</v>
      </c>
      <c r="J16" s="177">
        <v>0</v>
      </c>
      <c r="K16" s="177">
        <v>0</v>
      </c>
      <c r="L16" s="177">
        <v>0</v>
      </c>
      <c r="M16" s="177">
        <v>0</v>
      </c>
    </row>
    <row r="17" spans="2:13" s="35" customFormat="1" ht="12.75" customHeight="1">
      <c r="B17" s="23">
        <f t="shared" si="0"/>
        <v>8</v>
      </c>
      <c r="C17" s="40" t="s">
        <v>329</v>
      </c>
      <c r="D17" s="79"/>
      <c r="E17" s="177">
        <v>6.4835628267003835E-3</v>
      </c>
      <c r="F17" s="175">
        <v>6.4835628267003835E-3</v>
      </c>
      <c r="G17" s="177"/>
      <c r="H17" s="176">
        <v>2.6600552364331641E-2</v>
      </c>
      <c r="I17" s="177">
        <v>6.4835628267003835E-3</v>
      </c>
      <c r="J17" s="177">
        <v>6.7429053397683987E-3</v>
      </c>
      <c r="K17" s="177">
        <v>7.0126215533591347E-3</v>
      </c>
      <c r="L17" s="177">
        <v>7.2931264154935003E-3</v>
      </c>
      <c r="M17" s="177">
        <v>7.584851472113241E-3</v>
      </c>
    </row>
    <row r="18" spans="2:13" s="35" customFormat="1" ht="15">
      <c r="B18" s="23">
        <f t="shared" si="0"/>
        <v>9</v>
      </c>
      <c r="C18" s="40" t="s">
        <v>162</v>
      </c>
      <c r="D18" s="79"/>
      <c r="E18" s="177">
        <v>13.87</v>
      </c>
      <c r="F18" s="175">
        <v>13.87</v>
      </c>
      <c r="G18" s="177"/>
      <c r="H18" s="176">
        <v>8</v>
      </c>
      <c r="I18" s="177">
        <v>8.2147688611793441</v>
      </c>
      <c r="J18" s="177">
        <v>8.5433596156265175</v>
      </c>
      <c r="K18" s="177">
        <v>8.8850940002515788</v>
      </c>
      <c r="L18" s="177">
        <v>9.2404977602616416</v>
      </c>
      <c r="M18" s="177">
        <v>9.610117670672107</v>
      </c>
    </row>
    <row r="19" spans="2:13" s="35" customFormat="1" ht="15">
      <c r="B19" s="23">
        <f t="shared" si="0"/>
        <v>10</v>
      </c>
      <c r="C19" s="40" t="s">
        <v>330</v>
      </c>
      <c r="D19" s="79"/>
      <c r="E19" s="177">
        <v>0</v>
      </c>
      <c r="F19" s="175">
        <v>0</v>
      </c>
      <c r="G19" s="177"/>
      <c r="H19" s="176">
        <v>0</v>
      </c>
      <c r="I19" s="177">
        <v>0</v>
      </c>
      <c r="J19" s="177">
        <v>0</v>
      </c>
      <c r="K19" s="177">
        <v>0</v>
      </c>
      <c r="L19" s="177">
        <v>0</v>
      </c>
      <c r="M19" s="177">
        <v>0</v>
      </c>
    </row>
    <row r="20" spans="2:13">
      <c r="B20" s="23">
        <f t="shared" si="0"/>
        <v>11</v>
      </c>
      <c r="C20" s="78" t="s">
        <v>173</v>
      </c>
      <c r="D20" s="79"/>
      <c r="E20" s="177">
        <v>5.3345739287311303E-2</v>
      </c>
      <c r="F20" s="175">
        <v>5.3345739287311303E-2</v>
      </c>
      <c r="G20" s="177"/>
      <c r="H20" s="176">
        <v>3.94894777419703E-2</v>
      </c>
      <c r="I20" s="177">
        <v>5.3345739287311303E-2</v>
      </c>
      <c r="J20" s="177">
        <v>5.5479568858803757E-2</v>
      </c>
      <c r="K20" s="177">
        <v>5.7698751613155908E-2</v>
      </c>
      <c r="L20" s="177">
        <v>6.0006701677682149E-2</v>
      </c>
      <c r="M20" s="177">
        <v>6.2406969744789438E-2</v>
      </c>
    </row>
    <row r="21" spans="2:13">
      <c r="B21" s="23">
        <f t="shared" si="0"/>
        <v>12</v>
      </c>
      <c r="C21" s="78" t="s">
        <v>9</v>
      </c>
      <c r="D21" s="79"/>
      <c r="E21" s="177">
        <v>2.1825077344428472</v>
      </c>
      <c r="F21" s="175">
        <v>2.1825077344428472</v>
      </c>
      <c r="G21" s="177"/>
      <c r="H21" s="176">
        <v>0.96077735543931675</v>
      </c>
      <c r="I21" s="177">
        <v>0.96051097638530214</v>
      </c>
      <c r="J21" s="177">
        <v>0.99893141544071429</v>
      </c>
      <c r="K21" s="177">
        <v>1.0388886720583428</v>
      </c>
      <c r="L21" s="177">
        <v>1.0804442189406764</v>
      </c>
      <c r="M21" s="177">
        <v>1.1236619876983036</v>
      </c>
    </row>
    <row r="22" spans="2:13" ht="15">
      <c r="B22" s="23"/>
      <c r="C22" s="33" t="s">
        <v>139</v>
      </c>
      <c r="D22" s="139">
        <v>4.82</v>
      </c>
      <c r="E22" s="139">
        <f t="shared" ref="E22:M22" si="1">SUM(E10:E21)</f>
        <v>78.191527782907727</v>
      </c>
      <c r="F22" s="139">
        <f t="shared" si="1"/>
        <v>78.191527782907727</v>
      </c>
      <c r="G22" s="139">
        <v>4.82</v>
      </c>
      <c r="H22" s="139">
        <f t="shared" si="1"/>
        <v>67.845796556160821</v>
      </c>
      <c r="I22" s="139">
        <f t="shared" si="1"/>
        <v>10.833923190029235</v>
      </c>
      <c r="J22" s="139">
        <f t="shared" si="1"/>
        <v>11.267280117630403</v>
      </c>
      <c r="K22" s="139">
        <f t="shared" si="1"/>
        <v>11.717971322335622</v>
      </c>
      <c r="L22" s="139">
        <f t="shared" si="1"/>
        <v>12.186690175229046</v>
      </c>
      <c r="M22" s="139">
        <f t="shared" si="1"/>
        <v>12.674157782238206</v>
      </c>
    </row>
  </sheetData>
  <mergeCells count="8">
    <mergeCell ref="B3:M3"/>
    <mergeCell ref="B4:M4"/>
    <mergeCell ref="B5:M5"/>
    <mergeCell ref="B7:B9"/>
    <mergeCell ref="C7:C9"/>
    <mergeCell ref="D7:F7"/>
    <mergeCell ref="G7:H7"/>
    <mergeCell ref="I7:M7"/>
  </mergeCells>
  <pageMargins left="0" right="0" top="1" bottom="1" header="0.25" footer="0.25"/>
  <pageSetup paperSize="9" scale="83" orientation="landscape" r:id="rId1"/>
  <headerFooter alignWithMargins="0">
    <oddHeader>&amp;F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31"/>
  <sheetViews>
    <sheetView showGridLines="0" zoomScale="80" zoomScaleNormal="80" zoomScaleSheetLayoutView="70" workbookViewId="0">
      <selection activeCell="G8" sqref="G8"/>
    </sheetView>
  </sheetViews>
  <sheetFormatPr defaultColWidth="9.28515625" defaultRowHeight="14.25"/>
  <cols>
    <col min="1" max="1" width="3.28515625" style="5" customWidth="1"/>
    <col min="2" max="2" width="8.28515625" style="5" customWidth="1"/>
    <col min="3" max="3" width="26.7109375" style="5" customWidth="1"/>
    <col min="4" max="4" width="15.7109375" style="5" customWidth="1"/>
    <col min="5" max="5" width="14.28515625" style="5" customWidth="1"/>
    <col min="6" max="6" width="15.7109375" style="5" customWidth="1"/>
    <col min="7" max="7" width="18" style="5" bestFit="1" customWidth="1"/>
    <col min="8" max="12" width="15.7109375" style="5" customWidth="1"/>
    <col min="13" max="16384" width="9.28515625" style="5"/>
  </cols>
  <sheetData>
    <row r="2" spans="2:12" ht="15">
      <c r="G2" s="36" t="s">
        <v>542</v>
      </c>
    </row>
    <row r="3" spans="2:12" ht="15">
      <c r="G3" s="36" t="s">
        <v>511</v>
      </c>
    </row>
    <row r="4" spans="2:12" ht="15">
      <c r="G4" s="38" t="s">
        <v>332</v>
      </c>
    </row>
    <row r="5" spans="2:12" ht="15">
      <c r="B5" s="26"/>
      <c r="C5" s="82"/>
      <c r="D5" s="83"/>
      <c r="E5" s="83"/>
      <c r="F5" s="83"/>
    </row>
    <row r="6" spans="2:12" ht="15" customHeight="1">
      <c r="B6" s="303" t="s">
        <v>2</v>
      </c>
      <c r="C6" s="304" t="s">
        <v>18</v>
      </c>
      <c r="D6" s="179" t="s">
        <v>516</v>
      </c>
      <c r="E6" s="306" t="s">
        <v>517</v>
      </c>
      <c r="F6" s="306"/>
      <c r="G6" s="306"/>
      <c r="H6" s="304" t="s">
        <v>252</v>
      </c>
      <c r="I6" s="304"/>
      <c r="J6" s="304"/>
      <c r="K6" s="304"/>
      <c r="L6" s="304"/>
    </row>
    <row r="7" spans="2:12" ht="15">
      <c r="B7" s="303"/>
      <c r="C7" s="304"/>
      <c r="D7" s="21" t="s">
        <v>331</v>
      </c>
      <c r="E7" s="21" t="s">
        <v>257</v>
      </c>
      <c r="F7" s="21" t="s">
        <v>258</v>
      </c>
      <c r="G7" s="21" t="s">
        <v>266</v>
      </c>
      <c r="H7" s="21" t="s">
        <v>484</v>
      </c>
      <c r="I7" s="21" t="s">
        <v>485</v>
      </c>
      <c r="J7" s="21" t="s">
        <v>486</v>
      </c>
      <c r="K7" s="21" t="s">
        <v>487</v>
      </c>
      <c r="L7" s="21" t="s">
        <v>488</v>
      </c>
    </row>
    <row r="8" spans="2:12" ht="24.75" customHeight="1">
      <c r="B8" s="337"/>
      <c r="C8" s="338"/>
      <c r="D8" s="21" t="s">
        <v>3</v>
      </c>
      <c r="E8" s="21" t="s">
        <v>3</v>
      </c>
      <c r="F8" s="21" t="s">
        <v>5</v>
      </c>
      <c r="G8" s="21" t="s">
        <v>5</v>
      </c>
      <c r="H8" s="21" t="s">
        <v>8</v>
      </c>
      <c r="I8" s="21" t="s">
        <v>8</v>
      </c>
      <c r="J8" s="21" t="s">
        <v>8</v>
      </c>
      <c r="K8" s="21" t="s">
        <v>8</v>
      </c>
      <c r="L8" s="21" t="s">
        <v>8</v>
      </c>
    </row>
    <row r="9" spans="2:12" ht="15">
      <c r="B9" s="84">
        <v>1</v>
      </c>
      <c r="C9" s="85" t="s">
        <v>174</v>
      </c>
      <c r="D9" s="81"/>
      <c r="E9" s="81"/>
      <c r="F9" s="81"/>
      <c r="G9" s="81"/>
      <c r="H9" s="29"/>
      <c r="I9" s="29"/>
      <c r="J9" s="29"/>
      <c r="K9" s="29"/>
      <c r="L9" s="29"/>
    </row>
    <row r="10" spans="2:12" s="35" customFormat="1" ht="15">
      <c r="B10" s="86" t="s">
        <v>57</v>
      </c>
      <c r="C10" s="42" t="s">
        <v>58</v>
      </c>
      <c r="D10" s="87"/>
      <c r="E10" s="88"/>
      <c r="F10" s="88"/>
      <c r="G10" s="42"/>
      <c r="H10" s="42"/>
      <c r="I10" s="42"/>
      <c r="J10" s="42"/>
      <c r="K10" s="42"/>
      <c r="L10" s="42"/>
    </row>
    <row r="11" spans="2:12" s="35" customFormat="1" ht="15">
      <c r="B11" s="89"/>
      <c r="C11" s="31" t="s">
        <v>59</v>
      </c>
      <c r="D11" s="87"/>
      <c r="E11" s="88"/>
      <c r="F11" s="88"/>
      <c r="G11" s="42"/>
      <c r="H11" s="42"/>
      <c r="I11" s="42"/>
      <c r="J11" s="42"/>
      <c r="K11" s="42"/>
      <c r="L11" s="42"/>
    </row>
    <row r="12" spans="2:12" s="35" customFormat="1" ht="15">
      <c r="B12" s="89"/>
      <c r="C12" s="31" t="s">
        <v>60</v>
      </c>
      <c r="D12" s="87"/>
      <c r="E12" s="88"/>
      <c r="F12" s="88"/>
      <c r="G12" s="42"/>
      <c r="H12" s="42"/>
      <c r="I12" s="42"/>
      <c r="J12" s="42"/>
      <c r="K12" s="42"/>
      <c r="L12" s="42"/>
    </row>
    <row r="13" spans="2:12" s="35" customFormat="1" ht="15">
      <c r="B13" s="89"/>
      <c r="C13" s="31" t="s">
        <v>61</v>
      </c>
      <c r="D13" s="87"/>
      <c r="E13" s="88"/>
      <c r="F13" s="88"/>
      <c r="G13" s="42"/>
      <c r="H13" s="42"/>
      <c r="I13" s="42"/>
      <c r="J13" s="42"/>
      <c r="K13" s="42"/>
      <c r="L13" s="42"/>
    </row>
    <row r="14" spans="2:12" s="35" customFormat="1" ht="15">
      <c r="B14" s="89"/>
      <c r="C14" s="90"/>
      <c r="D14" s="87"/>
      <c r="E14" s="88"/>
      <c r="F14" s="88"/>
      <c r="G14" s="42"/>
      <c r="H14" s="42"/>
      <c r="I14" s="42"/>
      <c r="J14" s="42"/>
      <c r="K14" s="42"/>
      <c r="L14" s="42"/>
    </row>
    <row r="15" spans="2:12" s="35" customFormat="1" ht="15">
      <c r="B15" s="86" t="s">
        <v>62</v>
      </c>
      <c r="C15" s="91" t="s">
        <v>63</v>
      </c>
      <c r="D15" s="87"/>
      <c r="E15" s="88"/>
      <c r="F15" s="88"/>
      <c r="G15" s="42"/>
      <c r="H15" s="42"/>
      <c r="I15" s="42"/>
      <c r="J15" s="42"/>
      <c r="K15" s="42"/>
      <c r="L15" s="42"/>
    </row>
    <row r="16" spans="2:12" s="35" customFormat="1" ht="15">
      <c r="B16" s="89"/>
      <c r="C16" s="31" t="s">
        <v>59</v>
      </c>
      <c r="D16" s="87"/>
      <c r="E16" s="88"/>
      <c r="F16" s="88"/>
      <c r="G16" s="42"/>
      <c r="H16" s="42"/>
      <c r="I16" s="42"/>
      <c r="J16" s="42"/>
      <c r="K16" s="42"/>
      <c r="L16" s="42"/>
    </row>
    <row r="17" spans="2:12">
      <c r="B17" s="89"/>
      <c r="C17" s="31" t="s">
        <v>60</v>
      </c>
      <c r="D17" s="87"/>
      <c r="E17" s="88"/>
      <c r="F17" s="88"/>
      <c r="G17" s="29"/>
      <c r="H17" s="29"/>
      <c r="I17" s="29"/>
      <c r="J17" s="29"/>
      <c r="K17" s="29"/>
      <c r="L17" s="29"/>
    </row>
    <row r="18" spans="2:12">
      <c r="B18" s="92"/>
      <c r="C18" s="31" t="s">
        <v>64</v>
      </c>
      <c r="D18" s="87"/>
      <c r="E18" s="88"/>
      <c r="F18" s="88"/>
      <c r="G18" s="29"/>
      <c r="H18" s="29"/>
      <c r="I18" s="29"/>
      <c r="J18" s="29"/>
      <c r="K18" s="29"/>
      <c r="L18" s="29"/>
    </row>
    <row r="19" spans="2:12" ht="15">
      <c r="B19" s="92"/>
      <c r="C19" s="91"/>
      <c r="D19" s="87"/>
      <c r="E19" s="88"/>
      <c r="F19" s="88"/>
      <c r="G19" s="29"/>
      <c r="H19" s="29"/>
      <c r="I19" s="29"/>
      <c r="J19" s="29"/>
      <c r="K19" s="29"/>
      <c r="L19" s="29"/>
    </row>
    <row r="20" spans="2:12" ht="17.25" customHeight="1">
      <c r="B20" s="86">
        <v>2</v>
      </c>
      <c r="C20" s="85" t="s">
        <v>175</v>
      </c>
      <c r="D20" s="87"/>
      <c r="E20" s="88"/>
      <c r="F20" s="88"/>
      <c r="G20" s="29"/>
      <c r="H20" s="29"/>
      <c r="I20" s="29"/>
      <c r="J20" s="29"/>
      <c r="K20" s="29"/>
      <c r="L20" s="29"/>
    </row>
    <row r="21" spans="2:12" ht="17.25" customHeight="1">
      <c r="B21" s="86"/>
      <c r="C21" s="85" t="s">
        <v>65</v>
      </c>
      <c r="D21" s="87"/>
      <c r="E21" s="87"/>
      <c r="F21" s="87"/>
      <c r="G21" s="29"/>
      <c r="H21" s="29"/>
      <c r="I21" s="29"/>
      <c r="J21" s="29"/>
      <c r="K21" s="29"/>
      <c r="L21" s="29"/>
    </row>
    <row r="22" spans="2:12" ht="17.25" customHeight="1">
      <c r="B22" s="86"/>
      <c r="C22" s="85" t="s">
        <v>65</v>
      </c>
      <c r="D22" s="87"/>
      <c r="E22" s="87"/>
      <c r="F22" s="87"/>
      <c r="G22" s="29"/>
      <c r="H22" s="29"/>
      <c r="I22" s="29"/>
      <c r="J22" s="29"/>
      <c r="K22" s="29"/>
      <c r="L22" s="29"/>
    </row>
    <row r="23" spans="2:12" ht="15">
      <c r="B23" s="89"/>
      <c r="C23" s="91" t="s">
        <v>66</v>
      </c>
      <c r="D23" s="87"/>
      <c r="E23" s="87"/>
      <c r="F23" s="87"/>
      <c r="G23" s="29"/>
      <c r="H23" s="29"/>
      <c r="I23" s="29"/>
      <c r="J23" s="29"/>
      <c r="K23" s="29"/>
      <c r="L23" s="29"/>
    </row>
    <row r="25" spans="2:12" ht="15">
      <c r="B25" s="93" t="s">
        <v>54</v>
      </c>
      <c r="C25" s="94"/>
      <c r="D25" s="94"/>
      <c r="E25" s="94"/>
      <c r="F25" s="94"/>
      <c r="G25" s="94"/>
    </row>
    <row r="26" spans="2:12">
      <c r="B26" s="5" t="s">
        <v>228</v>
      </c>
      <c r="D26" s="95"/>
      <c r="G26" s="94"/>
    </row>
    <row r="27" spans="2:12" ht="18" customHeight="1">
      <c r="B27" s="94"/>
      <c r="G27" s="94"/>
    </row>
    <row r="28" spans="2:12">
      <c r="B28" s="94"/>
      <c r="C28" s="94"/>
      <c r="D28" s="94"/>
      <c r="E28" s="94"/>
      <c r="F28" s="94"/>
      <c r="G28" s="94"/>
    </row>
    <row r="29" spans="2:12">
      <c r="B29" s="94"/>
      <c r="C29" s="94"/>
      <c r="D29" s="94"/>
      <c r="E29" s="94"/>
      <c r="F29" s="94"/>
      <c r="G29" s="94"/>
    </row>
    <row r="30" spans="2:12">
      <c r="B30" s="94"/>
      <c r="C30" s="94"/>
      <c r="D30" s="94"/>
      <c r="E30" s="94"/>
      <c r="F30" s="96"/>
      <c r="G30" s="94"/>
    </row>
    <row r="31" spans="2:12">
      <c r="B31" s="94"/>
      <c r="C31" s="94"/>
      <c r="D31" s="94"/>
      <c r="E31" s="94"/>
      <c r="F31" s="94"/>
      <c r="G31" s="94"/>
    </row>
  </sheetData>
  <mergeCells count="4">
    <mergeCell ref="B6:B8"/>
    <mergeCell ref="C6:C8"/>
    <mergeCell ref="H6:L6"/>
    <mergeCell ref="E6:G6"/>
  </mergeCells>
  <pageMargins left="0" right="0" top="1" bottom="1" header="0.5" footer="0.5"/>
  <pageSetup paperSize="9" scale="81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O48"/>
  <sheetViews>
    <sheetView showGridLines="0" zoomScale="86" zoomScaleNormal="86" zoomScaleSheetLayoutView="70" workbookViewId="0">
      <selection activeCell="I18" sqref="I18"/>
    </sheetView>
  </sheetViews>
  <sheetFormatPr defaultColWidth="9.28515625" defaultRowHeight="14.25"/>
  <cols>
    <col min="1" max="1" width="3.28515625" style="5" customWidth="1"/>
    <col min="2" max="2" width="6.28515625" style="5" customWidth="1"/>
    <col min="3" max="3" width="55.28515625" style="5" customWidth="1"/>
    <col min="4" max="4" width="11" style="37" customWidth="1"/>
    <col min="5" max="5" width="14" style="37" customWidth="1"/>
    <col min="6" max="6" width="12.140625" style="5" customWidth="1"/>
    <col min="7" max="7" width="15" style="5" customWidth="1"/>
    <col min="8" max="8" width="13.7109375" style="5" customWidth="1"/>
    <col min="9" max="9" width="13.28515625" style="5" customWidth="1"/>
    <col min="10" max="14" width="12.7109375" style="5" customWidth="1"/>
    <col min="15" max="15" width="15.7109375" style="5" customWidth="1"/>
    <col min="16" max="16384" width="9.28515625" style="5"/>
  </cols>
  <sheetData>
    <row r="2" spans="2:15" ht="15.75">
      <c r="B2" s="285" t="s">
        <v>542</v>
      </c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</row>
    <row r="3" spans="2:15" ht="15.75">
      <c r="B3" s="285" t="s">
        <v>511</v>
      </c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</row>
    <row r="4" spans="2:15" s="19" customFormat="1" ht="15.75">
      <c r="B4" s="285" t="s">
        <v>563</v>
      </c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5"/>
    </row>
    <row r="5" spans="2:15" s="19" customFormat="1" ht="15">
      <c r="C5" s="82"/>
      <c r="D5" s="37"/>
      <c r="E5" s="37"/>
      <c r="F5" s="97"/>
      <c r="G5" s="97"/>
      <c r="H5" s="97"/>
    </row>
    <row r="6" spans="2:15" ht="15" customHeight="1">
      <c r="B6" s="314" t="s">
        <v>210</v>
      </c>
      <c r="C6" s="339" t="s">
        <v>18</v>
      </c>
      <c r="D6" s="339" t="s">
        <v>39</v>
      </c>
      <c r="E6" s="305" t="s">
        <v>516</v>
      </c>
      <c r="F6" s="306"/>
      <c r="G6" s="307"/>
      <c r="H6" s="305" t="s">
        <v>517</v>
      </c>
      <c r="I6" s="306"/>
      <c r="J6" s="304" t="s">
        <v>252</v>
      </c>
      <c r="K6" s="304"/>
      <c r="L6" s="304"/>
      <c r="M6" s="304"/>
      <c r="N6" s="304"/>
      <c r="O6" s="314" t="s">
        <v>11</v>
      </c>
    </row>
    <row r="7" spans="2:15" ht="30">
      <c r="B7" s="339"/>
      <c r="C7" s="339"/>
      <c r="D7" s="339"/>
      <c r="E7" s="21" t="s">
        <v>393</v>
      </c>
      <c r="F7" s="21" t="s">
        <v>267</v>
      </c>
      <c r="G7" s="21" t="s">
        <v>226</v>
      </c>
      <c r="H7" s="21" t="s">
        <v>393</v>
      </c>
      <c r="I7" s="21" t="s">
        <v>266</v>
      </c>
      <c r="J7" s="21" t="s">
        <v>484</v>
      </c>
      <c r="K7" s="21" t="s">
        <v>485</v>
      </c>
      <c r="L7" s="21" t="s">
        <v>486</v>
      </c>
      <c r="M7" s="21" t="s">
        <v>487</v>
      </c>
      <c r="N7" s="21" t="s">
        <v>488</v>
      </c>
      <c r="O7" s="314"/>
    </row>
    <row r="8" spans="2:15" ht="15">
      <c r="B8" s="339"/>
      <c r="C8" s="339"/>
      <c r="D8" s="339"/>
      <c r="E8" s="21" t="s">
        <v>10</v>
      </c>
      <c r="F8" s="21" t="s">
        <v>12</v>
      </c>
      <c r="G8" s="21" t="s">
        <v>256</v>
      </c>
      <c r="H8" s="21" t="s">
        <v>10</v>
      </c>
      <c r="I8" s="21" t="s">
        <v>5</v>
      </c>
      <c r="J8" s="21" t="s">
        <v>8</v>
      </c>
      <c r="K8" s="21" t="s">
        <v>8</v>
      </c>
      <c r="L8" s="21" t="s">
        <v>8</v>
      </c>
      <c r="M8" s="21" t="s">
        <v>8</v>
      </c>
      <c r="N8" s="21" t="s">
        <v>8</v>
      </c>
      <c r="O8" s="340"/>
    </row>
    <row r="9" spans="2:15" ht="15">
      <c r="B9" s="21"/>
      <c r="C9" s="98"/>
      <c r="D9" s="99"/>
      <c r="E9" s="9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2:15" ht="15">
      <c r="B10" s="100">
        <v>1</v>
      </c>
      <c r="C10" s="101" t="s">
        <v>230</v>
      </c>
      <c r="D10" s="100" t="s">
        <v>40</v>
      </c>
      <c r="E10" s="21">
        <v>800</v>
      </c>
      <c r="F10" s="102"/>
      <c r="G10" s="102"/>
      <c r="H10" s="102"/>
      <c r="I10" s="102"/>
      <c r="J10" s="29"/>
      <c r="K10" s="29"/>
      <c r="L10" s="29"/>
      <c r="M10" s="29"/>
      <c r="N10" s="29"/>
      <c r="O10" s="29"/>
    </row>
    <row r="11" spans="2:15" ht="15">
      <c r="B11" s="100"/>
      <c r="C11" s="101" t="s">
        <v>363</v>
      </c>
      <c r="D11" s="100"/>
      <c r="E11" s="21" t="s">
        <v>510</v>
      </c>
      <c r="F11" s="102"/>
      <c r="G11" s="102"/>
      <c r="H11" s="102"/>
      <c r="I11" s="102"/>
      <c r="J11" s="29"/>
      <c r="K11" s="29"/>
      <c r="L11" s="29"/>
      <c r="M11" s="29"/>
      <c r="N11" s="29"/>
      <c r="O11" s="29"/>
    </row>
    <row r="12" spans="2:15" ht="13.5" customHeight="1">
      <c r="B12" s="100"/>
      <c r="C12" s="101" t="s">
        <v>239</v>
      </c>
      <c r="D12" s="100"/>
      <c r="E12" s="21" t="s">
        <v>506</v>
      </c>
      <c r="F12" s="102"/>
      <c r="G12" s="102"/>
      <c r="H12" s="102"/>
      <c r="I12" s="102"/>
      <c r="J12" s="29"/>
      <c r="K12" s="29"/>
      <c r="L12" s="29"/>
      <c r="M12" s="29"/>
      <c r="N12" s="29"/>
      <c r="O12" s="29"/>
    </row>
    <row r="13" spans="2:15" ht="15">
      <c r="B13" s="100"/>
      <c r="C13" s="101"/>
      <c r="D13" s="100"/>
      <c r="E13" s="100"/>
      <c r="F13" s="102"/>
      <c r="G13" s="102"/>
      <c r="H13" s="102"/>
      <c r="I13" s="102"/>
      <c r="J13" s="29"/>
      <c r="K13" s="29"/>
      <c r="L13" s="29"/>
      <c r="M13" s="29"/>
      <c r="N13" s="29"/>
      <c r="O13" s="29"/>
    </row>
    <row r="14" spans="2:15" ht="15">
      <c r="B14" s="21">
        <v>2</v>
      </c>
      <c r="C14" s="98" t="s">
        <v>185</v>
      </c>
      <c r="D14" s="100"/>
      <c r="E14" s="100"/>
      <c r="F14" s="102"/>
      <c r="G14" s="102"/>
      <c r="H14" s="102"/>
      <c r="I14" s="102"/>
      <c r="J14" s="29"/>
      <c r="K14" s="29"/>
      <c r="L14" s="29"/>
      <c r="M14" s="29"/>
      <c r="N14" s="29"/>
      <c r="O14" s="29"/>
    </row>
    <row r="15" spans="2:15">
      <c r="B15" s="100">
        <f>B14+0.1</f>
        <v>2.1</v>
      </c>
      <c r="C15" s="101" t="s">
        <v>41</v>
      </c>
      <c r="D15" s="100" t="s">
        <v>42</v>
      </c>
      <c r="E15" s="100">
        <v>85</v>
      </c>
      <c r="F15" s="100">
        <v>85</v>
      </c>
      <c r="G15" s="100">
        <v>85</v>
      </c>
      <c r="H15" s="100">
        <v>85</v>
      </c>
      <c r="I15" s="100">
        <v>85</v>
      </c>
      <c r="J15" s="100">
        <v>85</v>
      </c>
      <c r="K15" s="100">
        <v>85</v>
      </c>
      <c r="L15" s="100">
        <v>85</v>
      </c>
      <c r="M15" s="100">
        <v>85</v>
      </c>
      <c r="N15" s="100">
        <v>85</v>
      </c>
      <c r="O15" s="29"/>
    </row>
    <row r="16" spans="2:15">
      <c r="B16" s="100">
        <f>B15+0.1</f>
        <v>2.2000000000000002</v>
      </c>
      <c r="C16" s="101" t="s">
        <v>165</v>
      </c>
      <c r="D16" s="100" t="s">
        <v>42</v>
      </c>
      <c r="E16" s="100">
        <v>85</v>
      </c>
      <c r="F16" s="100">
        <v>60.88</v>
      </c>
      <c r="G16" s="100">
        <f>F16</f>
        <v>60.88</v>
      </c>
      <c r="H16" s="100"/>
      <c r="I16" s="100">
        <v>88.68</v>
      </c>
      <c r="J16" s="100">
        <v>85</v>
      </c>
      <c r="K16" s="100">
        <v>85</v>
      </c>
      <c r="L16" s="100">
        <v>85</v>
      </c>
      <c r="M16" s="100">
        <v>85</v>
      </c>
      <c r="N16" s="100">
        <v>85</v>
      </c>
      <c r="O16" s="29"/>
    </row>
    <row r="17" spans="2:15" ht="15">
      <c r="B17" s="100"/>
      <c r="C17" s="101"/>
      <c r="D17" s="100"/>
      <c r="E17" s="100"/>
      <c r="F17" s="102"/>
      <c r="G17" s="102"/>
      <c r="H17" s="102"/>
      <c r="I17" s="102"/>
      <c r="J17" s="29"/>
      <c r="K17" s="29"/>
      <c r="L17" s="29"/>
      <c r="M17" s="29"/>
      <c r="N17" s="29"/>
      <c r="O17" s="29"/>
    </row>
    <row r="18" spans="2:15" ht="15">
      <c r="B18" s="21">
        <v>3</v>
      </c>
      <c r="C18" s="98" t="s">
        <v>186</v>
      </c>
      <c r="D18" s="100"/>
      <c r="E18" s="100"/>
      <c r="F18" s="102"/>
      <c r="G18" s="102"/>
      <c r="H18" s="102"/>
      <c r="I18" s="102"/>
      <c r="J18" s="29"/>
      <c r="K18" s="29"/>
      <c r="L18" s="29"/>
      <c r="M18" s="29"/>
      <c r="N18" s="29"/>
      <c r="O18" s="29"/>
    </row>
    <row r="19" spans="2:15">
      <c r="B19" s="100">
        <f>B18+0.1</f>
        <v>3.1</v>
      </c>
      <c r="C19" s="101" t="s">
        <v>43</v>
      </c>
      <c r="D19" s="100" t="s">
        <v>42</v>
      </c>
      <c r="E19" s="100">
        <v>85</v>
      </c>
      <c r="F19" s="100">
        <v>85</v>
      </c>
      <c r="G19" s="100">
        <v>85</v>
      </c>
      <c r="H19" s="100">
        <v>85</v>
      </c>
      <c r="I19" s="100">
        <v>85</v>
      </c>
      <c r="J19" s="100">
        <v>85</v>
      </c>
      <c r="K19" s="100">
        <v>85</v>
      </c>
      <c r="L19" s="100">
        <v>85</v>
      </c>
      <c r="M19" s="100">
        <v>85</v>
      </c>
      <c r="N19" s="100">
        <v>85</v>
      </c>
      <c r="O19" s="29"/>
    </row>
    <row r="20" spans="2:15">
      <c r="B20" s="100">
        <f>B19+0.1</f>
        <v>3.2</v>
      </c>
      <c r="C20" s="101" t="s">
        <v>166</v>
      </c>
      <c r="D20" s="100" t="s">
        <v>42</v>
      </c>
      <c r="E20" s="178"/>
      <c r="F20" s="100">
        <v>60.09</v>
      </c>
      <c r="G20" s="100">
        <f>F20</f>
        <v>60.09</v>
      </c>
      <c r="H20" s="100"/>
      <c r="I20" s="100">
        <v>85.54</v>
      </c>
      <c r="J20" s="100">
        <v>85.07</v>
      </c>
      <c r="K20" s="100">
        <v>85</v>
      </c>
      <c r="L20" s="100">
        <v>85.07</v>
      </c>
      <c r="M20" s="100">
        <v>85</v>
      </c>
      <c r="N20" s="100">
        <v>85.04</v>
      </c>
      <c r="O20" s="29"/>
    </row>
    <row r="21" spans="2:15" ht="15">
      <c r="B21" s="100"/>
      <c r="C21" s="101"/>
      <c r="D21" s="100"/>
      <c r="E21" s="100"/>
      <c r="F21" s="21"/>
      <c r="G21" s="21"/>
      <c r="H21" s="21"/>
      <c r="I21" s="21"/>
      <c r="J21" s="29"/>
      <c r="K21" s="29"/>
      <c r="L21" s="29"/>
      <c r="M21" s="29"/>
      <c r="N21" s="29"/>
      <c r="O21" s="29"/>
    </row>
    <row r="22" spans="2:15" ht="15">
      <c r="B22" s="21">
        <v>4</v>
      </c>
      <c r="C22" s="98" t="s">
        <v>56</v>
      </c>
      <c r="D22" s="100"/>
      <c r="E22" s="100"/>
      <c r="F22" s="21"/>
      <c r="G22" s="21"/>
      <c r="H22" s="21"/>
      <c r="I22" s="21"/>
      <c r="J22" s="29"/>
      <c r="K22" s="29"/>
      <c r="L22" s="29"/>
      <c r="M22" s="29"/>
      <c r="N22" s="29"/>
      <c r="O22" s="29"/>
    </row>
    <row r="23" spans="2:15">
      <c r="B23" s="100">
        <f>B22+0.1</f>
        <v>4.0999999999999996</v>
      </c>
      <c r="C23" s="101" t="s">
        <v>44</v>
      </c>
      <c r="D23" s="100" t="s">
        <v>45</v>
      </c>
      <c r="E23" s="178">
        <f>F23</f>
        <v>4013.33</v>
      </c>
      <c r="F23" s="178">
        <v>4013.33</v>
      </c>
      <c r="G23" s="178">
        <f>F23</f>
        <v>4013.33</v>
      </c>
      <c r="H23" s="178"/>
      <c r="I23" s="178">
        <v>5756.6169410000002</v>
      </c>
      <c r="J23" s="178">
        <f>J30</f>
        <v>5648.6200000000008</v>
      </c>
      <c r="K23" s="178">
        <f t="shared" ref="K23:N23" si="0">K30</f>
        <v>5644.07</v>
      </c>
      <c r="L23" s="178">
        <f t="shared" si="0"/>
        <v>5648.6200000000008</v>
      </c>
      <c r="M23" s="178">
        <f t="shared" si="0"/>
        <v>5659.51</v>
      </c>
      <c r="N23" s="178">
        <f t="shared" si="0"/>
        <v>5646.8</v>
      </c>
      <c r="O23" s="29"/>
    </row>
    <row r="24" spans="2:15">
      <c r="B24" s="100">
        <f>B23+0.1</f>
        <v>4.1999999999999993</v>
      </c>
      <c r="C24" s="103" t="s">
        <v>167</v>
      </c>
      <c r="D24" s="100" t="s">
        <v>45</v>
      </c>
      <c r="E24" s="178"/>
      <c r="F24" s="178">
        <v>4211.32</v>
      </c>
      <c r="G24" s="178">
        <f>F24</f>
        <v>4211.32</v>
      </c>
      <c r="H24" s="178"/>
      <c r="I24" s="178">
        <v>6011.2767999999996</v>
      </c>
      <c r="J24" s="178">
        <v>5961.6</v>
      </c>
      <c r="K24" s="178">
        <v>5956.8</v>
      </c>
      <c r="L24" s="178">
        <v>5961.6</v>
      </c>
      <c r="M24" s="178">
        <v>5973.1</v>
      </c>
      <c r="N24" s="178">
        <v>5959.68</v>
      </c>
      <c r="O24" s="29"/>
    </row>
    <row r="25" spans="2:15" ht="15">
      <c r="B25" s="100"/>
      <c r="C25" s="103"/>
      <c r="D25" s="100"/>
      <c r="E25" s="100"/>
      <c r="F25" s="21"/>
      <c r="G25" s="21"/>
      <c r="H25" s="21"/>
      <c r="I25" s="21"/>
      <c r="J25" s="29"/>
      <c r="K25" s="29"/>
      <c r="L25" s="29"/>
      <c r="M25" s="29"/>
      <c r="N25" s="29"/>
      <c r="O25" s="29"/>
    </row>
    <row r="26" spans="2:15" ht="15">
      <c r="B26" s="21">
        <v>5</v>
      </c>
      <c r="C26" s="104" t="s">
        <v>183</v>
      </c>
      <c r="D26" s="100"/>
      <c r="E26" s="100"/>
      <c r="F26" s="21"/>
      <c r="G26" s="21"/>
      <c r="H26" s="21"/>
      <c r="I26" s="21"/>
      <c r="J26" s="29"/>
      <c r="K26" s="29"/>
      <c r="L26" s="29"/>
      <c r="M26" s="29"/>
      <c r="N26" s="29"/>
      <c r="O26" s="29"/>
    </row>
    <row r="27" spans="2:15">
      <c r="B27" s="100">
        <f>B26+0.1</f>
        <v>5.0999999999999996</v>
      </c>
      <c r="C27" s="103" t="s">
        <v>46</v>
      </c>
      <c r="D27" s="100" t="s">
        <v>42</v>
      </c>
      <c r="E27" s="178">
        <v>5.25</v>
      </c>
      <c r="F27" s="178">
        <v>5.25</v>
      </c>
      <c r="G27" s="178">
        <f>F27</f>
        <v>5.25</v>
      </c>
      <c r="H27" s="178">
        <v>5.25</v>
      </c>
      <c r="I27" s="178">
        <v>5.25</v>
      </c>
      <c r="J27" s="178">
        <v>5.25</v>
      </c>
      <c r="K27" s="178">
        <v>5.25</v>
      </c>
      <c r="L27" s="178">
        <v>5.25</v>
      </c>
      <c r="M27" s="178">
        <v>5.25</v>
      </c>
      <c r="N27" s="178">
        <v>5.25</v>
      </c>
      <c r="O27" s="29"/>
    </row>
    <row r="28" spans="2:15" ht="16.5" customHeight="1">
      <c r="B28" s="100">
        <f>B27+0.1</f>
        <v>5.1999999999999993</v>
      </c>
      <c r="C28" s="103" t="s">
        <v>168</v>
      </c>
      <c r="D28" s="100" t="s">
        <v>42</v>
      </c>
      <c r="E28" s="178"/>
      <c r="F28" s="178">
        <v>4.7</v>
      </c>
      <c r="G28" s="178">
        <f t="shared" ref="G28:G29" si="1">F28</f>
        <v>4.7</v>
      </c>
      <c r="H28" s="178"/>
      <c r="I28" s="178">
        <v>4.2359999999999998</v>
      </c>
      <c r="J28" s="178">
        <v>5.25</v>
      </c>
      <c r="K28" s="178">
        <v>5.25</v>
      </c>
      <c r="L28" s="178">
        <v>5.25</v>
      </c>
      <c r="M28" s="178">
        <v>5.25</v>
      </c>
      <c r="N28" s="178">
        <v>5.25</v>
      </c>
      <c r="O28" s="29"/>
    </row>
    <row r="29" spans="2:15" ht="16.5" customHeight="1">
      <c r="B29" s="100">
        <f>B28+0.1</f>
        <v>5.2999999999999989</v>
      </c>
      <c r="C29" s="103" t="s">
        <v>168</v>
      </c>
      <c r="D29" s="100" t="s">
        <v>45</v>
      </c>
      <c r="E29" s="178"/>
      <c r="F29" s="178">
        <v>198</v>
      </c>
      <c r="G29" s="178">
        <f t="shared" si="1"/>
        <v>198</v>
      </c>
      <c r="H29" s="178"/>
      <c r="I29" s="178"/>
      <c r="J29" s="178">
        <v>312.98</v>
      </c>
      <c r="K29" s="178">
        <v>312.73</v>
      </c>
      <c r="L29" s="178">
        <v>312.98</v>
      </c>
      <c r="M29" s="178">
        <v>313.58999999999997</v>
      </c>
      <c r="N29" s="178">
        <v>312.88</v>
      </c>
      <c r="O29" s="29"/>
    </row>
    <row r="30" spans="2:15">
      <c r="B30" s="100">
        <f>B29+0.1</f>
        <v>5.3999999999999986</v>
      </c>
      <c r="C30" s="103" t="s">
        <v>47</v>
      </c>
      <c r="D30" s="100" t="s">
        <v>45</v>
      </c>
      <c r="E30" s="178"/>
      <c r="F30" s="178">
        <v>4013.33</v>
      </c>
      <c r="G30" s="178">
        <f>F30</f>
        <v>4013.33</v>
      </c>
      <c r="H30" s="178"/>
      <c r="I30" s="178"/>
      <c r="J30" s="178">
        <f>J24-J29</f>
        <v>5648.6200000000008</v>
      </c>
      <c r="K30" s="178">
        <f t="shared" ref="K30:N30" si="2">K24-K29</f>
        <v>5644.07</v>
      </c>
      <c r="L30" s="178">
        <f t="shared" si="2"/>
        <v>5648.6200000000008</v>
      </c>
      <c r="M30" s="178">
        <f t="shared" si="2"/>
        <v>5659.51</v>
      </c>
      <c r="N30" s="178">
        <f t="shared" si="2"/>
        <v>5646.8</v>
      </c>
      <c r="O30" s="29"/>
    </row>
    <row r="31" spans="2:15" ht="15">
      <c r="B31" s="100"/>
      <c r="C31" s="103"/>
      <c r="D31" s="100"/>
      <c r="E31" s="100"/>
      <c r="F31" s="218"/>
      <c r="G31" s="21"/>
      <c r="H31" s="21"/>
      <c r="I31" s="21"/>
      <c r="J31" s="29"/>
      <c r="K31" s="29"/>
      <c r="L31" s="29"/>
      <c r="M31" s="29"/>
      <c r="N31" s="29"/>
      <c r="O31" s="29"/>
    </row>
    <row r="32" spans="2:15" ht="15">
      <c r="B32" s="21">
        <v>6</v>
      </c>
      <c r="C32" s="104" t="s">
        <v>225</v>
      </c>
      <c r="D32" s="100"/>
      <c r="E32" s="100"/>
      <c r="F32" s="21"/>
      <c r="G32" s="21"/>
      <c r="H32" s="21"/>
      <c r="I32" s="21"/>
      <c r="J32" s="29"/>
      <c r="K32" s="29"/>
      <c r="L32" s="29"/>
      <c r="M32" s="29"/>
      <c r="N32" s="29"/>
      <c r="O32" s="29"/>
    </row>
    <row r="33" spans="2:15">
      <c r="B33" s="100">
        <f>B32+0.1</f>
        <v>6.1</v>
      </c>
      <c r="C33" s="103" t="s">
        <v>48</v>
      </c>
      <c r="D33" s="100" t="s">
        <v>49</v>
      </c>
      <c r="E33" s="100">
        <v>2151</v>
      </c>
      <c r="F33" s="100">
        <v>2151</v>
      </c>
      <c r="G33" s="100">
        <f>F33</f>
        <v>2151</v>
      </c>
      <c r="H33" s="100">
        <v>2151</v>
      </c>
      <c r="I33" s="100">
        <v>2151</v>
      </c>
      <c r="J33" s="100">
        <v>2151</v>
      </c>
      <c r="K33" s="100">
        <v>2151</v>
      </c>
      <c r="L33" s="100">
        <v>2151</v>
      </c>
      <c r="M33" s="100">
        <v>2151</v>
      </c>
      <c r="N33" s="100">
        <v>2151</v>
      </c>
      <c r="O33" s="29"/>
    </row>
    <row r="34" spans="2:15">
      <c r="B34" s="100">
        <f>B33+0.1</f>
        <v>6.1999999999999993</v>
      </c>
      <c r="C34" s="101" t="s">
        <v>169</v>
      </c>
      <c r="D34" s="100" t="s">
        <v>49</v>
      </c>
      <c r="E34" s="100"/>
      <c r="F34" s="100">
        <v>2161</v>
      </c>
      <c r="G34" s="100">
        <f>F34</f>
        <v>2161</v>
      </c>
      <c r="H34" s="100"/>
      <c r="I34" s="100">
        <v>2124</v>
      </c>
      <c r="J34" s="100">
        <v>2151</v>
      </c>
      <c r="K34" s="100">
        <v>2151</v>
      </c>
      <c r="L34" s="100">
        <v>2151</v>
      </c>
      <c r="M34" s="100">
        <v>2151</v>
      </c>
      <c r="N34" s="100">
        <v>2151</v>
      </c>
      <c r="O34" s="29"/>
    </row>
    <row r="35" spans="2:15" ht="15">
      <c r="B35" s="100"/>
      <c r="C35" s="101"/>
      <c r="D35" s="100"/>
      <c r="E35" s="100"/>
      <c r="F35" s="21"/>
      <c r="G35" s="21"/>
      <c r="H35" s="21"/>
      <c r="I35" s="21"/>
      <c r="J35" s="29"/>
      <c r="K35" s="29"/>
      <c r="L35" s="29"/>
      <c r="M35" s="29"/>
      <c r="N35" s="29"/>
      <c r="O35" s="29"/>
    </row>
    <row r="36" spans="2:15" ht="15">
      <c r="B36" s="21">
        <v>7</v>
      </c>
      <c r="C36" s="98" t="s">
        <v>187</v>
      </c>
      <c r="D36" s="100"/>
      <c r="E36" s="100"/>
      <c r="F36" s="21"/>
      <c r="G36" s="21"/>
      <c r="H36" s="21"/>
      <c r="I36" s="21"/>
      <c r="J36" s="29"/>
      <c r="K36" s="29"/>
      <c r="L36" s="29"/>
      <c r="M36" s="29"/>
      <c r="N36" s="29"/>
      <c r="O36" s="29"/>
    </row>
    <row r="37" spans="2:15">
      <c r="B37" s="100">
        <f>B36+0.1</f>
        <v>7.1</v>
      </c>
      <c r="C37" s="101" t="s">
        <v>50</v>
      </c>
      <c r="D37" s="100" t="s">
        <v>51</v>
      </c>
      <c r="E37" s="100">
        <v>0.5</v>
      </c>
      <c r="F37" s="100">
        <v>0.5</v>
      </c>
      <c r="G37" s="100">
        <f>F37</f>
        <v>0.5</v>
      </c>
      <c r="H37" s="100">
        <v>0.5</v>
      </c>
      <c r="I37" s="100">
        <v>0.5</v>
      </c>
      <c r="J37" s="100">
        <v>0.5</v>
      </c>
      <c r="K37" s="100">
        <v>0.5</v>
      </c>
      <c r="L37" s="100">
        <v>0.5</v>
      </c>
      <c r="M37" s="100">
        <v>0.5</v>
      </c>
      <c r="N37" s="100">
        <v>0.5</v>
      </c>
      <c r="O37" s="29"/>
    </row>
    <row r="38" spans="2:15">
      <c r="B38" s="100">
        <f>B37+0.1</f>
        <v>7.1999999999999993</v>
      </c>
      <c r="C38" s="101" t="s">
        <v>170</v>
      </c>
      <c r="D38" s="100" t="s">
        <v>51</v>
      </c>
      <c r="E38" s="100"/>
      <c r="F38" s="100">
        <v>1.08</v>
      </c>
      <c r="G38" s="100">
        <f>F38</f>
        <v>1.08</v>
      </c>
      <c r="H38" s="100"/>
      <c r="I38" s="100">
        <f>(1319.82+833.46)/(3090.21+2921.06)</f>
        <v>0.35820716753697629</v>
      </c>
      <c r="J38" s="100">
        <v>0.5</v>
      </c>
      <c r="K38" s="100">
        <v>0.5</v>
      </c>
      <c r="L38" s="100">
        <v>0.5</v>
      </c>
      <c r="M38" s="100">
        <v>0.5</v>
      </c>
      <c r="N38" s="100">
        <v>0.5</v>
      </c>
      <c r="O38" s="29"/>
    </row>
    <row r="39" spans="2:15" ht="15">
      <c r="B39" s="100"/>
      <c r="C39" s="101"/>
      <c r="D39" s="100"/>
      <c r="E39" s="100"/>
      <c r="F39" s="21"/>
      <c r="G39" s="21"/>
      <c r="H39" s="21"/>
      <c r="I39" s="21"/>
      <c r="J39" s="29"/>
      <c r="K39" s="29"/>
      <c r="L39" s="29"/>
      <c r="M39" s="29"/>
      <c r="N39" s="29"/>
      <c r="O39" s="29"/>
    </row>
    <row r="40" spans="2:15" ht="15">
      <c r="B40" s="21">
        <v>8</v>
      </c>
      <c r="C40" s="98" t="s">
        <v>53</v>
      </c>
      <c r="D40" s="100"/>
      <c r="E40" s="100"/>
      <c r="F40" s="21"/>
      <c r="G40" s="21"/>
      <c r="H40" s="21"/>
      <c r="I40" s="21"/>
      <c r="J40" s="29"/>
      <c r="K40" s="29"/>
      <c r="L40" s="29"/>
      <c r="M40" s="29"/>
      <c r="N40" s="29"/>
      <c r="O40" s="29"/>
    </row>
    <row r="41" spans="2:15">
      <c r="B41" s="100">
        <f>B40+0.1</f>
        <v>8.1</v>
      </c>
      <c r="C41" s="101" t="s">
        <v>52</v>
      </c>
      <c r="D41" s="100" t="s">
        <v>42</v>
      </c>
      <c r="E41" s="100">
        <v>0.8</v>
      </c>
      <c r="F41" s="100">
        <v>0.8</v>
      </c>
      <c r="G41" s="100">
        <v>0.8</v>
      </c>
      <c r="H41" s="100">
        <v>0.8</v>
      </c>
      <c r="I41" s="100">
        <v>0.8</v>
      </c>
      <c r="J41" s="100">
        <v>0.8</v>
      </c>
      <c r="K41" s="100">
        <v>0.8</v>
      </c>
      <c r="L41" s="100">
        <v>0.8</v>
      </c>
      <c r="M41" s="100">
        <v>0.8</v>
      </c>
      <c r="N41" s="100">
        <v>0.8</v>
      </c>
      <c r="O41" s="29"/>
    </row>
    <row r="42" spans="2:15">
      <c r="B42" s="100">
        <f>B41+0.1</f>
        <v>8.1999999999999993</v>
      </c>
      <c r="C42" s="101" t="s">
        <v>171</v>
      </c>
      <c r="D42" s="100" t="s">
        <v>42</v>
      </c>
      <c r="E42" s="100"/>
      <c r="F42" s="100">
        <v>0.8</v>
      </c>
      <c r="G42" s="100">
        <v>0.8</v>
      </c>
      <c r="H42" s="100">
        <v>0.8</v>
      </c>
      <c r="I42" s="100">
        <v>0.8</v>
      </c>
      <c r="J42" s="100">
        <v>0.8</v>
      </c>
      <c r="K42" s="100">
        <v>0.8</v>
      </c>
      <c r="L42" s="100">
        <v>0.8</v>
      </c>
      <c r="M42" s="100">
        <v>0.8</v>
      </c>
      <c r="N42" s="100">
        <v>0.8</v>
      </c>
      <c r="O42" s="29"/>
    </row>
    <row r="43" spans="2:15" ht="15">
      <c r="B43" s="21"/>
      <c r="C43" s="98"/>
      <c r="D43" s="99"/>
      <c r="E43" s="100"/>
      <c r="F43" s="21"/>
      <c r="G43" s="21"/>
      <c r="H43" s="21"/>
      <c r="I43" s="21"/>
      <c r="J43" s="29"/>
      <c r="K43" s="29"/>
      <c r="L43" s="29"/>
      <c r="M43" s="29"/>
      <c r="N43" s="29"/>
      <c r="O43" s="29"/>
    </row>
    <row r="44" spans="2:15" ht="15">
      <c r="B44" s="41"/>
      <c r="C44" s="105"/>
      <c r="D44" s="106"/>
      <c r="E44" s="106"/>
      <c r="F44" s="41"/>
      <c r="G44" s="41"/>
      <c r="H44" s="41"/>
      <c r="I44" s="41"/>
    </row>
    <row r="45" spans="2:15" ht="16.5">
      <c r="D45" s="107"/>
      <c r="E45" s="107"/>
      <c r="F45" s="108"/>
      <c r="G45" s="108"/>
      <c r="H45" s="108"/>
      <c r="I45" s="108"/>
    </row>
    <row r="46" spans="2:15" ht="16.5">
      <c r="B46" s="19"/>
      <c r="F46" s="108"/>
      <c r="G46" s="108"/>
      <c r="H46" s="108"/>
      <c r="I46" s="108"/>
    </row>
    <row r="47" spans="2:15" ht="16.5">
      <c r="C47" s="50"/>
      <c r="F47" s="108"/>
      <c r="G47" s="108"/>
      <c r="H47" s="108"/>
      <c r="I47" s="108"/>
    </row>
    <row r="48" spans="2:15">
      <c r="F48" s="109"/>
      <c r="G48" s="109"/>
      <c r="H48" s="109"/>
      <c r="I48" s="109"/>
    </row>
  </sheetData>
  <mergeCells count="10">
    <mergeCell ref="B2:O2"/>
    <mergeCell ref="B3:O3"/>
    <mergeCell ref="B4:O4"/>
    <mergeCell ref="B6:B8"/>
    <mergeCell ref="C6:C8"/>
    <mergeCell ref="D6:D8"/>
    <mergeCell ref="J6:N6"/>
    <mergeCell ref="O6:O8"/>
    <mergeCell ref="E6:G6"/>
    <mergeCell ref="H6:I6"/>
  </mergeCells>
  <pageMargins left="0" right="0" top="0.43" bottom="0.63" header="0.5" footer="0.5"/>
  <pageSetup paperSize="9" scale="66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V53"/>
  <sheetViews>
    <sheetView topLeftCell="A10" workbookViewId="0">
      <selection activeCell="I26" sqref="I26"/>
    </sheetView>
  </sheetViews>
  <sheetFormatPr defaultColWidth="9.28515625" defaultRowHeight="14.25"/>
  <cols>
    <col min="1" max="1" width="2.28515625" style="110" customWidth="1"/>
    <col min="2" max="2" width="9.28515625" style="110"/>
    <col min="3" max="3" width="39.28515625" style="110" customWidth="1"/>
    <col min="4" max="4" width="10.42578125" style="111" customWidth="1"/>
    <col min="5" max="16384" width="9.28515625" style="110"/>
  </cols>
  <sheetData>
    <row r="2" spans="2:22" ht="15">
      <c r="M2" s="36" t="s">
        <v>542</v>
      </c>
    </row>
    <row r="3" spans="2:22" ht="15">
      <c r="M3" s="36" t="s">
        <v>511</v>
      </c>
    </row>
    <row r="4" spans="2:22" ht="15">
      <c r="M4" s="38" t="s">
        <v>364</v>
      </c>
    </row>
    <row r="6" spans="2:22" ht="15">
      <c r="B6" s="341" t="s">
        <v>210</v>
      </c>
      <c r="C6" s="341" t="s">
        <v>18</v>
      </c>
      <c r="D6" s="341" t="s">
        <v>39</v>
      </c>
      <c r="E6" s="341" t="s">
        <v>516</v>
      </c>
      <c r="F6" s="341"/>
      <c r="G6" s="341"/>
      <c r="H6" s="341"/>
      <c r="I6" s="341"/>
      <c r="J6" s="341"/>
      <c r="K6" s="341"/>
      <c r="L6" s="341"/>
      <c r="M6" s="341"/>
      <c r="N6" s="341"/>
      <c r="O6" s="341"/>
      <c r="P6" s="341"/>
      <c r="Q6" s="341" t="s">
        <v>517</v>
      </c>
      <c r="R6" s="341"/>
      <c r="S6" s="341"/>
      <c r="T6" s="341"/>
      <c r="U6" s="341"/>
      <c r="V6" s="341"/>
    </row>
    <row r="7" spans="2:22" ht="15">
      <c r="B7" s="341"/>
      <c r="C7" s="341"/>
      <c r="D7" s="341"/>
      <c r="E7" s="113" t="s">
        <v>141</v>
      </c>
      <c r="F7" s="113" t="s">
        <v>142</v>
      </c>
      <c r="G7" s="113" t="s">
        <v>143</v>
      </c>
      <c r="H7" s="113" t="s">
        <v>144</v>
      </c>
      <c r="I7" s="113" t="s">
        <v>145</v>
      </c>
      <c r="J7" s="113" t="s">
        <v>146</v>
      </c>
      <c r="K7" s="113" t="s">
        <v>147</v>
      </c>
      <c r="L7" s="113" t="s">
        <v>148</v>
      </c>
      <c r="M7" s="113" t="s">
        <v>149</v>
      </c>
      <c r="N7" s="113" t="s">
        <v>150</v>
      </c>
      <c r="O7" s="113" t="s">
        <v>151</v>
      </c>
      <c r="P7" s="113" t="s">
        <v>152</v>
      </c>
      <c r="Q7" s="113" t="s">
        <v>141</v>
      </c>
      <c r="R7" s="113" t="s">
        <v>142</v>
      </c>
      <c r="S7" s="113" t="s">
        <v>143</v>
      </c>
      <c r="T7" s="113" t="s">
        <v>144</v>
      </c>
      <c r="U7" s="113" t="s">
        <v>145</v>
      </c>
      <c r="V7" s="113" t="s">
        <v>146</v>
      </c>
    </row>
    <row r="8" spans="2:22" ht="15">
      <c r="B8" s="113" t="s">
        <v>67</v>
      </c>
      <c r="C8" s="115" t="s">
        <v>337</v>
      </c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</row>
    <row r="9" spans="2:22">
      <c r="B9" s="114">
        <v>1</v>
      </c>
      <c r="C9" s="30" t="s">
        <v>455</v>
      </c>
      <c r="D9" s="114" t="s">
        <v>339</v>
      </c>
      <c r="E9" s="30">
        <v>81819.999999999942</v>
      </c>
      <c r="F9" s="30">
        <v>35781.999999999884</v>
      </c>
      <c r="G9" s="30">
        <v>69815.995999999926</v>
      </c>
      <c r="H9" s="30">
        <v>124599.99599999998</v>
      </c>
      <c r="I9" s="30">
        <v>151309.99599999998</v>
      </c>
      <c r="J9" s="30">
        <v>171233.99599999998</v>
      </c>
      <c r="K9" s="30">
        <v>180714.99599999998</v>
      </c>
      <c r="L9" s="30">
        <v>138750.99599999998</v>
      </c>
      <c r="M9" s="30">
        <v>152561.99599999998</v>
      </c>
      <c r="N9" s="30">
        <v>137899.99599999998</v>
      </c>
      <c r="O9" s="30">
        <v>123961.65599999996</v>
      </c>
      <c r="P9" s="30">
        <v>121515.7159999999</v>
      </c>
      <c r="Q9" s="168">
        <v>91864.995999999926</v>
      </c>
      <c r="R9" s="168">
        <v>82291.805999999924</v>
      </c>
      <c r="S9" s="168">
        <v>120988.04599999991</v>
      </c>
      <c r="T9" s="168">
        <v>128879.99599999993</v>
      </c>
      <c r="U9" s="168">
        <v>81161.69599999988</v>
      </c>
      <c r="V9" s="168">
        <v>61610.77599999978</v>
      </c>
    </row>
    <row r="10" spans="2:22">
      <c r="B10" s="114">
        <f>B9+1</f>
        <v>2</v>
      </c>
      <c r="C10" s="30" t="s">
        <v>338</v>
      </c>
      <c r="D10" s="170" t="s">
        <v>489</v>
      </c>
      <c r="E10" s="169">
        <v>43.970054200320796</v>
      </c>
      <c r="F10" s="169">
        <v>18.520826434573276</v>
      </c>
      <c r="G10" s="169">
        <v>36.795114115034217</v>
      </c>
      <c r="H10" s="169">
        <v>64.478346017160106</v>
      </c>
      <c r="I10" s="169">
        <v>79.483794248347294</v>
      </c>
      <c r="J10" s="169">
        <v>88.736057917957766</v>
      </c>
      <c r="K10" s="169">
        <v>95.55522047992136</v>
      </c>
      <c r="L10" s="169">
        <v>75.784411388473686</v>
      </c>
      <c r="M10" s="169">
        <v>83.797266985361404</v>
      </c>
      <c r="N10" s="169">
        <v>74.164939996714267</v>
      </c>
      <c r="O10" s="169">
        <v>62.784339626659289</v>
      </c>
      <c r="P10" s="169">
        <v>73.149089867555105</v>
      </c>
      <c r="Q10" s="169">
        <v>57.217768085286259</v>
      </c>
      <c r="R10" s="169">
        <v>50.593531940800347</v>
      </c>
      <c r="S10" s="169">
        <v>81.008635802930968</v>
      </c>
      <c r="T10" s="169">
        <v>90.256701542499854</v>
      </c>
      <c r="U10" s="169">
        <v>54.182878619418666</v>
      </c>
      <c r="V10" s="169">
        <v>35.644945208954866</v>
      </c>
    </row>
    <row r="11" spans="2:22" ht="15">
      <c r="B11" s="113" t="s">
        <v>71</v>
      </c>
      <c r="C11" s="115" t="s">
        <v>340</v>
      </c>
      <c r="D11" s="114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</row>
    <row r="12" spans="2:22">
      <c r="B12" s="114">
        <f>B10+1</f>
        <v>3</v>
      </c>
      <c r="C12" s="30" t="s">
        <v>456</v>
      </c>
      <c r="D12" s="114" t="s">
        <v>339</v>
      </c>
      <c r="E12" s="168">
        <v>185993.03</v>
      </c>
      <c r="F12" s="168">
        <v>303748.8</v>
      </c>
      <c r="G12" s="168">
        <v>326675.21999999997</v>
      </c>
      <c r="H12" s="168">
        <v>35739.879999999997</v>
      </c>
      <c r="I12" s="168">
        <v>20326.259999999998</v>
      </c>
      <c r="J12" s="168">
        <v>31589.16</v>
      </c>
      <c r="K12" s="168">
        <v>166842.98000000001</v>
      </c>
      <c r="L12" s="168">
        <v>206060.62</v>
      </c>
      <c r="M12" s="168">
        <v>254506</v>
      </c>
      <c r="N12" s="168">
        <v>256526.07999999999</v>
      </c>
      <c r="O12" s="168">
        <v>247156.06</v>
      </c>
      <c r="P12" s="168">
        <v>222925.53</v>
      </c>
      <c r="Q12" s="168">
        <v>282178.81</v>
      </c>
      <c r="R12" s="168">
        <v>289769.24</v>
      </c>
      <c r="S12" s="168">
        <v>255109.36000000004</v>
      </c>
      <c r="T12" s="168">
        <v>235538.3</v>
      </c>
      <c r="U12" s="168">
        <v>246059.07999999996</v>
      </c>
      <c r="V12" s="168">
        <v>249554.1</v>
      </c>
    </row>
    <row r="13" spans="2:22">
      <c r="B13" s="114">
        <f>B12+1</f>
        <v>4</v>
      </c>
      <c r="C13" s="30" t="s">
        <v>457</v>
      </c>
      <c r="D13" s="114" t="s">
        <v>339</v>
      </c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</row>
    <row r="14" spans="2:22">
      <c r="B14" s="114">
        <f>B13+1</f>
        <v>5</v>
      </c>
      <c r="C14" s="30" t="s">
        <v>458</v>
      </c>
      <c r="D14" s="114" t="s">
        <v>339</v>
      </c>
      <c r="E14" s="168">
        <v>185993.03</v>
      </c>
      <c r="F14" s="168">
        <v>303748.8</v>
      </c>
      <c r="G14" s="168">
        <v>326675.21999999997</v>
      </c>
      <c r="H14" s="168">
        <v>35739.879999999997</v>
      </c>
      <c r="I14" s="168">
        <v>20326.259999999998</v>
      </c>
      <c r="J14" s="168">
        <v>31589.16</v>
      </c>
      <c r="K14" s="168">
        <v>166842.98000000001</v>
      </c>
      <c r="L14" s="168">
        <v>206060.62</v>
      </c>
      <c r="M14" s="168">
        <v>254506</v>
      </c>
      <c r="N14" s="168">
        <v>256526.07999999999</v>
      </c>
      <c r="O14" s="168">
        <v>247156.06</v>
      </c>
      <c r="P14" s="168">
        <v>222925.53</v>
      </c>
      <c r="Q14" s="168">
        <v>282178.81</v>
      </c>
      <c r="R14" s="168">
        <v>289769.24</v>
      </c>
      <c r="S14" s="168">
        <v>255109.36000000004</v>
      </c>
      <c r="T14" s="168">
        <v>235538.3</v>
      </c>
      <c r="U14" s="168">
        <v>246059.07999999996</v>
      </c>
      <c r="V14" s="168">
        <v>249554.1</v>
      </c>
    </row>
    <row r="15" spans="2:22">
      <c r="B15" s="114">
        <f>B14+1</f>
        <v>6</v>
      </c>
      <c r="C15" s="30" t="s">
        <v>341</v>
      </c>
      <c r="D15" s="114" t="s">
        <v>339</v>
      </c>
      <c r="E15" s="168">
        <v>1487.94424</v>
      </c>
      <c r="F15" s="168">
        <v>2429.9904000000097</v>
      </c>
      <c r="G15" s="168">
        <v>2613.4017599999788</v>
      </c>
      <c r="H15" s="168">
        <v>285.91904000000068</v>
      </c>
      <c r="I15" s="168">
        <v>162.61007999999856</v>
      </c>
      <c r="J15" s="168">
        <v>252.71327999999994</v>
      </c>
      <c r="K15" s="168">
        <v>1334.7438400000101</v>
      </c>
      <c r="L15" s="168">
        <v>1648.4849600000016</v>
      </c>
      <c r="M15" s="168">
        <v>2036.0480000000098</v>
      </c>
      <c r="N15" s="168">
        <v>2052.2086399999971</v>
      </c>
      <c r="O15" s="168">
        <v>1977.2484800000093</v>
      </c>
      <c r="P15" s="168">
        <v>1783.4042400000035</v>
      </c>
      <c r="Q15" s="168">
        <v>2257.4304799999809</v>
      </c>
      <c r="R15" s="168">
        <v>2318.1539200000116</v>
      </c>
      <c r="S15" s="168">
        <v>2040.8748799999885</v>
      </c>
      <c r="T15" s="168">
        <v>1884.3064000000013</v>
      </c>
      <c r="U15" s="168">
        <v>1968.4726399999927</v>
      </c>
      <c r="V15" s="168">
        <v>1996.4328000000096</v>
      </c>
    </row>
    <row r="16" spans="2:22" ht="15">
      <c r="B16" s="114">
        <f>B15+1</f>
        <v>7</v>
      </c>
      <c r="C16" s="30" t="s">
        <v>459</v>
      </c>
      <c r="D16" s="114" t="s">
        <v>339</v>
      </c>
      <c r="E16" s="131">
        <f>E14-E15</f>
        <v>184505.08575999999</v>
      </c>
      <c r="F16" s="131">
        <f t="shared" ref="F16:V16" si="0">F14-F15</f>
        <v>301318.80959999998</v>
      </c>
      <c r="G16" s="131">
        <f t="shared" si="0"/>
        <v>324061.81823999999</v>
      </c>
      <c r="H16" s="131">
        <f t="shared" si="0"/>
        <v>35453.960959999997</v>
      </c>
      <c r="I16" s="131">
        <f t="shared" si="0"/>
        <v>20163.64992</v>
      </c>
      <c r="J16" s="131">
        <f t="shared" si="0"/>
        <v>31336.44672</v>
      </c>
      <c r="K16" s="131">
        <f t="shared" si="0"/>
        <v>165508.23616</v>
      </c>
      <c r="L16" s="131">
        <f t="shared" si="0"/>
        <v>204412.13503999999</v>
      </c>
      <c r="M16" s="131">
        <f t="shared" si="0"/>
        <v>252469.95199999999</v>
      </c>
      <c r="N16" s="131">
        <f t="shared" si="0"/>
        <v>254473.87135999999</v>
      </c>
      <c r="O16" s="131">
        <f t="shared" si="0"/>
        <v>245178.81151999999</v>
      </c>
      <c r="P16" s="131">
        <f t="shared" si="0"/>
        <v>221142.12576</v>
      </c>
      <c r="Q16" s="131">
        <f t="shared" si="0"/>
        <v>279921.37952000002</v>
      </c>
      <c r="R16" s="131">
        <f t="shared" si="0"/>
        <v>287451.08607999998</v>
      </c>
      <c r="S16" s="131">
        <f t="shared" si="0"/>
        <v>253068.48512000006</v>
      </c>
      <c r="T16" s="131">
        <f t="shared" si="0"/>
        <v>233653.99359999999</v>
      </c>
      <c r="U16" s="131">
        <f t="shared" si="0"/>
        <v>244090.60735999997</v>
      </c>
      <c r="V16" s="131">
        <f t="shared" si="0"/>
        <v>247557.6672</v>
      </c>
    </row>
    <row r="17" spans="2:22" ht="15">
      <c r="B17" s="113" t="s">
        <v>72</v>
      </c>
      <c r="C17" s="115" t="s">
        <v>342</v>
      </c>
      <c r="D17" s="114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</row>
    <row r="18" spans="2:22">
      <c r="B18" s="114">
        <f>B16+1</f>
        <v>8</v>
      </c>
      <c r="C18" s="30" t="s">
        <v>460</v>
      </c>
      <c r="D18" s="170" t="s">
        <v>489</v>
      </c>
      <c r="E18" s="169">
        <v>115.07820996299996</v>
      </c>
      <c r="F18" s="169">
        <v>175.728540393</v>
      </c>
      <c r="G18" s="169">
        <v>206.43970389599997</v>
      </c>
      <c r="H18" s="169">
        <v>21.781151266999998</v>
      </c>
      <c r="I18" s="169">
        <v>11.388821748</v>
      </c>
      <c r="J18" s="169">
        <v>18.708109042</v>
      </c>
      <c r="K18" s="169">
        <v>96.630861013000001</v>
      </c>
      <c r="L18" s="169">
        <v>111.95877475800002</v>
      </c>
      <c r="M18" s="169">
        <v>134.31301602900001</v>
      </c>
      <c r="N18" s="169">
        <v>135.06620210199998</v>
      </c>
      <c r="O18" s="169">
        <v>142.354211838</v>
      </c>
      <c r="P18" s="169">
        <v>142.10339366732083</v>
      </c>
      <c r="Q18" s="169">
        <v>170.79295279267916</v>
      </c>
      <c r="R18" s="169">
        <v>205.31670529099998</v>
      </c>
      <c r="S18" s="169">
        <v>177.486691054</v>
      </c>
      <c r="T18" s="169">
        <v>146.25360037900001</v>
      </c>
      <c r="U18" s="169">
        <v>145.44864001500002</v>
      </c>
      <c r="V18" s="169">
        <v>138.604935084</v>
      </c>
    </row>
    <row r="19" spans="2:22">
      <c r="B19" s="114">
        <f>B18+1</f>
        <v>9</v>
      </c>
      <c r="C19" s="30" t="s">
        <v>461</v>
      </c>
      <c r="D19" s="170" t="s">
        <v>489</v>
      </c>
      <c r="E19" s="169">
        <v>-25.533023039616797</v>
      </c>
      <c r="F19" s="169">
        <v>-26.914355978373599</v>
      </c>
      <c r="G19" s="169">
        <v>-48.329903383339193</v>
      </c>
      <c r="H19" s="169">
        <v>-3.7752469125703998</v>
      </c>
      <c r="I19" s="169">
        <v>-3.3870269863583995</v>
      </c>
      <c r="J19" s="169">
        <v>-2.6675768587775996</v>
      </c>
      <c r="K19" s="169">
        <v>-12.722196575892799</v>
      </c>
      <c r="L19" s="169">
        <v>-10.914609509902</v>
      </c>
      <c r="M19" s="169">
        <v>-15.086891998029598</v>
      </c>
      <c r="N19" s="169">
        <v>-23.942137568052001</v>
      </c>
      <c r="O19" s="169">
        <v>-3.6027080564800092E-2</v>
      </c>
      <c r="P19" s="169">
        <v>-15.129923316748801</v>
      </c>
      <c r="Q19" s="169">
        <v>-18.494730812364601</v>
      </c>
      <c r="R19" s="169">
        <v>-18.519229049078398</v>
      </c>
      <c r="S19" s="169">
        <v>-2.7624360532944015</v>
      </c>
      <c r="T19" s="169">
        <v>-4.3592964599468011</v>
      </c>
      <c r="U19" s="169">
        <v>-21.0032348549056</v>
      </c>
      <c r="V19" s="169">
        <v>-11.661857878950398</v>
      </c>
    </row>
    <row r="20" spans="2:22">
      <c r="B20" s="114">
        <f>B19+1</f>
        <v>10</v>
      </c>
      <c r="C20" s="30" t="s">
        <v>343</v>
      </c>
      <c r="D20" s="170" t="s">
        <v>489</v>
      </c>
      <c r="E20" s="169">
        <v>0.1167709</v>
      </c>
      <c r="F20" s="169">
        <v>0.120525805</v>
      </c>
      <c r="G20" s="169">
        <v>0.11759070000000001</v>
      </c>
      <c r="H20" s="169">
        <v>0.1458168</v>
      </c>
      <c r="I20" s="169">
        <v>0.526597855</v>
      </c>
      <c r="J20" s="169">
        <v>0.28679149999999998</v>
      </c>
      <c r="K20" s="169">
        <v>0.55327984500000005</v>
      </c>
      <c r="L20" s="169">
        <v>0.46478220800000003</v>
      </c>
      <c r="M20" s="169">
        <v>0.59521787300000006</v>
      </c>
      <c r="N20" s="169">
        <v>0.30145044000000004</v>
      </c>
      <c r="O20" s="169">
        <v>0.45404983899999996</v>
      </c>
      <c r="P20" s="169">
        <v>0.78103992200000005</v>
      </c>
      <c r="Q20" s="169">
        <v>0.28743848220000001</v>
      </c>
      <c r="R20" s="169">
        <v>0.19941903562000013</v>
      </c>
      <c r="S20" s="169">
        <v>0.25486151699999998</v>
      </c>
      <c r="T20" s="169">
        <v>0.27968552882399994</v>
      </c>
      <c r="U20" s="169">
        <v>0.50753141499999999</v>
      </c>
      <c r="V20" s="169">
        <v>0.50783255999999999</v>
      </c>
    </row>
    <row r="21" spans="2:22" ht="15">
      <c r="B21" s="114">
        <f>B20+1</f>
        <v>11</v>
      </c>
      <c r="C21" s="30" t="s">
        <v>344</v>
      </c>
      <c r="D21" s="170" t="s">
        <v>489</v>
      </c>
      <c r="E21" s="131">
        <f>E18+E19+E20</f>
        <v>89.661957823383176</v>
      </c>
      <c r="F21" s="131">
        <f t="shared" ref="F21:V21" si="1">F18+F19+F20</f>
        <v>148.9347102196264</v>
      </c>
      <c r="G21" s="131">
        <f t="shared" si="1"/>
        <v>158.22739121266076</v>
      </c>
      <c r="H21" s="131">
        <f t="shared" si="1"/>
        <v>18.151721154429598</v>
      </c>
      <c r="I21" s="131">
        <f t="shared" si="1"/>
        <v>8.5283926166416002</v>
      </c>
      <c r="J21" s="131">
        <f t="shared" si="1"/>
        <v>16.327323683222399</v>
      </c>
      <c r="K21" s="131">
        <f t="shared" si="1"/>
        <v>84.461944282107211</v>
      </c>
      <c r="L21" s="131">
        <f t="shared" si="1"/>
        <v>101.50894745609801</v>
      </c>
      <c r="M21" s="131">
        <f t="shared" si="1"/>
        <v>119.82134190397041</v>
      </c>
      <c r="N21" s="131">
        <f t="shared" si="1"/>
        <v>111.42551497394797</v>
      </c>
      <c r="O21" s="131">
        <f t="shared" si="1"/>
        <v>142.7722345964352</v>
      </c>
      <c r="P21" s="131">
        <f t="shared" si="1"/>
        <v>127.75451027257203</v>
      </c>
      <c r="Q21" s="131">
        <f t="shared" si="1"/>
        <v>152.58566046251457</v>
      </c>
      <c r="R21" s="131">
        <f t="shared" si="1"/>
        <v>186.99689527754157</v>
      </c>
      <c r="S21" s="131">
        <f t="shared" si="1"/>
        <v>174.97911651770559</v>
      </c>
      <c r="T21" s="131">
        <f t="shared" si="1"/>
        <v>142.1739894478772</v>
      </c>
      <c r="U21" s="131">
        <f t="shared" si="1"/>
        <v>124.95293657509443</v>
      </c>
      <c r="V21" s="131">
        <f t="shared" si="1"/>
        <v>127.4509097650496</v>
      </c>
    </row>
    <row r="22" spans="2:22" ht="15">
      <c r="B22" s="113" t="s">
        <v>345</v>
      </c>
      <c r="C22" s="115" t="s">
        <v>346</v>
      </c>
      <c r="D22" s="114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</row>
    <row r="23" spans="2:22">
      <c r="B23" s="114">
        <f>B21+1</f>
        <v>12</v>
      </c>
      <c r="C23" s="30" t="s">
        <v>347</v>
      </c>
      <c r="D23" s="114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</row>
    <row r="24" spans="2:22">
      <c r="B24" s="114"/>
      <c r="C24" s="30" t="s">
        <v>348</v>
      </c>
      <c r="D24" s="170" t="s">
        <v>489</v>
      </c>
      <c r="E24" s="169">
        <v>4.2183230200000015</v>
      </c>
      <c r="F24" s="169">
        <v>10.206653504950001</v>
      </c>
      <c r="G24" s="169">
        <v>8.8024610475000031</v>
      </c>
      <c r="H24" s="169">
        <v>1.44696752465</v>
      </c>
      <c r="I24" s="169">
        <v>0.84806128200000008</v>
      </c>
      <c r="J24" s="169">
        <v>2.048168327</v>
      </c>
      <c r="K24" s="169">
        <v>9.0865145965000007</v>
      </c>
      <c r="L24" s="169">
        <v>11.194818193250004</v>
      </c>
      <c r="M24" s="169">
        <v>14.214393224550003</v>
      </c>
      <c r="N24" s="169">
        <v>13.139821341200001</v>
      </c>
      <c r="O24" s="169">
        <v>16.655746299600001</v>
      </c>
      <c r="P24" s="169">
        <v>12.519550963250003</v>
      </c>
      <c r="Q24" s="169">
        <v>18.77322785740105</v>
      </c>
      <c r="R24" s="169">
        <v>9.9742560333499988</v>
      </c>
      <c r="S24" s="169">
        <v>5.9699582407499996</v>
      </c>
      <c r="T24" s="169">
        <v>9.5940093548500016</v>
      </c>
      <c r="U24" s="169">
        <v>9.0390672701000003</v>
      </c>
      <c r="V24" s="169">
        <v>14.121008796849999</v>
      </c>
    </row>
    <row r="25" spans="2:22">
      <c r="B25" s="114"/>
      <c r="C25" s="30" t="s">
        <v>349</v>
      </c>
      <c r="D25" s="170" t="s">
        <v>489</v>
      </c>
      <c r="E25" s="169"/>
      <c r="F25" s="169"/>
      <c r="G25" s="169"/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R25" s="169"/>
      <c r="S25" s="169"/>
      <c r="T25" s="169"/>
      <c r="U25" s="169"/>
      <c r="V25" s="169"/>
    </row>
    <row r="26" spans="2:22">
      <c r="B26" s="114"/>
      <c r="C26" s="30" t="s">
        <v>350</v>
      </c>
      <c r="D26" s="170" t="s">
        <v>489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</row>
    <row r="27" spans="2:22">
      <c r="B27" s="114"/>
      <c r="C27" s="30" t="s">
        <v>9</v>
      </c>
      <c r="D27" s="170" t="s">
        <v>489</v>
      </c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</row>
    <row r="28" spans="2:22">
      <c r="B28" s="114">
        <f>B23+1</f>
        <v>13</v>
      </c>
      <c r="C28" s="30" t="s">
        <v>462</v>
      </c>
      <c r="D28" s="170" t="s">
        <v>489</v>
      </c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</row>
    <row r="29" spans="2:22">
      <c r="B29" s="114">
        <f>B28+1</f>
        <v>14</v>
      </c>
      <c r="C29" s="30" t="s">
        <v>351</v>
      </c>
      <c r="D29" s="170" t="s">
        <v>489</v>
      </c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</row>
    <row r="30" spans="2:22" ht="28.5">
      <c r="B30" s="114">
        <f>B29+1</f>
        <v>15</v>
      </c>
      <c r="C30" s="116" t="s">
        <v>463</v>
      </c>
      <c r="D30" s="170" t="s">
        <v>489</v>
      </c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</row>
    <row r="31" spans="2:22" ht="28.5">
      <c r="B31" s="114">
        <f>B30+1</f>
        <v>16</v>
      </c>
      <c r="C31" s="116" t="s">
        <v>352</v>
      </c>
      <c r="D31" s="170" t="s">
        <v>489</v>
      </c>
      <c r="E31" s="132">
        <f>SUM(E24:E30)</f>
        <v>4.2183230200000015</v>
      </c>
      <c r="F31" s="132">
        <f t="shared" ref="F31:V31" si="2">SUM(F24:F30)</f>
        <v>10.206653504950001</v>
      </c>
      <c r="G31" s="132">
        <f t="shared" si="2"/>
        <v>8.8024610475000031</v>
      </c>
      <c r="H31" s="132">
        <f t="shared" si="2"/>
        <v>1.44696752465</v>
      </c>
      <c r="I31" s="132">
        <f t="shared" si="2"/>
        <v>0.84806128200000008</v>
      </c>
      <c r="J31" s="132">
        <f t="shared" si="2"/>
        <v>2.048168327</v>
      </c>
      <c r="K31" s="132">
        <f t="shared" si="2"/>
        <v>9.0865145965000007</v>
      </c>
      <c r="L31" s="132">
        <f t="shared" si="2"/>
        <v>11.194818193250004</v>
      </c>
      <c r="M31" s="132">
        <f t="shared" si="2"/>
        <v>14.214393224550003</v>
      </c>
      <c r="N31" s="132">
        <f t="shared" si="2"/>
        <v>13.139821341200001</v>
      </c>
      <c r="O31" s="132">
        <f t="shared" si="2"/>
        <v>16.655746299600001</v>
      </c>
      <c r="P31" s="132">
        <f t="shared" si="2"/>
        <v>12.519550963250003</v>
      </c>
      <c r="Q31" s="132">
        <f t="shared" si="2"/>
        <v>18.77322785740105</v>
      </c>
      <c r="R31" s="132">
        <f t="shared" si="2"/>
        <v>9.9742560333499988</v>
      </c>
      <c r="S31" s="132">
        <f t="shared" si="2"/>
        <v>5.9699582407499996</v>
      </c>
      <c r="T31" s="132">
        <f t="shared" si="2"/>
        <v>9.5940093548500016</v>
      </c>
      <c r="U31" s="132">
        <f t="shared" si="2"/>
        <v>9.0390672701000003</v>
      </c>
      <c r="V31" s="132">
        <f t="shared" si="2"/>
        <v>14.121008796849999</v>
      </c>
    </row>
    <row r="32" spans="2:22" ht="28.5">
      <c r="B32" s="114">
        <f>B31+1</f>
        <v>17</v>
      </c>
      <c r="C32" s="116" t="s">
        <v>464</v>
      </c>
      <c r="D32" s="170" t="s">
        <v>489</v>
      </c>
      <c r="E32" s="132">
        <f>E21+E31</f>
        <v>93.880280843383176</v>
      </c>
      <c r="F32" s="132">
        <f t="shared" ref="F32:V32" si="3">F21+F31</f>
        <v>159.14136372457639</v>
      </c>
      <c r="G32" s="132">
        <f t="shared" si="3"/>
        <v>167.02985226016077</v>
      </c>
      <c r="H32" s="132">
        <f t="shared" si="3"/>
        <v>19.598688679079597</v>
      </c>
      <c r="I32" s="132">
        <f t="shared" si="3"/>
        <v>9.3764538986415999</v>
      </c>
      <c r="J32" s="132">
        <f t="shared" si="3"/>
        <v>18.375492010222398</v>
      </c>
      <c r="K32" s="132">
        <f t="shared" si="3"/>
        <v>93.548458878607207</v>
      </c>
      <c r="L32" s="132">
        <f t="shared" si="3"/>
        <v>112.70376564934801</v>
      </c>
      <c r="M32" s="132">
        <f t="shared" si="3"/>
        <v>134.0357351285204</v>
      </c>
      <c r="N32" s="132">
        <f t="shared" si="3"/>
        <v>124.56533631514797</v>
      </c>
      <c r="O32" s="132">
        <f t="shared" si="3"/>
        <v>159.42798089603519</v>
      </c>
      <c r="P32" s="132">
        <f t="shared" si="3"/>
        <v>140.27406123582205</v>
      </c>
      <c r="Q32" s="132">
        <f t="shared" si="3"/>
        <v>171.35888831991562</v>
      </c>
      <c r="R32" s="132">
        <f t="shared" si="3"/>
        <v>196.97115131089157</v>
      </c>
      <c r="S32" s="132">
        <f t="shared" si="3"/>
        <v>180.94907475845559</v>
      </c>
      <c r="T32" s="132">
        <f t="shared" si="3"/>
        <v>151.76799880272722</v>
      </c>
      <c r="U32" s="132">
        <f t="shared" si="3"/>
        <v>133.99200384519443</v>
      </c>
      <c r="V32" s="132">
        <f t="shared" si="3"/>
        <v>141.57191856189959</v>
      </c>
    </row>
    <row r="33" spans="2:22" ht="15">
      <c r="B33" s="113" t="s">
        <v>353</v>
      </c>
      <c r="C33" s="115" t="s">
        <v>201</v>
      </c>
      <c r="D33" s="114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</row>
    <row r="34" spans="2:22" ht="15">
      <c r="B34" s="114">
        <f>B32+1</f>
        <v>18</v>
      </c>
      <c r="C34" s="116" t="s">
        <v>465</v>
      </c>
      <c r="D34" s="114" t="s">
        <v>354</v>
      </c>
      <c r="E34" s="131">
        <f t="shared" ref="E34:V34" si="4">IFERROR((E10+E32)/(E9+E16),0)*10000000</f>
        <v>5176.01767217409</v>
      </c>
      <c r="F34" s="131">
        <f t="shared" si="4"/>
        <v>5270.2985308745383</v>
      </c>
      <c r="G34" s="131">
        <f t="shared" si="4"/>
        <v>5174.8272943090715</v>
      </c>
      <c r="H34" s="131">
        <f t="shared" si="4"/>
        <v>5253.0431795105133</v>
      </c>
      <c r="I34" s="131">
        <f t="shared" si="4"/>
        <v>5182.1519085472837</v>
      </c>
      <c r="J34" s="131">
        <f t="shared" si="4"/>
        <v>5287.6198763229004</v>
      </c>
      <c r="K34" s="131">
        <f t="shared" si="4"/>
        <v>5461.9003519422449</v>
      </c>
      <c r="L34" s="131">
        <f t="shared" si="4"/>
        <v>5492.6698117768074</v>
      </c>
      <c r="M34" s="131">
        <f t="shared" si="4"/>
        <v>5378.1683936172321</v>
      </c>
      <c r="N34" s="131">
        <f t="shared" si="4"/>
        <v>5064.8193685521055</v>
      </c>
      <c r="O34" s="131">
        <f t="shared" si="4"/>
        <v>6019.7225737829749</v>
      </c>
      <c r="P34" s="131">
        <f t="shared" si="4"/>
        <v>6228.4624804489476</v>
      </c>
      <c r="Q34" s="131">
        <f t="shared" si="4"/>
        <v>6148.064357805004</v>
      </c>
      <c r="R34" s="131">
        <f t="shared" si="4"/>
        <v>6695.5900587840715</v>
      </c>
      <c r="S34" s="131">
        <f t="shared" si="4"/>
        <v>7003.1583134515222</v>
      </c>
      <c r="T34" s="131">
        <f t="shared" si="4"/>
        <v>6675.9174943089847</v>
      </c>
      <c r="U34" s="131">
        <f t="shared" si="4"/>
        <v>5785.5049916844091</v>
      </c>
      <c r="V34" s="131">
        <f t="shared" si="4"/>
        <v>5732.0489095393741</v>
      </c>
    </row>
    <row r="35" spans="2:22">
      <c r="B35" s="114">
        <f>B34+1</f>
        <v>19</v>
      </c>
      <c r="C35" s="116" t="s">
        <v>355</v>
      </c>
      <c r="D35" s="114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2:22" ht="28.5">
      <c r="B36" s="114">
        <f>B35+1</f>
        <v>20</v>
      </c>
      <c r="C36" s="116" t="s">
        <v>466</v>
      </c>
      <c r="D36" s="114" t="s">
        <v>354</v>
      </c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2:22" ht="15">
      <c r="B37" s="113" t="s">
        <v>356</v>
      </c>
      <c r="C37" s="115" t="s">
        <v>357</v>
      </c>
      <c r="D37" s="114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2:22" ht="28.5">
      <c r="B38" s="114">
        <f>B36+1</f>
        <v>21</v>
      </c>
      <c r="C38" s="116" t="s">
        <v>467</v>
      </c>
      <c r="D38" s="114" t="s">
        <v>358</v>
      </c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2:22" ht="28.5">
      <c r="B39" s="114">
        <f>B38+1</f>
        <v>22</v>
      </c>
      <c r="C39" s="116" t="s">
        <v>468</v>
      </c>
      <c r="D39" s="114" t="s">
        <v>358</v>
      </c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2:22" ht="28.5">
      <c r="B40" s="114">
        <f t="shared" ref="B40:B47" si="5">B39+1</f>
        <v>23</v>
      </c>
      <c r="C40" s="116" t="s">
        <v>469</v>
      </c>
      <c r="D40" s="114" t="s">
        <v>358</v>
      </c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2:22" ht="28.5">
      <c r="B41" s="114">
        <f t="shared" si="5"/>
        <v>24</v>
      </c>
      <c r="C41" s="116" t="s">
        <v>470</v>
      </c>
      <c r="D41" s="114" t="s">
        <v>358</v>
      </c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2:22">
      <c r="B42" s="114">
        <f t="shared" si="5"/>
        <v>25</v>
      </c>
      <c r="C42" s="116" t="s">
        <v>471</v>
      </c>
      <c r="D42" s="114" t="s">
        <v>358</v>
      </c>
      <c r="E42" s="168">
        <v>4513.4666880222403</v>
      </c>
      <c r="F42" s="168">
        <v>4455.8234555762701</v>
      </c>
      <c r="G42" s="168">
        <v>4414.51333819309</v>
      </c>
      <c r="H42" s="168">
        <v>4415.6792978310395</v>
      </c>
      <c r="I42" s="168">
        <v>3968.9122666131302</v>
      </c>
      <c r="J42" s="168">
        <v>4577.7313544993403</v>
      </c>
      <c r="K42" s="168">
        <v>4461.4106385689101</v>
      </c>
      <c r="L42" s="168">
        <v>4410.9143969800098</v>
      </c>
      <c r="M42" s="168">
        <v>4165.7242012544602</v>
      </c>
      <c r="N42" s="168">
        <v>4121.8416880735704</v>
      </c>
      <c r="O42" s="168">
        <v>4517.7315781777697</v>
      </c>
      <c r="P42" s="168">
        <v>4656.2265412131101</v>
      </c>
      <c r="Q42" s="168">
        <v>4702</v>
      </c>
      <c r="R42" s="168">
        <v>5196</v>
      </c>
      <c r="S42" s="168">
        <v>5058</v>
      </c>
      <c r="T42" s="168">
        <v>4300</v>
      </c>
      <c r="U42" s="168">
        <v>4305</v>
      </c>
      <c r="V42" s="168">
        <v>4317</v>
      </c>
    </row>
    <row r="43" spans="2:22" ht="28.5">
      <c r="B43" s="114">
        <f t="shared" si="5"/>
        <v>26</v>
      </c>
      <c r="C43" s="116" t="s">
        <v>472</v>
      </c>
      <c r="D43" s="114" t="s">
        <v>358</v>
      </c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2:22" ht="28.5">
      <c r="B44" s="114">
        <f t="shared" si="5"/>
        <v>27</v>
      </c>
      <c r="C44" s="116" t="s">
        <v>473</v>
      </c>
      <c r="D44" s="114" t="s">
        <v>358</v>
      </c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2:22" ht="28.5">
      <c r="B45" s="114">
        <f t="shared" si="5"/>
        <v>28</v>
      </c>
      <c r="C45" s="116" t="s">
        <v>474</v>
      </c>
      <c r="D45" s="114" t="s">
        <v>358</v>
      </c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2:22" ht="28.5">
      <c r="B46" s="114">
        <f t="shared" si="5"/>
        <v>29</v>
      </c>
      <c r="C46" s="116" t="s">
        <v>474</v>
      </c>
      <c r="D46" s="114" t="s">
        <v>358</v>
      </c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2:22" ht="28.5">
      <c r="B47" s="114">
        <f t="shared" si="5"/>
        <v>30</v>
      </c>
      <c r="C47" s="116" t="s">
        <v>475</v>
      </c>
      <c r="D47" s="114" t="s">
        <v>358</v>
      </c>
      <c r="E47" s="168">
        <v>4158</v>
      </c>
      <c r="F47" s="168">
        <v>4145</v>
      </c>
      <c r="G47" s="168">
        <v>4184</v>
      </c>
      <c r="H47" s="168">
        <v>4502</v>
      </c>
      <c r="I47" s="168">
        <v>0</v>
      </c>
      <c r="J47" s="168">
        <v>3950</v>
      </c>
      <c r="K47" s="168">
        <v>4021</v>
      </c>
      <c r="L47" s="168">
        <v>4090</v>
      </c>
      <c r="M47" s="168">
        <v>3789</v>
      </c>
      <c r="N47" s="168">
        <v>3876</v>
      </c>
      <c r="O47" s="168">
        <v>4057.1</v>
      </c>
      <c r="P47" s="168">
        <v>4160</v>
      </c>
      <c r="Q47" s="168">
        <v>4188</v>
      </c>
      <c r="R47" s="168">
        <v>4508</v>
      </c>
      <c r="S47" s="168">
        <v>4840</v>
      </c>
      <c r="T47" s="168">
        <v>4080</v>
      </c>
      <c r="U47" s="168">
        <v>4010</v>
      </c>
      <c r="V47" s="168">
        <v>3608</v>
      </c>
    </row>
    <row r="49" spans="2:3" ht="15">
      <c r="B49" s="112" t="s">
        <v>269</v>
      </c>
    </row>
    <row r="50" spans="2:3">
      <c r="B50" s="111">
        <v>1</v>
      </c>
      <c r="C50" s="110" t="s">
        <v>359</v>
      </c>
    </row>
    <row r="51" spans="2:3">
      <c r="B51" s="111">
        <f>B50+1</f>
        <v>2</v>
      </c>
      <c r="C51" s="110" t="s">
        <v>360</v>
      </c>
    </row>
    <row r="52" spans="2:3">
      <c r="B52" s="111">
        <f>B51+1</f>
        <v>3</v>
      </c>
      <c r="C52" s="110" t="s">
        <v>361</v>
      </c>
    </row>
    <row r="53" spans="2:3">
      <c r="B53" s="111">
        <f>B52+1</f>
        <v>4</v>
      </c>
      <c r="C53" s="110" t="s">
        <v>362</v>
      </c>
    </row>
  </sheetData>
  <mergeCells count="5">
    <mergeCell ref="B6:B7"/>
    <mergeCell ref="C6:C7"/>
    <mergeCell ref="D6:D7"/>
    <mergeCell ref="E6:P6"/>
    <mergeCell ref="Q6:V6"/>
  </mergeCells>
  <pageMargins left="0" right="0" top="0" bottom="0" header="0.05" footer="0.05"/>
  <pageSetup paperSize="9" scale="6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B2:V53"/>
  <sheetViews>
    <sheetView showGridLines="0" topLeftCell="A16" zoomScale="86" zoomScaleNormal="86" workbookViewId="0">
      <pane xSplit="4" topLeftCell="I1" activePane="topRight" state="frozen"/>
      <selection activeCell="A17" sqref="A17"/>
      <selection pane="topRight" activeCell="E6" sqref="E6:V7"/>
    </sheetView>
  </sheetViews>
  <sheetFormatPr defaultColWidth="9.28515625" defaultRowHeight="14.25"/>
  <cols>
    <col min="1" max="1" width="2.28515625" style="110" customWidth="1"/>
    <col min="2" max="2" width="9.28515625" style="110"/>
    <col min="3" max="3" width="48.7109375" style="110" customWidth="1"/>
    <col min="4" max="4" width="12.7109375" style="111" customWidth="1"/>
    <col min="5" max="16384" width="9.28515625" style="110"/>
  </cols>
  <sheetData>
    <row r="2" spans="2:22" ht="15">
      <c r="M2" s="36" t="s">
        <v>542</v>
      </c>
    </row>
    <row r="3" spans="2:22" ht="15">
      <c r="M3" s="36" t="s">
        <v>476</v>
      </c>
    </row>
    <row r="4" spans="2:22" ht="15">
      <c r="M4" s="38" t="s">
        <v>364</v>
      </c>
    </row>
    <row r="6" spans="2:22" ht="15">
      <c r="B6" s="341" t="s">
        <v>210</v>
      </c>
      <c r="C6" s="341" t="s">
        <v>18</v>
      </c>
      <c r="D6" s="341" t="s">
        <v>39</v>
      </c>
      <c r="E6" s="341" t="s">
        <v>516</v>
      </c>
      <c r="F6" s="341"/>
      <c r="G6" s="341"/>
      <c r="H6" s="341"/>
      <c r="I6" s="341"/>
      <c r="J6" s="341"/>
      <c r="K6" s="341"/>
      <c r="L6" s="341"/>
      <c r="M6" s="341"/>
      <c r="N6" s="341"/>
      <c r="O6" s="341"/>
      <c r="P6" s="341"/>
      <c r="Q6" s="341" t="s">
        <v>517</v>
      </c>
      <c r="R6" s="341"/>
      <c r="S6" s="341"/>
      <c r="T6" s="341"/>
      <c r="U6" s="341"/>
      <c r="V6" s="341"/>
    </row>
    <row r="7" spans="2:22" ht="15">
      <c r="B7" s="341"/>
      <c r="C7" s="341"/>
      <c r="D7" s="341"/>
      <c r="E7" s="113" t="s">
        <v>141</v>
      </c>
      <c r="F7" s="113" t="s">
        <v>142</v>
      </c>
      <c r="G7" s="113" t="s">
        <v>143</v>
      </c>
      <c r="H7" s="113" t="s">
        <v>144</v>
      </c>
      <c r="I7" s="113" t="s">
        <v>145</v>
      </c>
      <c r="J7" s="113" t="s">
        <v>146</v>
      </c>
      <c r="K7" s="113" t="s">
        <v>147</v>
      </c>
      <c r="L7" s="113" t="s">
        <v>148</v>
      </c>
      <c r="M7" s="113" t="s">
        <v>149</v>
      </c>
      <c r="N7" s="113" t="s">
        <v>150</v>
      </c>
      <c r="O7" s="113" t="s">
        <v>151</v>
      </c>
      <c r="P7" s="113" t="s">
        <v>152</v>
      </c>
      <c r="Q7" s="113" t="s">
        <v>141</v>
      </c>
      <c r="R7" s="113" t="s">
        <v>142</v>
      </c>
      <c r="S7" s="113" t="s">
        <v>143</v>
      </c>
      <c r="T7" s="113" t="s">
        <v>144</v>
      </c>
      <c r="U7" s="113" t="s">
        <v>145</v>
      </c>
      <c r="V7" s="113" t="s">
        <v>146</v>
      </c>
    </row>
    <row r="8" spans="2:22" ht="15">
      <c r="B8" s="113" t="s">
        <v>67</v>
      </c>
      <c r="C8" s="115" t="s">
        <v>337</v>
      </c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</row>
    <row r="9" spans="2:22">
      <c r="B9" s="114">
        <v>1</v>
      </c>
      <c r="C9" s="30" t="s">
        <v>433</v>
      </c>
      <c r="D9" s="114" t="s">
        <v>512</v>
      </c>
      <c r="E9" s="124">
        <v>3070.4184</v>
      </c>
      <c r="F9" s="124">
        <v>2481.8303999999998</v>
      </c>
      <c r="G9" s="124">
        <v>2965.2273999999998</v>
      </c>
      <c r="H9" s="124">
        <v>2792.2273999999998</v>
      </c>
      <c r="I9" s="124">
        <v>2756.2273999999998</v>
      </c>
      <c r="J9" s="124">
        <v>2908.1973999999996</v>
      </c>
      <c r="K9" s="124">
        <v>2204.3143999999998</v>
      </c>
      <c r="L9" s="124">
        <v>2357.8303999999998</v>
      </c>
      <c r="M9" s="124">
        <v>2739.9553999999998</v>
      </c>
      <c r="N9" s="124">
        <v>2739.9553999999998</v>
      </c>
      <c r="O9" s="124">
        <v>2739.0503999999996</v>
      </c>
      <c r="P9" s="124">
        <v>2761.1453999999994</v>
      </c>
      <c r="Q9" s="124">
        <v>2682.2203999999997</v>
      </c>
      <c r="R9" s="124">
        <v>2726.8603999999996</v>
      </c>
      <c r="S9" s="124">
        <v>2840.2443999999996</v>
      </c>
      <c r="T9" s="124">
        <v>2838.2893999999997</v>
      </c>
      <c r="U9" s="124">
        <v>2837.9343999999996</v>
      </c>
      <c r="V9" s="124">
        <v>2973.0893999999994</v>
      </c>
    </row>
    <row r="10" spans="2:22">
      <c r="B10" s="114">
        <f>B9+1</f>
        <v>2</v>
      </c>
      <c r="C10" s="30" t="s">
        <v>338</v>
      </c>
      <c r="D10" s="170" t="s">
        <v>489</v>
      </c>
      <c r="E10" s="124">
        <v>16.395034968909712</v>
      </c>
      <c r="F10" s="124">
        <v>13.649759067438591</v>
      </c>
      <c r="G10" s="124">
        <v>18.122513240143956</v>
      </c>
      <c r="H10" s="124">
        <v>17.040217730011651</v>
      </c>
      <c r="I10" s="124">
        <v>16.825760988550357</v>
      </c>
      <c r="J10" s="124">
        <v>18.256884361647977</v>
      </c>
      <c r="K10" s="124">
        <v>14.183620958679452</v>
      </c>
      <c r="L10" s="124">
        <v>14.51536835527471</v>
      </c>
      <c r="M10" s="124">
        <v>17.348443174095781</v>
      </c>
      <c r="N10" s="124">
        <v>17.348443174095781</v>
      </c>
      <c r="O10" s="124">
        <v>17.34330831244835</v>
      </c>
      <c r="P10" s="124">
        <v>17.294138591707373</v>
      </c>
      <c r="Q10" s="124">
        <v>16.597213617366364</v>
      </c>
      <c r="R10" s="124">
        <v>16.893177150692843</v>
      </c>
      <c r="S10" s="124">
        <v>17.501973155808081</v>
      </c>
      <c r="T10" s="124">
        <v>17.4909597760828</v>
      </c>
      <c r="U10" s="124">
        <v>17.488959904061129</v>
      </c>
      <c r="V10" s="124">
        <v>18.799780131245868</v>
      </c>
    </row>
    <row r="11" spans="2:22" ht="15">
      <c r="B11" s="113" t="s">
        <v>71</v>
      </c>
      <c r="C11" s="115" t="s">
        <v>340</v>
      </c>
      <c r="D11" s="11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</row>
    <row r="12" spans="2:22">
      <c r="B12" s="114">
        <f>B10+1</f>
        <v>3</v>
      </c>
      <c r="C12" s="30" t="s">
        <v>434</v>
      </c>
      <c r="D12" s="114" t="s">
        <v>512</v>
      </c>
      <c r="E12" s="124">
        <v>125.41200000000001</v>
      </c>
      <c r="F12" s="124">
        <v>743.39700000000005</v>
      </c>
      <c r="G12" s="124">
        <v>0</v>
      </c>
      <c r="H12" s="124">
        <v>0</v>
      </c>
      <c r="I12" s="124">
        <v>151.97</v>
      </c>
      <c r="J12" s="124">
        <v>348.11700000000002</v>
      </c>
      <c r="K12" s="124">
        <v>1046.5160000000001</v>
      </c>
      <c r="L12" s="124">
        <v>1071.125</v>
      </c>
      <c r="M12" s="124">
        <v>0</v>
      </c>
      <c r="N12" s="124">
        <v>0</v>
      </c>
      <c r="O12" s="124">
        <v>351.10400000000004</v>
      </c>
      <c r="P12" s="124">
        <v>328.11</v>
      </c>
      <c r="Q12" s="124">
        <v>44.870000000000005</v>
      </c>
      <c r="R12" s="124">
        <v>389.65600000000001</v>
      </c>
      <c r="S12" s="124">
        <v>0</v>
      </c>
      <c r="T12" s="124">
        <v>0</v>
      </c>
      <c r="U12" s="124">
        <v>550.46499999999992</v>
      </c>
      <c r="V12" s="124">
        <v>300.10000000000002</v>
      </c>
    </row>
    <row r="13" spans="2:22">
      <c r="B13" s="114">
        <f>B12+1</f>
        <v>4</v>
      </c>
      <c r="C13" s="30" t="s">
        <v>435</v>
      </c>
      <c r="D13" s="114" t="s">
        <v>512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</row>
    <row r="14" spans="2:22" ht="15">
      <c r="B14" s="114">
        <f>B13+1</f>
        <v>5</v>
      </c>
      <c r="C14" s="30" t="s">
        <v>436</v>
      </c>
      <c r="D14" s="114" t="s">
        <v>512</v>
      </c>
      <c r="E14" s="131">
        <f>E12+E13</f>
        <v>125.41200000000001</v>
      </c>
      <c r="F14" s="131">
        <f t="shared" ref="F14:V14" si="0">F12+F13</f>
        <v>743.39700000000005</v>
      </c>
      <c r="G14" s="131">
        <f t="shared" si="0"/>
        <v>0</v>
      </c>
      <c r="H14" s="131">
        <f t="shared" si="0"/>
        <v>0</v>
      </c>
      <c r="I14" s="131">
        <f t="shared" si="0"/>
        <v>151.97</v>
      </c>
      <c r="J14" s="131">
        <f t="shared" si="0"/>
        <v>348.11700000000002</v>
      </c>
      <c r="K14" s="131">
        <f t="shared" si="0"/>
        <v>1046.5160000000001</v>
      </c>
      <c r="L14" s="131">
        <f t="shared" si="0"/>
        <v>1071.125</v>
      </c>
      <c r="M14" s="131">
        <f t="shared" si="0"/>
        <v>0</v>
      </c>
      <c r="N14" s="131">
        <f t="shared" si="0"/>
        <v>0</v>
      </c>
      <c r="O14" s="131">
        <f t="shared" si="0"/>
        <v>351.10400000000004</v>
      </c>
      <c r="P14" s="131">
        <f t="shared" si="0"/>
        <v>328.11</v>
      </c>
      <c r="Q14" s="131">
        <f t="shared" si="0"/>
        <v>44.870000000000005</v>
      </c>
      <c r="R14" s="131">
        <f t="shared" si="0"/>
        <v>389.65600000000001</v>
      </c>
      <c r="S14" s="131">
        <f t="shared" si="0"/>
        <v>0</v>
      </c>
      <c r="T14" s="131">
        <f t="shared" si="0"/>
        <v>0</v>
      </c>
      <c r="U14" s="131">
        <f t="shared" si="0"/>
        <v>550.46499999999992</v>
      </c>
      <c r="V14" s="131">
        <f t="shared" si="0"/>
        <v>300.10000000000002</v>
      </c>
    </row>
    <row r="15" spans="2:22">
      <c r="B15" s="114">
        <f>B14+1</f>
        <v>6</v>
      </c>
      <c r="C15" s="30" t="s">
        <v>341</v>
      </c>
      <c r="D15" s="114" t="s">
        <v>512</v>
      </c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</row>
    <row r="16" spans="2:22" ht="15">
      <c r="B16" s="114">
        <f>B15+1</f>
        <v>7</v>
      </c>
      <c r="C16" s="30" t="s">
        <v>437</v>
      </c>
      <c r="D16" s="114" t="s">
        <v>512</v>
      </c>
      <c r="E16" s="131">
        <f>E14-E15</f>
        <v>125.41200000000001</v>
      </c>
      <c r="F16" s="131">
        <f t="shared" ref="F16:V16" si="1">F14-F15</f>
        <v>743.39700000000005</v>
      </c>
      <c r="G16" s="131">
        <f t="shared" si="1"/>
        <v>0</v>
      </c>
      <c r="H16" s="131">
        <f t="shared" si="1"/>
        <v>0</v>
      </c>
      <c r="I16" s="131">
        <f t="shared" si="1"/>
        <v>151.97</v>
      </c>
      <c r="J16" s="131">
        <f t="shared" si="1"/>
        <v>348.11700000000002</v>
      </c>
      <c r="K16" s="131">
        <f t="shared" si="1"/>
        <v>1046.5160000000001</v>
      </c>
      <c r="L16" s="131">
        <f t="shared" si="1"/>
        <v>1071.125</v>
      </c>
      <c r="M16" s="131">
        <f t="shared" si="1"/>
        <v>0</v>
      </c>
      <c r="N16" s="131">
        <f t="shared" si="1"/>
        <v>0</v>
      </c>
      <c r="O16" s="131">
        <f t="shared" si="1"/>
        <v>351.10400000000004</v>
      </c>
      <c r="P16" s="131">
        <f t="shared" si="1"/>
        <v>328.11</v>
      </c>
      <c r="Q16" s="131">
        <f t="shared" si="1"/>
        <v>44.870000000000005</v>
      </c>
      <c r="R16" s="131">
        <f t="shared" si="1"/>
        <v>389.65600000000001</v>
      </c>
      <c r="S16" s="131">
        <f t="shared" si="1"/>
        <v>0</v>
      </c>
      <c r="T16" s="131">
        <f t="shared" si="1"/>
        <v>0</v>
      </c>
      <c r="U16" s="131">
        <f t="shared" si="1"/>
        <v>550.46499999999992</v>
      </c>
      <c r="V16" s="131">
        <f t="shared" si="1"/>
        <v>300.10000000000002</v>
      </c>
    </row>
    <row r="17" spans="2:22" ht="15">
      <c r="B17" s="113" t="s">
        <v>72</v>
      </c>
      <c r="C17" s="115" t="s">
        <v>342</v>
      </c>
      <c r="D17" s="114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</row>
    <row r="18" spans="2:22">
      <c r="B18" s="114">
        <f>B16+1</f>
        <v>8</v>
      </c>
      <c r="C18" s="30" t="s">
        <v>438</v>
      </c>
      <c r="D18" s="170" t="s">
        <v>489</v>
      </c>
      <c r="E18" s="124">
        <v>1.1250689</v>
      </c>
      <c r="F18" s="124">
        <v>6.0693216999999997</v>
      </c>
      <c r="G18" s="124">
        <v>0</v>
      </c>
      <c r="H18" s="124">
        <v>0</v>
      </c>
      <c r="I18" s="124">
        <v>1.4311232</v>
      </c>
      <c r="J18" s="124">
        <v>2.8160186</v>
      </c>
      <c r="K18" s="124">
        <v>6.5000929000000003</v>
      </c>
      <c r="L18" s="124">
        <v>7.213883</v>
      </c>
      <c r="M18" s="124">
        <v>0</v>
      </c>
      <c r="N18" s="124">
        <v>0</v>
      </c>
      <c r="O18" s="124">
        <v>2.235341418</v>
      </c>
      <c r="P18" s="124">
        <v>2.0486468000000002</v>
      </c>
      <c r="Q18" s="124">
        <v>0.29726399999999997</v>
      </c>
      <c r="R18" s="124">
        <v>2.3332742</v>
      </c>
      <c r="S18" s="124">
        <v>0</v>
      </c>
      <c r="T18" s="124">
        <v>0</v>
      </c>
      <c r="U18" s="124">
        <v>4.0272411000000004</v>
      </c>
      <c r="V18" s="124">
        <v>2.2753600999999999</v>
      </c>
    </row>
    <row r="19" spans="2:22">
      <c r="B19" s="114">
        <f>B18+1</f>
        <v>9</v>
      </c>
      <c r="C19" s="30" t="s">
        <v>439</v>
      </c>
      <c r="D19" s="170" t="s">
        <v>489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</row>
    <row r="20" spans="2:22">
      <c r="B20" s="114">
        <f>B19+1</f>
        <v>10</v>
      </c>
      <c r="C20" s="30" t="s">
        <v>343</v>
      </c>
      <c r="D20" s="170" t="s">
        <v>489</v>
      </c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</row>
    <row r="21" spans="2:22" ht="15">
      <c r="B21" s="114">
        <f>B20+1</f>
        <v>11</v>
      </c>
      <c r="C21" s="30" t="s">
        <v>344</v>
      </c>
      <c r="D21" s="170" t="s">
        <v>489</v>
      </c>
      <c r="E21" s="132">
        <f>E18+E19+E20</f>
        <v>1.1250689</v>
      </c>
      <c r="F21" s="132">
        <f t="shared" ref="F21:V21" si="2">F18+F19+F20</f>
        <v>6.0693216999999997</v>
      </c>
      <c r="G21" s="132">
        <f t="shared" si="2"/>
        <v>0</v>
      </c>
      <c r="H21" s="132">
        <f t="shared" si="2"/>
        <v>0</v>
      </c>
      <c r="I21" s="132">
        <f t="shared" si="2"/>
        <v>1.4311232</v>
      </c>
      <c r="J21" s="132">
        <f t="shared" si="2"/>
        <v>2.8160186</v>
      </c>
      <c r="K21" s="132">
        <f t="shared" si="2"/>
        <v>6.5000929000000003</v>
      </c>
      <c r="L21" s="132">
        <f t="shared" si="2"/>
        <v>7.213883</v>
      </c>
      <c r="M21" s="132">
        <f t="shared" si="2"/>
        <v>0</v>
      </c>
      <c r="N21" s="132">
        <f t="shared" si="2"/>
        <v>0</v>
      </c>
      <c r="O21" s="132">
        <f t="shared" si="2"/>
        <v>2.235341418</v>
      </c>
      <c r="P21" s="132">
        <f t="shared" si="2"/>
        <v>2.0486468000000002</v>
      </c>
      <c r="Q21" s="132">
        <f t="shared" si="2"/>
        <v>0.29726399999999997</v>
      </c>
      <c r="R21" s="132">
        <f t="shared" si="2"/>
        <v>2.3332742</v>
      </c>
      <c r="S21" s="132">
        <f t="shared" si="2"/>
        <v>0</v>
      </c>
      <c r="T21" s="132">
        <f t="shared" si="2"/>
        <v>0</v>
      </c>
      <c r="U21" s="132">
        <f t="shared" si="2"/>
        <v>4.0272411000000004</v>
      </c>
      <c r="V21" s="132">
        <f t="shared" si="2"/>
        <v>2.2753600999999999</v>
      </c>
    </row>
    <row r="22" spans="2:22" ht="15">
      <c r="B22" s="113" t="s">
        <v>345</v>
      </c>
      <c r="C22" s="115" t="s">
        <v>346</v>
      </c>
      <c r="D22" s="114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</row>
    <row r="23" spans="2:22">
      <c r="B23" s="114">
        <f>B21+1</f>
        <v>12</v>
      </c>
      <c r="C23" s="30" t="s">
        <v>347</v>
      </c>
      <c r="D23" s="114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</row>
    <row r="24" spans="2:22">
      <c r="B24" s="114"/>
      <c r="C24" s="30" t="s">
        <v>348</v>
      </c>
      <c r="D24" s="170" t="s">
        <v>489</v>
      </c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</row>
    <row r="25" spans="2:22">
      <c r="B25" s="114"/>
      <c r="C25" s="30" t="s">
        <v>349</v>
      </c>
      <c r="D25" s="170" t="s">
        <v>489</v>
      </c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</row>
    <row r="26" spans="2:22">
      <c r="B26" s="114"/>
      <c r="C26" s="30" t="s">
        <v>350</v>
      </c>
      <c r="D26" s="170" t="s">
        <v>489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</row>
    <row r="27" spans="2:22">
      <c r="B27" s="114"/>
      <c r="C27" s="30" t="s">
        <v>9</v>
      </c>
      <c r="D27" s="170" t="s">
        <v>489</v>
      </c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</row>
    <row r="28" spans="2:22">
      <c r="B28" s="114">
        <f>B23+1</f>
        <v>13</v>
      </c>
      <c r="C28" s="30" t="s">
        <v>440</v>
      </c>
      <c r="D28" s="170" t="s">
        <v>489</v>
      </c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</row>
    <row r="29" spans="2:22">
      <c r="B29" s="114">
        <f>B28+1</f>
        <v>14</v>
      </c>
      <c r="C29" s="30" t="s">
        <v>351</v>
      </c>
      <c r="D29" s="170" t="s">
        <v>489</v>
      </c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</row>
    <row r="30" spans="2:22" ht="42.75">
      <c r="B30" s="114">
        <f>B29+1</f>
        <v>15</v>
      </c>
      <c r="C30" s="116" t="s">
        <v>441</v>
      </c>
      <c r="D30" s="170" t="s">
        <v>489</v>
      </c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</row>
    <row r="31" spans="2:22" ht="15">
      <c r="B31" s="114">
        <f>B30+1</f>
        <v>16</v>
      </c>
      <c r="C31" s="116" t="s">
        <v>352</v>
      </c>
      <c r="D31" s="170" t="s">
        <v>489</v>
      </c>
      <c r="E31" s="131">
        <f>SUM(E24:E30)</f>
        <v>0</v>
      </c>
      <c r="F31" s="131">
        <f t="shared" ref="F31:V31" si="3">SUM(F24:F30)</f>
        <v>0</v>
      </c>
      <c r="G31" s="131">
        <f t="shared" si="3"/>
        <v>0</v>
      </c>
      <c r="H31" s="131">
        <f t="shared" si="3"/>
        <v>0</v>
      </c>
      <c r="I31" s="131">
        <f t="shared" si="3"/>
        <v>0</v>
      </c>
      <c r="J31" s="131">
        <f t="shared" si="3"/>
        <v>0</v>
      </c>
      <c r="K31" s="131">
        <f t="shared" si="3"/>
        <v>0</v>
      </c>
      <c r="L31" s="131">
        <f t="shared" si="3"/>
        <v>0</v>
      </c>
      <c r="M31" s="131">
        <f t="shared" si="3"/>
        <v>0</v>
      </c>
      <c r="N31" s="131">
        <f t="shared" si="3"/>
        <v>0</v>
      </c>
      <c r="O31" s="131">
        <f t="shared" si="3"/>
        <v>0</v>
      </c>
      <c r="P31" s="131">
        <f t="shared" si="3"/>
        <v>0</v>
      </c>
      <c r="Q31" s="131">
        <f t="shared" si="3"/>
        <v>0</v>
      </c>
      <c r="R31" s="131">
        <f t="shared" si="3"/>
        <v>0</v>
      </c>
      <c r="S31" s="131">
        <f t="shared" si="3"/>
        <v>0</v>
      </c>
      <c r="T31" s="131">
        <f t="shared" si="3"/>
        <v>0</v>
      </c>
      <c r="U31" s="131">
        <f t="shared" si="3"/>
        <v>0</v>
      </c>
      <c r="V31" s="131">
        <f t="shared" si="3"/>
        <v>0</v>
      </c>
    </row>
    <row r="32" spans="2:22" ht="28.5">
      <c r="B32" s="114">
        <f>B31+1</f>
        <v>17</v>
      </c>
      <c r="C32" s="116" t="s">
        <v>442</v>
      </c>
      <c r="D32" s="170" t="s">
        <v>489</v>
      </c>
      <c r="E32" s="132">
        <f>E21+E31</f>
        <v>1.1250689</v>
      </c>
      <c r="F32" s="132">
        <f t="shared" ref="F32:V32" si="4">F21+F31</f>
        <v>6.0693216999999997</v>
      </c>
      <c r="G32" s="132">
        <f t="shared" si="4"/>
        <v>0</v>
      </c>
      <c r="H32" s="132">
        <f t="shared" si="4"/>
        <v>0</v>
      </c>
      <c r="I32" s="132">
        <f t="shared" si="4"/>
        <v>1.4311232</v>
      </c>
      <c r="J32" s="132">
        <f t="shared" si="4"/>
        <v>2.8160186</v>
      </c>
      <c r="K32" s="132">
        <f t="shared" si="4"/>
        <v>6.5000929000000003</v>
      </c>
      <c r="L32" s="132">
        <f t="shared" si="4"/>
        <v>7.213883</v>
      </c>
      <c r="M32" s="132">
        <f t="shared" si="4"/>
        <v>0</v>
      </c>
      <c r="N32" s="132">
        <f t="shared" si="4"/>
        <v>0</v>
      </c>
      <c r="O32" s="132">
        <f t="shared" si="4"/>
        <v>2.235341418</v>
      </c>
      <c r="P32" s="132">
        <f t="shared" si="4"/>
        <v>2.0486468000000002</v>
      </c>
      <c r="Q32" s="132">
        <f t="shared" si="4"/>
        <v>0.29726399999999997</v>
      </c>
      <c r="R32" s="132">
        <f t="shared" si="4"/>
        <v>2.3332742</v>
      </c>
      <c r="S32" s="132">
        <f t="shared" si="4"/>
        <v>0</v>
      </c>
      <c r="T32" s="132">
        <f t="shared" si="4"/>
        <v>0</v>
      </c>
      <c r="U32" s="132">
        <f t="shared" si="4"/>
        <v>4.0272411000000004</v>
      </c>
      <c r="V32" s="132">
        <f t="shared" si="4"/>
        <v>2.2753600999999999</v>
      </c>
    </row>
    <row r="33" spans="2:22" ht="15">
      <c r="B33" s="113" t="s">
        <v>353</v>
      </c>
      <c r="C33" s="115" t="s">
        <v>201</v>
      </c>
      <c r="D33" s="114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</row>
    <row r="34" spans="2:22" ht="15">
      <c r="B34" s="114">
        <f>B32+1</f>
        <v>18</v>
      </c>
      <c r="C34" s="116" t="s">
        <v>443</v>
      </c>
      <c r="D34" s="114" t="s">
        <v>513</v>
      </c>
      <c r="E34" s="131">
        <f t="shared" ref="E34:V34" si="5">IFERROR((E10+E32)/(E9+E16),0)*10000000</f>
        <v>54821.75734015707</v>
      </c>
      <c r="F34" s="131">
        <f t="shared" si="5"/>
        <v>61140.125398409407</v>
      </c>
      <c r="G34" s="131">
        <f t="shared" si="5"/>
        <v>61116.773843867617</v>
      </c>
      <c r="H34" s="131">
        <f t="shared" si="5"/>
        <v>61027.327967670732</v>
      </c>
      <c r="I34" s="131">
        <f t="shared" si="5"/>
        <v>62777.321059947179</v>
      </c>
      <c r="J34" s="131">
        <f t="shared" si="5"/>
        <v>64713.969147598211</v>
      </c>
      <c r="K34" s="131">
        <f t="shared" si="5"/>
        <v>63625.939571253715</v>
      </c>
      <c r="L34" s="131">
        <f t="shared" si="5"/>
        <v>63369.886220376939</v>
      </c>
      <c r="M34" s="131">
        <f t="shared" si="5"/>
        <v>63316.51666335803</v>
      </c>
      <c r="N34" s="131">
        <f t="shared" si="5"/>
        <v>63316.51666335803</v>
      </c>
      <c r="O34" s="131">
        <f t="shared" si="5"/>
        <v>63358.160130925353</v>
      </c>
      <c r="P34" s="131">
        <f t="shared" si="5"/>
        <v>62613.098909553984</v>
      </c>
      <c r="Q34" s="131">
        <f t="shared" si="5"/>
        <v>61950.559531749903</v>
      </c>
      <c r="R34" s="131">
        <f t="shared" si="5"/>
        <v>61692.12313688721</v>
      </c>
      <c r="S34" s="131">
        <f t="shared" si="5"/>
        <v>61621.363132722254</v>
      </c>
      <c r="T34" s="131">
        <f t="shared" si="5"/>
        <v>61625.004751392866</v>
      </c>
      <c r="U34" s="131">
        <f t="shared" si="5"/>
        <v>63499.601033045677</v>
      </c>
      <c r="V34" s="131">
        <f t="shared" si="5"/>
        <v>64387.169991586408</v>
      </c>
    </row>
    <row r="35" spans="2:22">
      <c r="B35" s="114">
        <f>B34+1</f>
        <v>19</v>
      </c>
      <c r="C35" s="116" t="s">
        <v>355</v>
      </c>
      <c r="D35" s="114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2:22" ht="28.5">
      <c r="B36" s="114">
        <f>B35+1</f>
        <v>20</v>
      </c>
      <c r="C36" s="116" t="s">
        <v>444</v>
      </c>
      <c r="D36" s="114" t="s">
        <v>513</v>
      </c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2:22" ht="15">
      <c r="B37" s="113" t="s">
        <v>356</v>
      </c>
      <c r="C37" s="115" t="s">
        <v>357</v>
      </c>
      <c r="D37" s="114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2:22" ht="42.75">
      <c r="B38" s="114">
        <f>B36+1</f>
        <v>21</v>
      </c>
      <c r="C38" s="116" t="s">
        <v>445</v>
      </c>
      <c r="D38" s="114" t="s">
        <v>358</v>
      </c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2:22" ht="28.5">
      <c r="B39" s="114">
        <f>B38+1</f>
        <v>22</v>
      </c>
      <c r="C39" s="116" t="s">
        <v>446</v>
      </c>
      <c r="D39" s="114" t="s">
        <v>358</v>
      </c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2:22" ht="42.75">
      <c r="B40" s="114">
        <f t="shared" ref="B40:B47" si="6">B39+1</f>
        <v>23</v>
      </c>
      <c r="C40" s="116" t="s">
        <v>447</v>
      </c>
      <c r="D40" s="114" t="s">
        <v>358</v>
      </c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2:22" ht="28.5">
      <c r="B41" s="114">
        <f t="shared" si="6"/>
        <v>24</v>
      </c>
      <c r="C41" s="116" t="s">
        <v>448</v>
      </c>
      <c r="D41" s="114" t="s">
        <v>358</v>
      </c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2:22">
      <c r="B42" s="114">
        <f t="shared" si="6"/>
        <v>25</v>
      </c>
      <c r="C42" s="116" t="s">
        <v>449</v>
      </c>
      <c r="D42" s="114" t="s">
        <v>358</v>
      </c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2:22" ht="42.75">
      <c r="B43" s="114">
        <f t="shared" si="6"/>
        <v>26</v>
      </c>
      <c r="C43" s="116" t="s">
        <v>450</v>
      </c>
      <c r="D43" s="114" t="s">
        <v>358</v>
      </c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2:22" ht="28.5">
      <c r="B44" s="114">
        <f t="shared" si="6"/>
        <v>27</v>
      </c>
      <c r="C44" s="116" t="s">
        <v>451</v>
      </c>
      <c r="D44" s="114" t="s">
        <v>358</v>
      </c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2:22" ht="42.75">
      <c r="B45" s="114">
        <f t="shared" si="6"/>
        <v>28</v>
      </c>
      <c r="C45" s="116" t="s">
        <v>452</v>
      </c>
      <c r="D45" s="114" t="s">
        <v>358</v>
      </c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2:22" ht="28.5">
      <c r="B46" s="114">
        <f t="shared" si="6"/>
        <v>29</v>
      </c>
      <c r="C46" s="116" t="s">
        <v>453</v>
      </c>
      <c r="D46" s="114" t="s">
        <v>358</v>
      </c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2:22">
      <c r="B47" s="114">
        <f t="shared" si="6"/>
        <v>30</v>
      </c>
      <c r="C47" s="116" t="s">
        <v>454</v>
      </c>
      <c r="D47" s="114" t="s">
        <v>358</v>
      </c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9" spans="2:3" ht="15">
      <c r="B49" s="112" t="s">
        <v>269</v>
      </c>
    </row>
    <row r="50" spans="2:3">
      <c r="B50" s="111">
        <v>1</v>
      </c>
      <c r="C50" s="110" t="s">
        <v>359</v>
      </c>
    </row>
    <row r="51" spans="2:3">
      <c r="B51" s="111">
        <f>B50+1</f>
        <v>2</v>
      </c>
      <c r="C51" s="110" t="s">
        <v>360</v>
      </c>
    </row>
    <row r="52" spans="2:3">
      <c r="B52" s="111">
        <f>B51+1</f>
        <v>3</v>
      </c>
      <c r="C52" s="110" t="s">
        <v>361</v>
      </c>
    </row>
    <row r="53" spans="2:3">
      <c r="B53" s="111">
        <f>B52+1</f>
        <v>4</v>
      </c>
      <c r="C53" s="110" t="s">
        <v>362</v>
      </c>
    </row>
  </sheetData>
  <mergeCells count="5">
    <mergeCell ref="E6:P6"/>
    <mergeCell ref="Q6:V6"/>
    <mergeCell ref="B6:B7"/>
    <mergeCell ref="C6:C7"/>
    <mergeCell ref="D6:D7"/>
  </mergeCells>
  <phoneticPr fontId="12" type="noConversion"/>
  <pageMargins left="0" right="0" top="0" bottom="0" header="0.05" footer="0.05"/>
  <pageSetup paperSize="9" scale="5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B2:O29"/>
  <sheetViews>
    <sheetView showGridLines="0" zoomScale="80" zoomScaleNormal="80" workbookViewId="0">
      <selection activeCell="L26" sqref="L26"/>
    </sheetView>
  </sheetViews>
  <sheetFormatPr defaultColWidth="9.28515625" defaultRowHeight="15"/>
  <cols>
    <col min="1" max="1" width="2.42578125" style="219" customWidth="1"/>
    <col min="2" max="2" width="33.7109375" style="219" customWidth="1"/>
    <col min="3" max="3" width="10.140625" style="219" customWidth="1"/>
    <col min="4" max="4" width="10.42578125" style="219" customWidth="1"/>
    <col min="5" max="5" width="13.85546875" style="219" customWidth="1"/>
    <col min="6" max="6" width="12" style="219" customWidth="1"/>
    <col min="7" max="7" width="15" style="219" customWidth="1"/>
    <col min="8" max="8" width="13.42578125" style="219" customWidth="1"/>
    <col min="9" max="9" width="12.85546875" style="219" customWidth="1"/>
    <col min="10" max="14" width="12.28515625" style="219" customWidth="1"/>
    <col min="15" max="16384" width="9.28515625" style="219"/>
  </cols>
  <sheetData>
    <row r="2" spans="2:14" ht="15.75">
      <c r="B2" s="285" t="s">
        <v>543</v>
      </c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</row>
    <row r="3" spans="2:14" ht="15.75">
      <c r="B3" s="285" t="s">
        <v>515</v>
      </c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</row>
    <row r="4" spans="2:14" ht="15.75">
      <c r="B4" s="285" t="s">
        <v>564</v>
      </c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</row>
    <row r="6" spans="2:14" ht="15" customHeight="1">
      <c r="B6" s="345" t="s">
        <v>18</v>
      </c>
      <c r="C6" s="345" t="s">
        <v>227</v>
      </c>
      <c r="D6" s="345" t="s">
        <v>39</v>
      </c>
      <c r="E6" s="299" t="s">
        <v>518</v>
      </c>
      <c r="F6" s="300"/>
      <c r="G6" s="301"/>
      <c r="H6" s="299" t="s">
        <v>546</v>
      </c>
      <c r="I6" s="300"/>
      <c r="J6" s="336" t="s">
        <v>252</v>
      </c>
      <c r="K6" s="336"/>
      <c r="L6" s="336"/>
      <c r="M6" s="336"/>
      <c r="N6" s="336"/>
    </row>
    <row r="7" spans="2:14" ht="31.5">
      <c r="B7" s="345"/>
      <c r="C7" s="345"/>
      <c r="D7" s="345"/>
      <c r="E7" s="196" t="s">
        <v>393</v>
      </c>
      <c r="F7" s="196" t="s">
        <v>267</v>
      </c>
      <c r="G7" s="196" t="s">
        <v>226</v>
      </c>
      <c r="H7" s="196" t="s">
        <v>429</v>
      </c>
      <c r="I7" s="196" t="s">
        <v>266</v>
      </c>
      <c r="J7" s="196" t="s">
        <v>484</v>
      </c>
      <c r="K7" s="196" t="s">
        <v>485</v>
      </c>
      <c r="L7" s="196" t="s">
        <v>486</v>
      </c>
      <c r="M7" s="196" t="s">
        <v>487</v>
      </c>
      <c r="N7" s="196" t="s">
        <v>488</v>
      </c>
    </row>
    <row r="8" spans="2:14" ht="15.75">
      <c r="B8" s="345"/>
      <c r="C8" s="345"/>
      <c r="D8" s="345"/>
      <c r="E8" s="196" t="s">
        <v>10</v>
      </c>
      <c r="F8" s="196" t="s">
        <v>12</v>
      </c>
      <c r="G8" s="196" t="s">
        <v>256</v>
      </c>
      <c r="H8" s="196" t="s">
        <v>10</v>
      </c>
      <c r="I8" s="196" t="s">
        <v>5</v>
      </c>
      <c r="J8" s="196" t="s">
        <v>8</v>
      </c>
      <c r="K8" s="196" t="s">
        <v>8</v>
      </c>
      <c r="L8" s="196" t="s">
        <v>8</v>
      </c>
      <c r="M8" s="196" t="s">
        <v>8</v>
      </c>
      <c r="N8" s="196" t="s">
        <v>8</v>
      </c>
    </row>
    <row r="9" spans="2:14">
      <c r="B9" s="220" t="s">
        <v>183</v>
      </c>
      <c r="C9" s="221" t="s">
        <v>371</v>
      </c>
      <c r="D9" s="221" t="s">
        <v>42</v>
      </c>
      <c r="E9" s="222">
        <v>5.25</v>
      </c>
      <c r="F9" s="254">
        <v>4.7015260997568946</v>
      </c>
      <c r="G9" s="255">
        <f>F9</f>
        <v>4.7015260997568946</v>
      </c>
      <c r="H9" s="255">
        <v>5.25</v>
      </c>
      <c r="I9" s="254">
        <v>4.2363998777846739</v>
      </c>
      <c r="J9" s="223">
        <v>5.25</v>
      </c>
      <c r="K9" s="223">
        <v>5.25</v>
      </c>
      <c r="L9" s="223">
        <v>5.25</v>
      </c>
      <c r="M9" s="223">
        <v>5.25</v>
      </c>
      <c r="N9" s="223">
        <v>5.25</v>
      </c>
    </row>
    <row r="10" spans="2:14">
      <c r="B10" s="224" t="s">
        <v>225</v>
      </c>
      <c r="C10" s="225" t="s">
        <v>381</v>
      </c>
      <c r="D10" s="225" t="s">
        <v>49</v>
      </c>
      <c r="E10" s="223">
        <v>2151</v>
      </c>
      <c r="F10" s="258">
        <v>2161.2392795029746</v>
      </c>
      <c r="G10" s="255">
        <f t="shared" ref="G10:G15" si="0">F10</f>
        <v>2161.2392795029746</v>
      </c>
      <c r="H10" s="256">
        <v>2151</v>
      </c>
      <c r="I10" s="258">
        <v>2124.4405163249266</v>
      </c>
      <c r="J10" s="223">
        <v>2151</v>
      </c>
      <c r="K10" s="223">
        <v>2151</v>
      </c>
      <c r="L10" s="223">
        <v>2151</v>
      </c>
      <c r="M10" s="223">
        <v>2151</v>
      </c>
      <c r="N10" s="223">
        <v>2151</v>
      </c>
    </row>
    <row r="11" spans="2:14">
      <c r="B11" s="220" t="s">
        <v>365</v>
      </c>
      <c r="C11" s="221" t="s">
        <v>372</v>
      </c>
      <c r="D11" s="221" t="s">
        <v>51</v>
      </c>
      <c r="E11" s="223">
        <v>0.5</v>
      </c>
      <c r="F11" s="256">
        <v>1.0813600713238503</v>
      </c>
      <c r="G11" s="255">
        <f t="shared" si="0"/>
        <v>1.0813600713238503</v>
      </c>
      <c r="H11" s="256">
        <v>0.5</v>
      </c>
      <c r="I11" s="257">
        <v>0.35820676828933862</v>
      </c>
      <c r="J11" s="223">
        <v>0.5</v>
      </c>
      <c r="K11" s="223">
        <v>0.5</v>
      </c>
      <c r="L11" s="223">
        <v>0.5</v>
      </c>
      <c r="M11" s="223">
        <v>0.5</v>
      </c>
      <c r="N11" s="223">
        <v>0.5</v>
      </c>
    </row>
    <row r="12" spans="2:14">
      <c r="B12" s="220" t="s">
        <v>366</v>
      </c>
      <c r="C12" s="221" t="s">
        <v>373</v>
      </c>
      <c r="D12" s="221" t="s">
        <v>374</v>
      </c>
      <c r="E12" s="223">
        <v>9819</v>
      </c>
      <c r="F12" s="259">
        <v>9819</v>
      </c>
      <c r="G12" s="255">
        <f t="shared" si="0"/>
        <v>9819</v>
      </c>
      <c r="H12" s="259">
        <v>9819</v>
      </c>
      <c r="I12" s="256">
        <v>9819</v>
      </c>
      <c r="J12" s="223">
        <v>9819</v>
      </c>
      <c r="K12" s="223">
        <v>9819</v>
      </c>
      <c r="L12" s="223">
        <v>9819</v>
      </c>
      <c r="M12" s="223">
        <v>9819</v>
      </c>
      <c r="N12" s="223">
        <v>9819</v>
      </c>
    </row>
    <row r="13" spans="2:14">
      <c r="B13" s="220" t="s">
        <v>367</v>
      </c>
      <c r="C13" s="221" t="s">
        <v>375</v>
      </c>
      <c r="D13" s="221" t="s">
        <v>376</v>
      </c>
      <c r="E13" s="222">
        <v>6.4202115474619875E-2</v>
      </c>
      <c r="F13" s="254">
        <v>6.4202115474619903E-2</v>
      </c>
      <c r="G13" s="255">
        <f t="shared" si="0"/>
        <v>6.4202115474619903E-2</v>
      </c>
      <c r="H13" s="255">
        <v>6.4798622194930502E-2</v>
      </c>
      <c r="I13" s="257">
        <f>64798.6221949305/1000000</f>
        <v>6.4798622194930502E-2</v>
      </c>
      <c r="J13" s="222">
        <v>6.5514665816664513E-2</v>
      </c>
      <c r="K13" s="222">
        <f>J13*1.02</f>
        <v>6.682495913299781E-2</v>
      </c>
      <c r="L13" s="222">
        <f>K13*1.02</f>
        <v>6.8161458315657772E-2</v>
      </c>
      <c r="M13" s="222">
        <f>L13*1.02</f>
        <v>6.9524687481970923E-2</v>
      </c>
      <c r="N13" s="222">
        <f>M13*1.02</f>
        <v>7.091518123161035E-2</v>
      </c>
    </row>
    <row r="14" spans="2:14">
      <c r="B14" s="220" t="s">
        <v>382</v>
      </c>
      <c r="C14" s="221" t="s">
        <v>377</v>
      </c>
      <c r="D14" s="221" t="s">
        <v>358</v>
      </c>
      <c r="E14" s="226">
        <v>4068.5361255109833</v>
      </c>
      <c r="F14" s="258">
        <v>4068.5361255109833</v>
      </c>
      <c r="G14" s="255">
        <f t="shared" si="0"/>
        <v>4068.5361255109833</v>
      </c>
      <c r="H14" s="259">
        <v>4185.7916424400237</v>
      </c>
      <c r="I14" s="261">
        <v>4185.7916424400237</v>
      </c>
      <c r="J14" s="226">
        <v>4020.7546280341335</v>
      </c>
      <c r="K14" s="226">
        <v>4020.7546280341335</v>
      </c>
      <c r="L14" s="226">
        <v>4020.7546280341335</v>
      </c>
      <c r="M14" s="226">
        <v>4020.7546280341335</v>
      </c>
      <c r="N14" s="226">
        <v>4020.7546280341335</v>
      </c>
    </row>
    <row r="15" spans="2:14">
      <c r="B15" s="220" t="s">
        <v>368</v>
      </c>
      <c r="C15" s="221" t="s">
        <v>378</v>
      </c>
      <c r="D15" s="221" t="s">
        <v>379</v>
      </c>
      <c r="E15" s="222">
        <v>5.4648580147702273</v>
      </c>
      <c r="F15" s="255">
        <v>5.4648580147702273</v>
      </c>
      <c r="G15" s="255">
        <f t="shared" si="0"/>
        <v>5.4648580147702273</v>
      </c>
      <c r="H15" s="255">
        <v>6.4031598282012245</v>
      </c>
      <c r="I15" s="257">
        <f>6403.15982820122/1000</f>
        <v>6.4031598282012201</v>
      </c>
      <c r="J15" s="222">
        <v>6.3610622870384175</v>
      </c>
      <c r="K15" s="222">
        <f>J15*1.02</f>
        <v>6.4882835327791861</v>
      </c>
      <c r="L15" s="222">
        <f>K15*1.02</f>
        <v>6.6180492034347695</v>
      </c>
      <c r="M15" s="222">
        <f>L15*1.02</f>
        <v>6.7504101875034648</v>
      </c>
      <c r="N15" s="222">
        <f>M15*1.02</f>
        <v>6.8854183912535341</v>
      </c>
    </row>
    <row r="16" spans="2:14">
      <c r="B16" s="220" t="s">
        <v>369</v>
      </c>
      <c r="C16" s="221"/>
      <c r="D16" s="221" t="s">
        <v>380</v>
      </c>
      <c r="E16" s="227">
        <f t="shared" ref="E16:J16" si="1">(E10-(E11*E12/1000))/E14</f>
        <v>0.52748468584151109</v>
      </c>
      <c r="F16" s="227">
        <f t="shared" si="1"/>
        <v>0.52859833085359187</v>
      </c>
      <c r="G16" s="227">
        <f t="shared" si="1"/>
        <v>0.52859833085359187</v>
      </c>
      <c r="H16" s="227">
        <f t="shared" si="1"/>
        <v>0.51270839146426772</v>
      </c>
      <c r="I16" s="227">
        <f t="shared" si="1"/>
        <v>0.50669585713796872</v>
      </c>
      <c r="J16" s="227">
        <f t="shared" si="1"/>
        <v>0.53375316291043784</v>
      </c>
      <c r="K16" s="222">
        <f t="shared" ref="K16:N16" si="2">(K10-(K11*K12/1000))/K14</f>
        <v>0.53375316291043784</v>
      </c>
      <c r="L16" s="222">
        <f t="shared" si="2"/>
        <v>0.53375316291043784</v>
      </c>
      <c r="M16" s="222">
        <f t="shared" si="2"/>
        <v>0.53375316291043784</v>
      </c>
      <c r="N16" s="222">
        <f t="shared" si="2"/>
        <v>0.53375316291043784</v>
      </c>
    </row>
    <row r="17" spans="2:15">
      <c r="B17" s="220" t="s">
        <v>537</v>
      </c>
      <c r="C17" s="221"/>
      <c r="D17" s="221" t="s">
        <v>538</v>
      </c>
      <c r="E17" s="227">
        <f>IFERROR(((E10-E11*E12/1000)*E15/E14)*100/(100-E9),0)</f>
        <v>3.0423524148702241</v>
      </c>
      <c r="F17" s="227">
        <f>IFERROR(((F10-F11*F12/1000)*F15/F14)*100/(100-F9),0)</f>
        <v>3.0312288400161327</v>
      </c>
      <c r="G17" s="227">
        <f t="shared" ref="G17:H17" si="3">IFERROR(((G10-G11*G12/1000)*G15/G14)*100/(100-G9),0)</f>
        <v>3.0312288400161327</v>
      </c>
      <c r="H17" s="260">
        <f t="shared" si="3"/>
        <v>3.4648588662856645</v>
      </c>
      <c r="I17" s="255">
        <f t="shared" ref="I17" si="4">IFERROR(((I10-I11*I12/1000)*I15/I14)*100/(100-I9),0)</f>
        <v>3.3879830680980993</v>
      </c>
      <c r="J17" s="222">
        <f>IFERROR(((J10-J11*J12/1000)*J15/J14)*100/(100-J9),0)</f>
        <v>3.5833637099494022</v>
      </c>
      <c r="K17" s="222">
        <f t="shared" ref="K17:N17" si="5">IFERROR(((K10-K11*K12/1000)*K15/K14)*100/(100-K9),0)</f>
        <v>3.6550309841483908</v>
      </c>
      <c r="L17" s="222">
        <f t="shared" si="5"/>
        <v>3.7281316038313586</v>
      </c>
      <c r="M17" s="222">
        <f t="shared" si="5"/>
        <v>3.8026942359079854</v>
      </c>
      <c r="N17" s="222">
        <f t="shared" si="5"/>
        <v>3.8787481206261454</v>
      </c>
    </row>
    <row r="18" spans="2:15">
      <c r="B18" s="220" t="s">
        <v>539</v>
      </c>
      <c r="C18" s="221"/>
      <c r="D18" s="221" t="s">
        <v>538</v>
      </c>
      <c r="E18" s="227">
        <f t="shared" ref="E18:H18" si="6">(E11*E13)/(100-E9)*100</f>
        <v>3.3879744313783572E-2</v>
      </c>
      <c r="F18" s="227">
        <f t="shared" si="6"/>
        <v>7.285069878605889E-2</v>
      </c>
      <c r="G18" s="227">
        <f t="shared" si="6"/>
        <v>7.285069878605889E-2</v>
      </c>
      <c r="H18" s="260">
        <f t="shared" si="6"/>
        <v>3.4194523585715307E-2</v>
      </c>
      <c r="I18" s="255">
        <f t="shared" ref="I18:N18" si="7">(I11*I13)/(100-I9)*100</f>
        <v>2.4238129118396925E-2</v>
      </c>
      <c r="J18" s="222">
        <f t="shared" si="7"/>
        <v>3.4572383016709507E-2</v>
      </c>
      <c r="K18" s="222">
        <f t="shared" si="7"/>
        <v>3.5263830677043695E-2</v>
      </c>
      <c r="L18" s="222">
        <f t="shared" si="7"/>
        <v>3.5969107290584577E-2</v>
      </c>
      <c r="M18" s="222">
        <f t="shared" si="7"/>
        <v>3.6688489436396264E-2</v>
      </c>
      <c r="N18" s="222">
        <f t="shared" si="7"/>
        <v>3.742225922512419E-2</v>
      </c>
    </row>
    <row r="19" spans="2:15" ht="15.75">
      <c r="B19" s="228" t="s">
        <v>370</v>
      </c>
      <c r="C19" s="221"/>
      <c r="D19" s="228" t="s">
        <v>221</v>
      </c>
      <c r="E19" s="227">
        <f t="shared" ref="E19:N19" si="8">IFERROR(((E10-E11*E12/1000)*E15/E14+E11*E13)*100/(100-E9),0)</f>
        <v>3.0762321591840078</v>
      </c>
      <c r="F19" s="229">
        <f t="shared" si="8"/>
        <v>3.1040795388021918</v>
      </c>
      <c r="G19" s="229">
        <f t="shared" si="8"/>
        <v>3.1040795388021918</v>
      </c>
      <c r="H19" s="262">
        <f t="shared" si="8"/>
        <v>3.4990533898713796</v>
      </c>
      <c r="I19" s="262">
        <f t="shared" si="8"/>
        <v>3.4122211972164966</v>
      </c>
      <c r="J19" s="229">
        <f t="shared" si="8"/>
        <v>3.6179360929661115</v>
      </c>
      <c r="K19" s="229">
        <f t="shared" si="8"/>
        <v>3.690294814825434</v>
      </c>
      <c r="L19" s="229">
        <f t="shared" si="8"/>
        <v>3.7641007111219427</v>
      </c>
      <c r="M19" s="229">
        <f t="shared" si="8"/>
        <v>3.839382725344382</v>
      </c>
      <c r="N19" s="229">
        <f t="shared" si="8"/>
        <v>3.9161703798512693</v>
      </c>
    </row>
    <row r="20" spans="2:15">
      <c r="E20" s="252"/>
    </row>
    <row r="21" spans="2:15">
      <c r="E21" s="252"/>
      <c r="F21" s="252"/>
      <c r="G21" s="252"/>
      <c r="H21" s="252"/>
      <c r="I21" s="252"/>
      <c r="J21" s="252"/>
      <c r="K21" s="252"/>
      <c r="L21" s="252"/>
      <c r="M21" s="252"/>
      <c r="N21" s="252"/>
    </row>
    <row r="22" spans="2:15" ht="29.25" customHeight="1">
      <c r="B22" s="342" t="s">
        <v>577</v>
      </c>
      <c r="C22" s="343"/>
      <c r="D22" s="343"/>
      <c r="E22" s="343"/>
      <c r="F22" s="343"/>
      <c r="G22" s="343"/>
      <c r="H22" s="343"/>
      <c r="I22" s="343"/>
      <c r="J22" s="343"/>
      <c r="K22" s="343"/>
      <c r="L22" s="343"/>
      <c r="M22" s="343"/>
      <c r="N22" s="344"/>
    </row>
    <row r="26" spans="2:15">
      <c r="J26" s="253"/>
      <c r="K26" s="253"/>
      <c r="L26" s="253"/>
      <c r="M26" s="253"/>
      <c r="N26" s="253"/>
      <c r="O26" s="253"/>
    </row>
    <row r="27" spans="2:15">
      <c r="J27" s="253"/>
      <c r="K27" s="253"/>
      <c r="L27" s="253"/>
      <c r="M27" s="253"/>
      <c r="N27" s="253"/>
    </row>
    <row r="28" spans="2:15">
      <c r="J28" s="253"/>
      <c r="K28" s="253"/>
      <c r="L28" s="253"/>
      <c r="M28" s="253"/>
      <c r="N28" s="253"/>
    </row>
    <row r="29" spans="2:15">
      <c r="J29" s="253"/>
      <c r="K29" s="253"/>
      <c r="L29" s="253"/>
      <c r="M29" s="253"/>
      <c r="N29" s="253"/>
    </row>
  </sheetData>
  <mergeCells count="10">
    <mergeCell ref="B2:N2"/>
    <mergeCell ref="B3:N3"/>
    <mergeCell ref="B4:N4"/>
    <mergeCell ref="B22:N22"/>
    <mergeCell ref="E6:G6"/>
    <mergeCell ref="H6:I6"/>
    <mergeCell ref="J6:N6"/>
    <mergeCell ref="B6:B8"/>
    <mergeCell ref="D6:D8"/>
    <mergeCell ref="C6:C8"/>
  </mergeCells>
  <pageMargins left="0.26" right="0.7" top="0.75" bottom="0.75" header="0.3" footer="0.3"/>
  <pageSetup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P24"/>
  <sheetViews>
    <sheetView showGridLines="0" zoomScale="92" zoomScaleNormal="92" workbookViewId="0">
      <selection activeCell="I21" sqref="I21"/>
    </sheetView>
  </sheetViews>
  <sheetFormatPr defaultColWidth="9.28515625" defaultRowHeight="15"/>
  <cols>
    <col min="1" max="1" width="3" style="6" customWidth="1"/>
    <col min="2" max="2" width="6.28515625" style="6" customWidth="1"/>
    <col min="3" max="3" width="37.28515625" style="6" customWidth="1"/>
    <col min="4" max="4" width="14.28515625" style="6" customWidth="1"/>
    <col min="5" max="5" width="11.5703125" style="6" customWidth="1"/>
    <col min="6" max="6" width="13.85546875" style="6" customWidth="1"/>
    <col min="7" max="7" width="13.140625" style="6" customWidth="1"/>
    <col min="8" max="8" width="14.140625" style="6" customWidth="1"/>
    <col min="9" max="9" width="15.5703125" style="6" customWidth="1"/>
    <col min="10" max="10" width="13.85546875" style="6" customWidth="1"/>
    <col min="11" max="11" width="12.42578125" style="6" customWidth="1"/>
    <col min="12" max="12" width="11.42578125" style="6" customWidth="1"/>
    <col min="13" max="13" width="13.5703125" style="6" customWidth="1"/>
    <col min="14" max="14" width="11.85546875" style="6" customWidth="1"/>
    <col min="15" max="15" width="12" style="6" customWidth="1"/>
    <col min="16" max="16" width="15.7109375" style="6" customWidth="1"/>
    <col min="17" max="16384" width="9.28515625" style="6"/>
  </cols>
  <sheetData>
    <row r="2" spans="2:16" ht="15.75">
      <c r="B2" s="285" t="s">
        <v>543</v>
      </c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</row>
    <row r="3" spans="2:16" ht="15.75">
      <c r="B3" s="285" t="s">
        <v>514</v>
      </c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</row>
    <row r="4" spans="2:16" s="15" customFormat="1" ht="15.75">
      <c r="B4" s="285" t="s">
        <v>559</v>
      </c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5"/>
      <c r="P4" s="285"/>
    </row>
    <row r="7" spans="2:16" ht="12.75" customHeight="1">
      <c r="B7" s="292" t="s">
        <v>210</v>
      </c>
      <c r="C7" s="295" t="s">
        <v>18</v>
      </c>
      <c r="D7" s="289" t="s">
        <v>39</v>
      </c>
      <c r="E7" s="295" t="s">
        <v>1</v>
      </c>
      <c r="F7" s="299" t="s">
        <v>482</v>
      </c>
      <c r="G7" s="300"/>
      <c r="H7" s="301"/>
      <c r="I7" s="299" t="s">
        <v>483</v>
      </c>
      <c r="J7" s="300"/>
      <c r="K7" s="297" t="s">
        <v>252</v>
      </c>
      <c r="L7" s="297"/>
      <c r="M7" s="297"/>
      <c r="N7" s="297"/>
      <c r="O7" s="297"/>
      <c r="P7" s="297" t="s">
        <v>11</v>
      </c>
    </row>
    <row r="8" spans="2:16" ht="30" customHeight="1">
      <c r="B8" s="293"/>
      <c r="C8" s="295"/>
      <c r="D8" s="290"/>
      <c r="E8" s="295"/>
      <c r="F8" s="196" t="s">
        <v>393</v>
      </c>
      <c r="G8" s="196" t="s">
        <v>255</v>
      </c>
      <c r="H8" s="196" t="s">
        <v>226</v>
      </c>
      <c r="I8" s="196" t="s">
        <v>393</v>
      </c>
      <c r="J8" s="196" t="s">
        <v>259</v>
      </c>
      <c r="K8" s="196" t="s">
        <v>484</v>
      </c>
      <c r="L8" s="196" t="s">
        <v>485</v>
      </c>
      <c r="M8" s="196" t="s">
        <v>486</v>
      </c>
      <c r="N8" s="196" t="s">
        <v>487</v>
      </c>
      <c r="O8" s="196" t="s">
        <v>488</v>
      </c>
      <c r="P8" s="297"/>
    </row>
    <row r="9" spans="2:16" ht="31.5">
      <c r="B9" s="294"/>
      <c r="C9" s="296"/>
      <c r="D9" s="291"/>
      <c r="E9" s="296"/>
      <c r="F9" s="196" t="s">
        <v>10</v>
      </c>
      <c r="G9" s="196" t="s">
        <v>12</v>
      </c>
      <c r="H9" s="196" t="s">
        <v>256</v>
      </c>
      <c r="I9" s="196" t="s">
        <v>10</v>
      </c>
      <c r="J9" s="196" t="s">
        <v>547</v>
      </c>
      <c r="K9" s="196" t="s">
        <v>8</v>
      </c>
      <c r="L9" s="196" t="s">
        <v>8</v>
      </c>
      <c r="M9" s="196" t="s">
        <v>8</v>
      </c>
      <c r="N9" s="196" t="s">
        <v>8</v>
      </c>
      <c r="O9" s="196" t="s">
        <v>8</v>
      </c>
      <c r="P9" s="298"/>
    </row>
    <row r="10" spans="2:16" ht="15.75">
      <c r="B10" s="197" t="s">
        <v>67</v>
      </c>
      <c r="C10" s="198" t="s">
        <v>262</v>
      </c>
      <c r="D10" s="199"/>
      <c r="E10" s="199"/>
      <c r="F10" s="196"/>
      <c r="G10" s="196"/>
      <c r="H10" s="196"/>
      <c r="I10" s="196"/>
      <c r="J10" s="196"/>
      <c r="K10" s="196"/>
      <c r="L10" s="196"/>
      <c r="M10" s="196"/>
      <c r="N10" s="196"/>
      <c r="O10" s="196"/>
      <c r="P10" s="200"/>
    </row>
    <row r="11" spans="2:16" ht="15.75">
      <c r="B11" s="8">
        <v>1</v>
      </c>
      <c r="C11" s="9" t="s">
        <v>36</v>
      </c>
      <c r="D11" s="8" t="s">
        <v>222</v>
      </c>
      <c r="E11" s="201" t="s">
        <v>301</v>
      </c>
      <c r="F11" s="202">
        <f>'F2'!E14</f>
        <v>403.30619999999993</v>
      </c>
      <c r="G11" s="202">
        <f>'F2'!F14</f>
        <v>491.6040231286251</v>
      </c>
      <c r="H11" s="202">
        <f>'F2'!G14</f>
        <v>491.6040231286251</v>
      </c>
      <c r="I11" s="202">
        <f>'F2'!H14</f>
        <v>484.98119999999994</v>
      </c>
      <c r="J11" s="202">
        <f>'F2'!I14</f>
        <v>548.2509511527951</v>
      </c>
      <c r="K11" s="202">
        <f>'F2'!J14</f>
        <v>568.90694986028097</v>
      </c>
      <c r="L11" s="202">
        <f>'F2'!K14</f>
        <v>600.5263549145667</v>
      </c>
      <c r="M11" s="202">
        <f>'F2'!L14</f>
        <v>637.31379671434217</v>
      </c>
      <c r="N11" s="202">
        <f>'F2'!M14</f>
        <v>672.99747872745877</v>
      </c>
      <c r="O11" s="202">
        <f>'F2'!N14</f>
        <v>709.30355610998254</v>
      </c>
      <c r="P11" s="263"/>
    </row>
    <row r="12" spans="2:16" ht="15.75">
      <c r="B12" s="8">
        <f t="shared" ref="B12:B17" si="0">B11+1</f>
        <v>2</v>
      </c>
      <c r="C12" s="11" t="s">
        <v>176</v>
      </c>
      <c r="D12" s="8" t="s">
        <v>222</v>
      </c>
      <c r="E12" s="201" t="s">
        <v>23</v>
      </c>
      <c r="F12" s="204">
        <v>253.4</v>
      </c>
      <c r="G12" s="204">
        <f>H12</f>
        <v>261.87</v>
      </c>
      <c r="H12" s="202">
        <f>'F4'!K21-'F4'!L21</f>
        <v>261.87</v>
      </c>
      <c r="I12" s="203">
        <v>232.68</v>
      </c>
      <c r="J12" s="202">
        <f>'F4'!K38-'F4'!L38</f>
        <v>263.95</v>
      </c>
      <c r="K12" s="202">
        <f>'F4'!K55-'F4'!L55</f>
        <v>174.37890090983603</v>
      </c>
      <c r="L12" s="202">
        <f>'F4'!K72-'F4'!L72</f>
        <v>182.21240090983608</v>
      </c>
      <c r="M12" s="202">
        <f>'F4'!K89-'F4'!L89</f>
        <v>216.72634208630666</v>
      </c>
      <c r="N12" s="202">
        <f>'F4'!K106-'F4'!L106</f>
        <v>229.3038420863067</v>
      </c>
      <c r="O12" s="202">
        <f>'F4'!K123-'F4'!L123</f>
        <v>231.10624208630674</v>
      </c>
      <c r="P12" s="263"/>
    </row>
    <row r="13" spans="2:16" ht="15.75">
      <c r="B13" s="8">
        <f t="shared" si="0"/>
        <v>3</v>
      </c>
      <c r="C13" s="9" t="s">
        <v>260</v>
      </c>
      <c r="D13" s="8" t="s">
        <v>222</v>
      </c>
      <c r="E13" s="10" t="s">
        <v>29</v>
      </c>
      <c r="F13" s="202">
        <v>275.05</v>
      </c>
      <c r="G13" s="202">
        <f>'F5'!E22</f>
        <v>264.26671119408076</v>
      </c>
      <c r="H13" s="202">
        <f>'F5'!F22</f>
        <v>264.26671119408076</v>
      </c>
      <c r="I13" s="202">
        <f>'F5'!G22</f>
        <v>263.85000000000002</v>
      </c>
      <c r="J13" s="202">
        <f>'F5'!H22</f>
        <v>249.0725819326544</v>
      </c>
      <c r="K13" s="202">
        <f>'F5'!I22</f>
        <v>232.67771338589816</v>
      </c>
      <c r="L13" s="202">
        <f>'F5'!J22</f>
        <v>243.6996634697017</v>
      </c>
      <c r="M13" s="202">
        <f>'F5'!K22</f>
        <v>254.72787131825052</v>
      </c>
      <c r="N13" s="202">
        <f>'F5'!L22</f>
        <v>240.88761472415229</v>
      </c>
      <c r="O13" s="202">
        <f>'F5'!M22</f>
        <v>218.23746828505404</v>
      </c>
      <c r="P13" s="263"/>
    </row>
    <row r="14" spans="2:16" ht="15.75">
      <c r="B14" s="8">
        <f t="shared" si="0"/>
        <v>4</v>
      </c>
      <c r="C14" s="11" t="s">
        <v>37</v>
      </c>
      <c r="D14" s="8" t="s">
        <v>222</v>
      </c>
      <c r="E14" s="10" t="s">
        <v>30</v>
      </c>
      <c r="F14" s="202">
        <f>'F6'!D20</f>
        <v>59.87</v>
      </c>
      <c r="G14" s="202">
        <f ca="1">'F6'!E20</f>
        <v>64.37941036840148</v>
      </c>
      <c r="H14" s="202">
        <f ca="1">'F6'!F20</f>
        <v>64.37941036840148</v>
      </c>
      <c r="I14" s="202">
        <f>'F6'!G20</f>
        <v>64.55</v>
      </c>
      <c r="J14" s="202">
        <f ca="1">'F6'!H20</f>
        <v>89.595746076649036</v>
      </c>
      <c r="K14" s="202">
        <f ca="1">'F6'!I20</f>
        <v>63.867614018295086</v>
      </c>
      <c r="L14" s="202">
        <f ca="1">'F6'!J20</f>
        <v>65.982015650539182</v>
      </c>
      <c r="M14" s="202">
        <f ca="1">'F6'!K20</f>
        <v>69.137239034285003</v>
      </c>
      <c r="N14" s="202">
        <f ca="1">'F6'!L20</f>
        <v>71.037700618358997</v>
      </c>
      <c r="O14" s="202">
        <f ca="1">'F6'!M20</f>
        <v>72.316723724966636</v>
      </c>
      <c r="P14" s="263"/>
    </row>
    <row r="15" spans="2:16" ht="15.75">
      <c r="B15" s="8">
        <f t="shared" si="0"/>
        <v>5</v>
      </c>
      <c r="C15" s="9" t="s">
        <v>261</v>
      </c>
      <c r="D15" s="8" t="s">
        <v>222</v>
      </c>
      <c r="E15" s="10" t="s">
        <v>31</v>
      </c>
      <c r="F15" s="202">
        <v>288.43</v>
      </c>
      <c r="G15" s="202">
        <f>'F7'!E22</f>
        <v>314.3145876313452</v>
      </c>
      <c r="H15" s="202">
        <f>'F7'!F22</f>
        <v>314.3145876313452</v>
      </c>
      <c r="I15" s="202">
        <f>'F7'!G22</f>
        <v>299.35000000000002</v>
      </c>
      <c r="J15" s="202">
        <f>'F7'!H22</f>
        <v>317.01954555492199</v>
      </c>
      <c r="K15" s="202">
        <f>'F7'!I22</f>
        <v>322.34496034683286</v>
      </c>
      <c r="L15" s="202">
        <f>'F7'!J22</f>
        <v>347.46783558737167</v>
      </c>
      <c r="M15" s="202">
        <f>'F7'!K22</f>
        <v>374.67019888114976</v>
      </c>
      <c r="N15" s="202">
        <f>'F7'!L22</f>
        <v>382.55069118390793</v>
      </c>
      <c r="O15" s="202">
        <f>'F7'!M22</f>
        <v>383.4840218445878</v>
      </c>
      <c r="P15" s="263"/>
    </row>
    <row r="16" spans="2:16" ht="15.75">
      <c r="B16" s="8">
        <f t="shared" si="0"/>
        <v>6</v>
      </c>
      <c r="C16" s="9" t="s">
        <v>38</v>
      </c>
      <c r="D16" s="8" t="s">
        <v>222</v>
      </c>
      <c r="E16" s="10" t="s">
        <v>32</v>
      </c>
      <c r="F16" s="202"/>
      <c r="G16" s="202">
        <f>'F8'!E22</f>
        <v>78.191527782907727</v>
      </c>
      <c r="H16" s="202">
        <f>'F8'!F22</f>
        <v>78.191527782907727</v>
      </c>
      <c r="I16" s="202"/>
      <c r="J16" s="202">
        <f>'F8'!H22</f>
        <v>67.845796556160821</v>
      </c>
      <c r="K16" s="202">
        <f>'F8'!I22</f>
        <v>10.833923190029235</v>
      </c>
      <c r="L16" s="202">
        <f>'F8'!J22</f>
        <v>11.267280117630403</v>
      </c>
      <c r="M16" s="202">
        <f>'F8'!K22</f>
        <v>11.717971322335622</v>
      </c>
      <c r="N16" s="202">
        <f>'F8'!L22</f>
        <v>12.186690175229046</v>
      </c>
      <c r="O16" s="202">
        <f>'F8'!M22</f>
        <v>12.674157782238206</v>
      </c>
      <c r="P16" s="263"/>
    </row>
    <row r="17" spans="2:16" ht="15.75">
      <c r="B17" s="18">
        <f t="shared" si="0"/>
        <v>7</v>
      </c>
      <c r="C17" s="205" t="s">
        <v>262</v>
      </c>
      <c r="D17" s="18" t="s">
        <v>222</v>
      </c>
      <c r="E17" s="10"/>
      <c r="F17" s="202">
        <f>SUM(F11:F16)</f>
        <v>1280.0562</v>
      </c>
      <c r="G17" s="202">
        <f ca="1">SUM(G11:G15)-G16</f>
        <v>1318.2432045395446</v>
      </c>
      <c r="H17" s="202">
        <f ca="1">SUM(H11:H15)-H16</f>
        <v>1318.2432045395446</v>
      </c>
      <c r="I17" s="202">
        <f t="shared" ref="I17:N17" si="1">SUM(I11:I15)-I16</f>
        <v>1345.4112</v>
      </c>
      <c r="J17" s="202">
        <f t="shared" ca="1" si="1"/>
        <v>1400.0430281608596</v>
      </c>
      <c r="K17" s="202">
        <f t="shared" ca="1" si="1"/>
        <v>1351.3422153311137</v>
      </c>
      <c r="L17" s="202">
        <f t="shared" ca="1" si="1"/>
        <v>1428.6209904143848</v>
      </c>
      <c r="M17" s="202">
        <f t="shared" ca="1" si="1"/>
        <v>1540.8574767119983</v>
      </c>
      <c r="N17" s="202">
        <f t="shared" ca="1" si="1"/>
        <v>1584.5906371649553</v>
      </c>
      <c r="O17" s="202">
        <f ca="1">SUM(O11:O15)-O16</f>
        <v>1601.7738542686598</v>
      </c>
      <c r="P17" s="263"/>
    </row>
    <row r="18" spans="2:16" ht="15.75">
      <c r="B18" s="18" t="s">
        <v>71</v>
      </c>
      <c r="C18" s="18" t="s">
        <v>263</v>
      </c>
      <c r="D18" s="10"/>
      <c r="E18" s="10"/>
      <c r="F18" s="10"/>
      <c r="G18" s="9"/>
      <c r="H18" s="9"/>
      <c r="I18" s="9"/>
      <c r="J18" s="9"/>
      <c r="K18" s="9"/>
      <c r="L18" s="9"/>
      <c r="M18" s="9"/>
      <c r="N18" s="9"/>
      <c r="O18" s="9"/>
      <c r="P18" s="263"/>
    </row>
    <row r="19" spans="2:16" ht="15.75">
      <c r="B19" s="8">
        <v>1</v>
      </c>
      <c r="C19" s="10" t="s">
        <v>264</v>
      </c>
      <c r="D19" s="8" t="s">
        <v>221</v>
      </c>
      <c r="E19" s="10" t="s">
        <v>172</v>
      </c>
      <c r="F19" s="265">
        <f>'F12'!E19</f>
        <v>3.0762321591840078</v>
      </c>
      <c r="G19" s="265">
        <f>'F12'!F19</f>
        <v>3.1040795388021918</v>
      </c>
      <c r="H19" s="265">
        <f>G19</f>
        <v>3.1040795388021918</v>
      </c>
      <c r="I19" s="265">
        <f>'F12'!H19</f>
        <v>3.4990533898713796</v>
      </c>
      <c r="J19" s="265">
        <f>'F12'!I19</f>
        <v>3.4122211972164966</v>
      </c>
      <c r="K19" s="265">
        <f>'F12'!J19</f>
        <v>3.6179360929661115</v>
      </c>
      <c r="L19" s="265">
        <f>'F12'!K19</f>
        <v>3.690294814825434</v>
      </c>
      <c r="M19" s="265">
        <f>'F12'!L19</f>
        <v>3.7641007111219427</v>
      </c>
      <c r="N19" s="265">
        <f>'F12'!M19</f>
        <v>3.839382725344382</v>
      </c>
      <c r="O19" s="265">
        <f>'F12'!N19</f>
        <v>3.9161703798512693</v>
      </c>
      <c r="P19" s="263"/>
    </row>
    <row r="20" spans="2:16" ht="15.75">
      <c r="B20" s="8">
        <f>B19+1</f>
        <v>2</v>
      </c>
      <c r="C20" s="10" t="s">
        <v>265</v>
      </c>
      <c r="D20" s="8" t="s">
        <v>45</v>
      </c>
      <c r="E20" s="10" t="s">
        <v>34</v>
      </c>
      <c r="F20" s="202">
        <v>4013.33</v>
      </c>
      <c r="G20" s="202">
        <f>'F10'!F30</f>
        <v>4013.33</v>
      </c>
      <c r="H20" s="202">
        <f>G20</f>
        <v>4013.33</v>
      </c>
      <c r="I20" s="202">
        <f>J20</f>
        <v>5756.6169410000002</v>
      </c>
      <c r="J20" s="202">
        <f>'F10'!I23</f>
        <v>5756.6169410000002</v>
      </c>
      <c r="K20" s="202">
        <f>'F10'!J30</f>
        <v>5648.6200000000008</v>
      </c>
      <c r="L20" s="202">
        <f>'F10'!K30</f>
        <v>5644.07</v>
      </c>
      <c r="M20" s="202">
        <f>'F10'!L30</f>
        <v>5648.6200000000008</v>
      </c>
      <c r="N20" s="202">
        <f>'F10'!M30</f>
        <v>5659.51</v>
      </c>
      <c r="O20" s="202">
        <f>'F10'!N30</f>
        <v>5646.8</v>
      </c>
      <c r="P20" s="263"/>
    </row>
    <row r="21" spans="2:16" ht="15.75">
      <c r="B21" s="8">
        <f>B20+1</f>
        <v>3</v>
      </c>
      <c r="C21" s="10" t="s">
        <v>263</v>
      </c>
      <c r="D21" s="8" t="s">
        <v>222</v>
      </c>
      <c r="E21" s="10"/>
      <c r="F21" s="202">
        <f>F19*F20/10</f>
        <v>1234.5934811417953</v>
      </c>
      <c r="G21" s="202">
        <f t="shared" ref="G21:O21" si="2">G19*G20/10</f>
        <v>1245.7695535461</v>
      </c>
      <c r="H21" s="202">
        <f t="shared" si="2"/>
        <v>1245.7695535461</v>
      </c>
      <c r="I21" s="202">
        <f t="shared" si="2"/>
        <v>2014.2710021597063</v>
      </c>
      <c r="J21" s="202">
        <f t="shared" si="2"/>
        <v>1964.2850350335787</v>
      </c>
      <c r="K21" s="202">
        <f t="shared" si="2"/>
        <v>2043.6346173450238</v>
      </c>
      <c r="L21" s="202">
        <f t="shared" si="2"/>
        <v>2082.8282255511785</v>
      </c>
      <c r="M21" s="202">
        <f t="shared" si="2"/>
        <v>2126.1974558857628</v>
      </c>
      <c r="N21" s="202">
        <f t="shared" si="2"/>
        <v>2172.9024927913783</v>
      </c>
      <c r="O21" s="202">
        <f t="shared" si="2"/>
        <v>2211.3830900944149</v>
      </c>
      <c r="P21" s="263"/>
    </row>
    <row r="22" spans="2:16" ht="15.75">
      <c r="B22" s="18" t="s">
        <v>72</v>
      </c>
      <c r="C22" s="18" t="s">
        <v>428</v>
      </c>
      <c r="D22" s="8" t="s">
        <v>222</v>
      </c>
      <c r="E22" s="9"/>
      <c r="F22" s="202">
        <f>F17+F21</f>
        <v>2514.6496811417956</v>
      </c>
      <c r="G22" s="202">
        <f t="shared" ref="G22:O22" ca="1" si="3">G17+G21</f>
        <v>2564.0127580856447</v>
      </c>
      <c r="H22" s="202">
        <f t="shared" ca="1" si="3"/>
        <v>2564.0127580856447</v>
      </c>
      <c r="I22" s="202">
        <f t="shared" si="3"/>
        <v>3359.6822021597063</v>
      </c>
      <c r="J22" s="202">
        <f ca="1">J17+J21</f>
        <v>3364.3280631944381</v>
      </c>
      <c r="K22" s="202">
        <f t="shared" ca="1" si="3"/>
        <v>3394.9768326761377</v>
      </c>
      <c r="L22" s="202">
        <f t="shared" ca="1" si="3"/>
        <v>3511.4492159655633</v>
      </c>
      <c r="M22" s="202">
        <f t="shared" ca="1" si="3"/>
        <v>3667.0549325977609</v>
      </c>
      <c r="N22" s="202">
        <f t="shared" ca="1" si="3"/>
        <v>3757.4931299563336</v>
      </c>
      <c r="O22" s="202">
        <f t="shared" ca="1" si="3"/>
        <v>3813.1569443630747</v>
      </c>
      <c r="P22" s="263"/>
    </row>
    <row r="23" spans="2:16" ht="15.75" hidden="1">
      <c r="F23" s="206">
        <f t="shared" ref="F23:G23" si="4">F17+F16</f>
        <v>1280.0562</v>
      </c>
      <c r="G23" s="206">
        <f t="shared" ca="1" si="4"/>
        <v>1396.4347323224524</v>
      </c>
      <c r="H23" s="206">
        <f ca="1">H17+H16</f>
        <v>1396.4347323224524</v>
      </c>
      <c r="I23" s="206">
        <f>SUM(I17+I16)</f>
        <v>1345.4112</v>
      </c>
      <c r="J23" s="206">
        <f t="shared" ref="J23:O23" ca="1" si="5">SUM(J17+J16)</f>
        <v>1467.8888247170205</v>
      </c>
      <c r="K23" s="206">
        <f t="shared" ca="1" si="5"/>
        <v>1362.176138521143</v>
      </c>
      <c r="L23" s="206">
        <f t="shared" ca="1" si="5"/>
        <v>1439.8882705320152</v>
      </c>
      <c r="M23" s="206">
        <f t="shared" ca="1" si="5"/>
        <v>1552.5754480343339</v>
      </c>
      <c r="N23" s="206">
        <f t="shared" ca="1" si="5"/>
        <v>1596.7773273401845</v>
      </c>
      <c r="O23" s="206">
        <f t="shared" ca="1" si="5"/>
        <v>1614.4480120508979</v>
      </c>
      <c r="P23" s="263"/>
    </row>
    <row r="24" spans="2:16">
      <c r="G24" s="270"/>
    </row>
  </sheetData>
  <mergeCells count="11">
    <mergeCell ref="B2:P2"/>
    <mergeCell ref="B3:P3"/>
    <mergeCell ref="B4:P4"/>
    <mergeCell ref="D7:D9"/>
    <mergeCell ref="B7:B9"/>
    <mergeCell ref="C7:C9"/>
    <mergeCell ref="E7:E9"/>
    <mergeCell ref="P7:P9"/>
    <mergeCell ref="K7:O7"/>
    <mergeCell ref="F7:H7"/>
    <mergeCell ref="I7:J7"/>
  </mergeCells>
  <pageMargins left="0" right="0" top="0.92" bottom="1" header="0.5" footer="0.5"/>
  <pageSetup paperSize="9" scale="67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71"/>
  <sheetViews>
    <sheetView showGridLines="0" zoomScale="80" zoomScaleNormal="80" workbookViewId="0">
      <selection activeCell="B4" sqref="B4:O4"/>
    </sheetView>
  </sheetViews>
  <sheetFormatPr defaultColWidth="9.28515625" defaultRowHeight="14.25"/>
  <cols>
    <col min="1" max="1" width="4.28515625" style="5" customWidth="1"/>
    <col min="2" max="2" width="30.42578125" style="5" customWidth="1"/>
    <col min="3" max="15" width="10.7109375" style="5" customWidth="1"/>
    <col min="16" max="16384" width="9.28515625" style="5"/>
  </cols>
  <sheetData>
    <row r="1" spans="1:17" ht="15">
      <c r="B1" s="117"/>
    </row>
    <row r="2" spans="1:17" ht="14.25" customHeight="1">
      <c r="B2" s="313" t="s">
        <v>542</v>
      </c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</row>
    <row r="3" spans="1:17" ht="14.25" customHeight="1">
      <c r="B3" s="313" t="s">
        <v>511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</row>
    <row r="4" spans="1:17" ht="15">
      <c r="B4" s="315" t="s">
        <v>384</v>
      </c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</row>
    <row r="5" spans="1:17" ht="15">
      <c r="B5" s="26" t="s">
        <v>482</v>
      </c>
      <c r="C5" s="82"/>
      <c r="D5" s="82"/>
      <c r="E5" s="82"/>
      <c r="F5" s="82"/>
      <c r="G5" s="82"/>
      <c r="H5" s="82"/>
      <c r="I5" s="38"/>
    </row>
    <row r="6" spans="1:17" ht="15">
      <c r="B6" s="26" t="s">
        <v>12</v>
      </c>
      <c r="C6" s="27"/>
      <c r="D6" s="27"/>
      <c r="O6" s="27" t="s">
        <v>140</v>
      </c>
    </row>
    <row r="7" spans="1:17" s="35" customFormat="1" ht="15" customHeight="1">
      <c r="B7" s="33" t="s">
        <v>385</v>
      </c>
      <c r="C7" s="33" t="s">
        <v>141</v>
      </c>
      <c r="D7" s="33" t="s">
        <v>142</v>
      </c>
      <c r="E7" s="118" t="s">
        <v>143</v>
      </c>
      <c r="F7" s="118" t="s">
        <v>144</v>
      </c>
      <c r="G7" s="118" t="s">
        <v>145</v>
      </c>
      <c r="H7" s="118" t="s">
        <v>146</v>
      </c>
      <c r="I7" s="118" t="s">
        <v>147</v>
      </c>
      <c r="J7" s="118" t="s">
        <v>148</v>
      </c>
      <c r="K7" s="118" t="s">
        <v>149</v>
      </c>
      <c r="L7" s="118" t="s">
        <v>150</v>
      </c>
      <c r="M7" s="118" t="s">
        <v>151</v>
      </c>
      <c r="N7" s="118" t="s">
        <v>152</v>
      </c>
      <c r="O7" s="118" t="s">
        <v>139</v>
      </c>
    </row>
    <row r="8" spans="1:17" s="35" customFormat="1" ht="15">
      <c r="B8" s="80" t="s">
        <v>480</v>
      </c>
      <c r="C8" s="156">
        <v>302.1048394275</v>
      </c>
      <c r="D8" s="156">
        <v>351.37334938400005</v>
      </c>
      <c r="E8" s="156">
        <v>345.68927627850002</v>
      </c>
      <c r="F8" s="156">
        <v>15.209874500000002</v>
      </c>
      <c r="G8" s="156">
        <v>-1.2223239020000001</v>
      </c>
      <c r="H8" s="156">
        <v>19.2350179735</v>
      </c>
      <c r="I8" s="156">
        <v>269.208677486</v>
      </c>
      <c r="J8" s="156">
        <v>241.92564427550002</v>
      </c>
      <c r="K8" s="156">
        <v>315.51458340900001</v>
      </c>
      <c r="L8" s="156">
        <v>328.391907</v>
      </c>
      <c r="M8" s="156">
        <v>314.66086914699997</v>
      </c>
      <c r="N8" s="156">
        <v>329.31006868700001</v>
      </c>
      <c r="O8" s="156">
        <f>SUM(C8:N8)</f>
        <v>2831.4017836660005</v>
      </c>
    </row>
    <row r="9" spans="1:17" s="35" customFormat="1" ht="15">
      <c r="B9" s="80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</row>
    <row r="10" spans="1:17" s="35" customFormat="1" ht="15">
      <c r="B10" s="80" t="s">
        <v>481</v>
      </c>
      <c r="C10" s="156">
        <v>126.10896557249998</v>
      </c>
      <c r="D10" s="156">
        <v>146.67533861599998</v>
      </c>
      <c r="E10" s="156">
        <v>144.3026107215</v>
      </c>
      <c r="F10" s="156">
        <v>6.3491254999999995</v>
      </c>
      <c r="G10" s="156">
        <v>-0.51256400000000002</v>
      </c>
      <c r="H10" s="156">
        <v>8.0293590264999999</v>
      </c>
      <c r="I10" s="156">
        <v>112.37697451399998</v>
      </c>
      <c r="J10" s="156">
        <v>100.9880967245</v>
      </c>
      <c r="K10" s="156">
        <v>131.70665459100002</v>
      </c>
      <c r="L10" s="156">
        <v>137.08209299999999</v>
      </c>
      <c r="M10" s="156">
        <v>131.35028485300001</v>
      </c>
      <c r="N10" s="156">
        <v>137.46536531300001</v>
      </c>
      <c r="O10" s="156">
        <f>SUM(C10:N10)</f>
        <v>1181.9223044320001</v>
      </c>
    </row>
    <row r="11" spans="1:17" s="35" customFormat="1" ht="15">
      <c r="B11" s="40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7" ht="15">
      <c r="B12" s="42" t="s">
        <v>139</v>
      </c>
      <c r="C12" s="138">
        <f>C8+C10</f>
        <v>428.21380499999998</v>
      </c>
      <c r="D12" s="138">
        <f>D8+D10</f>
        <v>498.04868800000003</v>
      </c>
      <c r="E12" s="138">
        <f t="shared" ref="E12:O12" si="0">E8+E10</f>
        <v>489.99188700000002</v>
      </c>
      <c r="F12" s="138">
        <f t="shared" si="0"/>
        <v>21.559000000000001</v>
      </c>
      <c r="G12" s="138">
        <f t="shared" si="0"/>
        <v>-1.7348879020000001</v>
      </c>
      <c r="H12" s="138">
        <f t="shared" si="0"/>
        <v>27.264377</v>
      </c>
      <c r="I12" s="138">
        <f t="shared" si="0"/>
        <v>381.58565199999998</v>
      </c>
      <c r="J12" s="138">
        <f t="shared" si="0"/>
        <v>342.91374100000002</v>
      </c>
      <c r="K12" s="138">
        <f t="shared" si="0"/>
        <v>447.22123800000003</v>
      </c>
      <c r="L12" s="138">
        <f t="shared" si="0"/>
        <v>465.47399999999999</v>
      </c>
      <c r="M12" s="138">
        <f t="shared" si="0"/>
        <v>446.01115399999998</v>
      </c>
      <c r="N12" s="138">
        <f t="shared" si="0"/>
        <v>466.77543400000002</v>
      </c>
      <c r="O12" s="138">
        <f t="shared" si="0"/>
        <v>4013.3240880980006</v>
      </c>
    </row>
    <row r="13" spans="1:17" ht="16.5">
      <c r="B13" s="26"/>
      <c r="C13" s="82"/>
      <c r="D13" s="82"/>
      <c r="E13" s="82"/>
      <c r="F13" s="82"/>
      <c r="G13" s="82"/>
      <c r="H13" s="82"/>
      <c r="I13" s="108"/>
    </row>
    <row r="14" spans="1:17" ht="16.5">
      <c r="B14" s="26" t="s">
        <v>483</v>
      </c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38"/>
      <c r="P14" s="108"/>
    </row>
    <row r="15" spans="1:17" ht="16.5">
      <c r="A15" s="5" t="s">
        <v>383</v>
      </c>
      <c r="B15" s="26"/>
      <c r="C15" s="27"/>
      <c r="D15" s="27"/>
      <c r="O15" s="27" t="s">
        <v>140</v>
      </c>
      <c r="P15" s="108"/>
    </row>
    <row r="16" spans="1:17" ht="18.75" customHeight="1">
      <c r="B16" s="308" t="s">
        <v>385</v>
      </c>
      <c r="C16" s="346" t="s">
        <v>153</v>
      </c>
      <c r="D16" s="333"/>
      <c r="E16" s="333"/>
      <c r="F16" s="333"/>
      <c r="G16" s="333"/>
      <c r="H16" s="334"/>
      <c r="I16" s="346" t="s">
        <v>5</v>
      </c>
      <c r="J16" s="333"/>
      <c r="K16" s="333"/>
      <c r="L16" s="333"/>
      <c r="M16" s="333"/>
      <c r="N16" s="334"/>
      <c r="O16" s="33" t="s">
        <v>154</v>
      </c>
      <c r="P16" s="108"/>
      <c r="Q16" s="108"/>
    </row>
    <row r="17" spans="2:15" ht="15">
      <c r="B17" s="310"/>
      <c r="C17" s="33" t="s">
        <v>141</v>
      </c>
      <c r="D17" s="33" t="s">
        <v>142</v>
      </c>
      <c r="E17" s="118" t="s">
        <v>143</v>
      </c>
      <c r="F17" s="118" t="s">
        <v>144</v>
      </c>
      <c r="G17" s="118" t="s">
        <v>145</v>
      </c>
      <c r="H17" s="118" t="s">
        <v>146</v>
      </c>
      <c r="I17" s="118" t="s">
        <v>147</v>
      </c>
      <c r="J17" s="118" t="s">
        <v>148</v>
      </c>
      <c r="K17" s="118" t="s">
        <v>149</v>
      </c>
      <c r="L17" s="118" t="s">
        <v>150</v>
      </c>
      <c r="M17" s="118" t="s">
        <v>151</v>
      </c>
      <c r="N17" s="118" t="s">
        <v>152</v>
      </c>
      <c r="O17" s="24"/>
    </row>
    <row r="18" spans="2:15" s="35" customFormat="1" ht="15">
      <c r="B18" s="80" t="s">
        <v>480</v>
      </c>
      <c r="C18" s="156">
        <v>352.15032500000001</v>
      </c>
      <c r="D18" s="156">
        <v>367.41734499999995</v>
      </c>
      <c r="E18" s="156">
        <v>376.75110999999998</v>
      </c>
      <c r="F18" s="167">
        <v>373.30121500000001</v>
      </c>
      <c r="G18" s="156">
        <v>345.29991999999999</v>
      </c>
      <c r="H18" s="156">
        <v>272.85917999999998</v>
      </c>
      <c r="I18" s="156">
        <v>380.88533999999999</v>
      </c>
      <c r="J18" s="156">
        <v>225.94343000000001</v>
      </c>
      <c r="K18" s="156">
        <v>357.58267500000005</v>
      </c>
      <c r="L18" s="156">
        <f>485.31*0.7055</f>
        <v>342.38620500000002</v>
      </c>
      <c r="M18" s="156">
        <f>457.21*0.7055</f>
        <v>322.56165499999997</v>
      </c>
      <c r="N18" s="156">
        <f>487.822957*0.7055</f>
        <v>344.15909616350001</v>
      </c>
      <c r="O18" s="167">
        <f>SUM(C18:N18)</f>
        <v>4061.2974961634995</v>
      </c>
    </row>
    <row r="19" spans="2:15" s="35" customFormat="1" ht="15">
      <c r="B19" s="80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67"/>
    </row>
    <row r="20" spans="2:15" s="35" customFormat="1" ht="15">
      <c r="B20" s="80" t="s">
        <v>481</v>
      </c>
      <c r="C20" s="156">
        <v>146.99967499999997</v>
      </c>
      <c r="D20" s="156">
        <v>153.37265500000001</v>
      </c>
      <c r="E20" s="156">
        <v>157.26889</v>
      </c>
      <c r="F20" s="156">
        <v>155.82878499999998</v>
      </c>
      <c r="G20" s="156">
        <v>144.14008000000001</v>
      </c>
      <c r="H20" s="156">
        <v>113.90082000000001</v>
      </c>
      <c r="I20" s="156">
        <v>158.99466000000001</v>
      </c>
      <c r="J20" s="156">
        <v>94.316569999999984</v>
      </c>
      <c r="K20" s="156">
        <v>149.26732499999997</v>
      </c>
      <c r="L20" s="156">
        <f>485.31*0.2945</f>
        <v>142.92379499999998</v>
      </c>
      <c r="M20" s="156">
        <f>457.21*0.2945</f>
        <v>134.64834499999998</v>
      </c>
      <c r="N20" s="156">
        <f>487.822957*0.2945</f>
        <v>143.66386083649999</v>
      </c>
      <c r="O20" s="167">
        <f>SUM(C20:N20)</f>
        <v>1695.3254608364998</v>
      </c>
    </row>
    <row r="21" spans="2:15" s="35" customFormat="1" ht="15">
      <c r="B21" s="40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2:15" ht="15">
      <c r="B22" s="42" t="s">
        <v>139</v>
      </c>
      <c r="C22" s="138">
        <f>C18+C20</f>
        <v>499.15</v>
      </c>
      <c r="D22" s="138">
        <f t="shared" ref="D22:O22" si="1">D18+D20</f>
        <v>520.79</v>
      </c>
      <c r="E22" s="138">
        <f t="shared" si="1"/>
        <v>534.02</v>
      </c>
      <c r="F22" s="138">
        <f t="shared" si="1"/>
        <v>529.13</v>
      </c>
      <c r="G22" s="138">
        <f t="shared" si="1"/>
        <v>489.44</v>
      </c>
      <c r="H22" s="138">
        <f t="shared" si="1"/>
        <v>386.76</v>
      </c>
      <c r="I22" s="138">
        <f t="shared" si="1"/>
        <v>539.88</v>
      </c>
      <c r="J22" s="138">
        <f t="shared" si="1"/>
        <v>320.26</v>
      </c>
      <c r="K22" s="138">
        <f t="shared" si="1"/>
        <v>506.85</v>
      </c>
      <c r="L22" s="138">
        <f t="shared" si="1"/>
        <v>485.31</v>
      </c>
      <c r="M22" s="138">
        <f t="shared" si="1"/>
        <v>457.20999999999992</v>
      </c>
      <c r="N22" s="138">
        <f t="shared" si="1"/>
        <v>487.82295699999997</v>
      </c>
      <c r="O22" s="138">
        <f t="shared" si="1"/>
        <v>5756.6229569999996</v>
      </c>
    </row>
    <row r="24" spans="2:15" ht="15">
      <c r="B24" s="26" t="s">
        <v>484</v>
      </c>
      <c r="C24" s="82"/>
      <c r="D24" s="82"/>
      <c r="E24" s="82"/>
      <c r="F24" s="82"/>
      <c r="G24" s="82"/>
      <c r="H24" s="82"/>
      <c r="I24" s="38"/>
    </row>
    <row r="25" spans="2:15" ht="15">
      <c r="B25" s="26" t="s">
        <v>8</v>
      </c>
      <c r="C25" s="27"/>
      <c r="D25" s="27"/>
      <c r="O25" s="27" t="s">
        <v>140</v>
      </c>
    </row>
    <row r="26" spans="2:15" ht="15">
      <c r="B26" s="33" t="s">
        <v>385</v>
      </c>
      <c r="C26" s="33" t="s">
        <v>141</v>
      </c>
      <c r="D26" s="33" t="s">
        <v>142</v>
      </c>
      <c r="E26" s="118" t="s">
        <v>143</v>
      </c>
      <c r="F26" s="118" t="s">
        <v>144</v>
      </c>
      <c r="G26" s="118" t="s">
        <v>145</v>
      </c>
      <c r="H26" s="118" t="s">
        <v>146</v>
      </c>
      <c r="I26" s="118" t="s">
        <v>147</v>
      </c>
      <c r="J26" s="118" t="s">
        <v>148</v>
      </c>
      <c r="K26" s="118" t="s">
        <v>149</v>
      </c>
      <c r="L26" s="118" t="s">
        <v>150</v>
      </c>
      <c r="M26" s="118" t="s">
        <v>151</v>
      </c>
      <c r="N26" s="118" t="s">
        <v>152</v>
      </c>
      <c r="O26" s="118" t="s">
        <v>139</v>
      </c>
    </row>
    <row r="27" spans="2:15" ht="15">
      <c r="B27" s="80" t="s">
        <v>480</v>
      </c>
      <c r="C27" s="156">
        <v>346.52748999999994</v>
      </c>
      <c r="D27" s="156">
        <v>358.08357999999998</v>
      </c>
      <c r="E27" s="156">
        <v>346.52748999999994</v>
      </c>
      <c r="F27" s="156">
        <v>358.08357999999998</v>
      </c>
      <c r="G27" s="156">
        <v>358.08357999999998</v>
      </c>
      <c r="H27" s="156">
        <v>346.52748999999994</v>
      </c>
      <c r="I27" s="156">
        <v>358.08357999999998</v>
      </c>
      <c r="J27" s="156">
        <v>115.51151499999999</v>
      </c>
      <c r="K27" s="156">
        <v>358.08357999999998</v>
      </c>
      <c r="L27" s="156">
        <v>358.08357999999998</v>
      </c>
      <c r="M27" s="156">
        <v>323.42941999999999</v>
      </c>
      <c r="N27" s="156">
        <v>358.08357999999998</v>
      </c>
      <c r="O27" s="156">
        <f>SUM(C27:N27)</f>
        <v>3985.1084649999998</v>
      </c>
    </row>
    <row r="28" spans="2:15" ht="15">
      <c r="B28" s="80"/>
      <c r="C28" s="156"/>
      <c r="D28" s="156"/>
      <c r="E28" s="156"/>
      <c r="F28" s="156"/>
      <c r="G28" s="156"/>
      <c r="H28" s="156"/>
      <c r="I28" s="156"/>
      <c r="J28" s="156"/>
      <c r="K28" s="156"/>
      <c r="L28" s="156"/>
      <c r="M28" s="156"/>
      <c r="N28" s="156"/>
      <c r="O28" s="156"/>
    </row>
    <row r="29" spans="2:15" ht="15">
      <c r="B29" s="80" t="s">
        <v>481</v>
      </c>
      <c r="C29" s="156">
        <v>144.65251000000006</v>
      </c>
      <c r="D29" s="156">
        <v>149.47642000000002</v>
      </c>
      <c r="E29" s="156">
        <v>144.65251000000006</v>
      </c>
      <c r="F29" s="156">
        <v>149.47642000000002</v>
      </c>
      <c r="G29" s="156">
        <v>149.47642000000002</v>
      </c>
      <c r="H29" s="156">
        <v>144.65251000000006</v>
      </c>
      <c r="I29" s="156">
        <v>149.47642000000002</v>
      </c>
      <c r="J29" s="156">
        <v>48.218484999999994</v>
      </c>
      <c r="K29" s="156">
        <v>149.47642000000002</v>
      </c>
      <c r="L29" s="156">
        <v>149.47642000000002</v>
      </c>
      <c r="M29" s="156">
        <v>135.01058</v>
      </c>
      <c r="N29" s="156">
        <v>149.47642000000002</v>
      </c>
      <c r="O29" s="156">
        <f>SUM(C29:N29)</f>
        <v>1663.5215350000003</v>
      </c>
    </row>
    <row r="30" spans="2:15" ht="15">
      <c r="B30" s="40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2:15" ht="15">
      <c r="B31" s="42" t="s">
        <v>139</v>
      </c>
      <c r="C31" s="138">
        <f>C27+C29</f>
        <v>491.18</v>
      </c>
      <c r="D31" s="138">
        <f t="shared" ref="D31:O31" si="2">D27+D29</f>
        <v>507.56</v>
      </c>
      <c r="E31" s="138">
        <f t="shared" si="2"/>
        <v>491.18</v>
      </c>
      <c r="F31" s="138">
        <f t="shared" si="2"/>
        <v>507.56</v>
      </c>
      <c r="G31" s="138">
        <f t="shared" si="2"/>
        <v>507.56</v>
      </c>
      <c r="H31" s="138">
        <f t="shared" si="2"/>
        <v>491.18</v>
      </c>
      <c r="I31" s="138">
        <f t="shared" si="2"/>
        <v>507.56</v>
      </c>
      <c r="J31" s="138">
        <f t="shared" si="2"/>
        <v>163.72999999999999</v>
      </c>
      <c r="K31" s="138">
        <f t="shared" si="2"/>
        <v>507.56</v>
      </c>
      <c r="L31" s="138">
        <f t="shared" si="2"/>
        <v>507.56</v>
      </c>
      <c r="M31" s="138">
        <f t="shared" si="2"/>
        <v>458.44</v>
      </c>
      <c r="N31" s="138">
        <f t="shared" si="2"/>
        <v>507.56</v>
      </c>
      <c r="O31" s="138">
        <f t="shared" si="2"/>
        <v>5648.63</v>
      </c>
    </row>
    <row r="34" spans="2:15" ht="15">
      <c r="B34" s="26" t="s">
        <v>485</v>
      </c>
      <c r="C34" s="82"/>
      <c r="D34" s="82"/>
      <c r="E34" s="82"/>
      <c r="F34" s="82"/>
      <c r="G34" s="82"/>
      <c r="H34" s="82"/>
      <c r="I34" s="38"/>
    </row>
    <row r="35" spans="2:15" ht="15">
      <c r="B35" s="26" t="s">
        <v>8</v>
      </c>
      <c r="C35" s="27"/>
      <c r="D35" s="27"/>
      <c r="O35" s="27" t="s">
        <v>140</v>
      </c>
    </row>
    <row r="36" spans="2:15" ht="15">
      <c r="B36" s="33" t="s">
        <v>385</v>
      </c>
      <c r="C36" s="33" t="s">
        <v>141</v>
      </c>
      <c r="D36" s="33" t="s">
        <v>142</v>
      </c>
      <c r="E36" s="118" t="s">
        <v>143</v>
      </c>
      <c r="F36" s="118" t="s">
        <v>144</v>
      </c>
      <c r="G36" s="118" t="s">
        <v>145</v>
      </c>
      <c r="H36" s="118" t="s">
        <v>146</v>
      </c>
      <c r="I36" s="118" t="s">
        <v>147</v>
      </c>
      <c r="J36" s="118" t="s">
        <v>148</v>
      </c>
      <c r="K36" s="118" t="s">
        <v>149</v>
      </c>
      <c r="L36" s="118" t="s">
        <v>150</v>
      </c>
      <c r="M36" s="118" t="s">
        <v>151</v>
      </c>
      <c r="N36" s="118" t="s">
        <v>152</v>
      </c>
      <c r="O36" s="118" t="s">
        <v>139</v>
      </c>
    </row>
    <row r="37" spans="2:15" ht="15">
      <c r="B37" s="80" t="s">
        <v>480</v>
      </c>
      <c r="C37" s="156">
        <v>327.28145000000001</v>
      </c>
      <c r="D37" s="156">
        <v>338.18848000000003</v>
      </c>
      <c r="E37" s="156">
        <v>327.28145000000001</v>
      </c>
      <c r="F37" s="156">
        <v>338.18848000000003</v>
      </c>
      <c r="G37" s="156">
        <v>338.18848000000003</v>
      </c>
      <c r="H37" s="156">
        <v>327.28145000000001</v>
      </c>
      <c r="I37" s="156">
        <v>338.18848000000003</v>
      </c>
      <c r="J37" s="156">
        <v>327.28145000000001</v>
      </c>
      <c r="K37" s="156">
        <v>338.18848000000003</v>
      </c>
      <c r="L37" s="156">
        <v>338.18848000000003</v>
      </c>
      <c r="M37" s="156">
        <v>305.46033500000004</v>
      </c>
      <c r="N37" s="156">
        <v>338.18848000000003</v>
      </c>
      <c r="O37" s="156">
        <f>SUM(C37:N37)</f>
        <v>3981.905495</v>
      </c>
    </row>
    <row r="38" spans="2:15" ht="15">
      <c r="B38" s="80"/>
      <c r="C38" s="156"/>
      <c r="D38" s="156"/>
      <c r="E38" s="156"/>
      <c r="F38" s="156"/>
      <c r="G38" s="156"/>
      <c r="H38" s="156"/>
      <c r="I38" s="156"/>
      <c r="J38" s="156"/>
      <c r="K38" s="156"/>
      <c r="L38" s="156"/>
      <c r="M38" s="156"/>
      <c r="N38" s="156"/>
      <c r="O38" s="156"/>
    </row>
    <row r="39" spans="2:15" ht="15">
      <c r="B39" s="80" t="s">
        <v>481</v>
      </c>
      <c r="C39" s="156">
        <v>136.61854999999997</v>
      </c>
      <c r="D39" s="156">
        <v>141.17151999999999</v>
      </c>
      <c r="E39" s="156">
        <v>136.61854999999997</v>
      </c>
      <c r="F39" s="156">
        <v>141.17151999999999</v>
      </c>
      <c r="G39" s="156">
        <v>141.17151999999999</v>
      </c>
      <c r="H39" s="156">
        <v>136.61854999999997</v>
      </c>
      <c r="I39" s="156">
        <v>141.17151999999999</v>
      </c>
      <c r="J39" s="156">
        <v>136.61854999999997</v>
      </c>
      <c r="K39" s="156">
        <v>141.17151999999999</v>
      </c>
      <c r="L39" s="156">
        <v>141.17151999999999</v>
      </c>
      <c r="M39" s="156">
        <v>127.50966499999998</v>
      </c>
      <c r="N39" s="156">
        <v>141.17151999999999</v>
      </c>
      <c r="O39" s="156">
        <f t="shared" ref="O39" si="3">SUM(C39:N39)</f>
        <v>1662.1845049999997</v>
      </c>
    </row>
    <row r="40" spans="2:15" ht="15">
      <c r="B40" s="40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</row>
    <row r="41" spans="2:15" ht="15">
      <c r="B41" s="42" t="s">
        <v>139</v>
      </c>
      <c r="C41" s="138">
        <f>C37+C39</f>
        <v>463.9</v>
      </c>
      <c r="D41" s="138">
        <f t="shared" ref="D41:O41" si="4">D37+D39</f>
        <v>479.36</v>
      </c>
      <c r="E41" s="138">
        <f t="shared" si="4"/>
        <v>463.9</v>
      </c>
      <c r="F41" s="138">
        <f t="shared" si="4"/>
        <v>479.36</v>
      </c>
      <c r="G41" s="138">
        <f t="shared" si="4"/>
        <v>479.36</v>
      </c>
      <c r="H41" s="138">
        <f t="shared" si="4"/>
        <v>463.9</v>
      </c>
      <c r="I41" s="138">
        <f t="shared" si="4"/>
        <v>479.36</v>
      </c>
      <c r="J41" s="138">
        <f t="shared" si="4"/>
        <v>463.9</v>
      </c>
      <c r="K41" s="138">
        <f t="shared" si="4"/>
        <v>479.36</v>
      </c>
      <c r="L41" s="138">
        <f t="shared" si="4"/>
        <v>479.36</v>
      </c>
      <c r="M41" s="138">
        <f t="shared" si="4"/>
        <v>432.97</v>
      </c>
      <c r="N41" s="138">
        <f t="shared" si="4"/>
        <v>479.36</v>
      </c>
      <c r="O41" s="138">
        <f t="shared" si="4"/>
        <v>5644.09</v>
      </c>
    </row>
    <row r="44" spans="2:15" ht="15">
      <c r="B44" s="26" t="s">
        <v>486</v>
      </c>
      <c r="C44" s="82"/>
      <c r="D44" s="82"/>
      <c r="E44" s="82"/>
      <c r="F44" s="82"/>
      <c r="G44" s="82"/>
      <c r="H44" s="82"/>
      <c r="I44" s="38"/>
    </row>
    <row r="45" spans="2:15" ht="15">
      <c r="B45" s="26" t="s">
        <v>8</v>
      </c>
      <c r="C45" s="27"/>
      <c r="D45" s="27"/>
      <c r="O45" s="27" t="s">
        <v>140</v>
      </c>
    </row>
    <row r="46" spans="2:15" ht="15">
      <c r="B46" s="33" t="s">
        <v>385</v>
      </c>
      <c r="C46" s="33" t="s">
        <v>141</v>
      </c>
      <c r="D46" s="33" t="s">
        <v>142</v>
      </c>
      <c r="E46" s="118" t="s">
        <v>143</v>
      </c>
      <c r="F46" s="118" t="s">
        <v>144</v>
      </c>
      <c r="G46" s="118" t="s">
        <v>145</v>
      </c>
      <c r="H46" s="118" t="s">
        <v>146</v>
      </c>
      <c r="I46" s="118" t="s">
        <v>147</v>
      </c>
      <c r="J46" s="118" t="s">
        <v>148</v>
      </c>
      <c r="K46" s="118" t="s">
        <v>149</v>
      </c>
      <c r="L46" s="118" t="s">
        <v>150</v>
      </c>
      <c r="M46" s="118" t="s">
        <v>151</v>
      </c>
      <c r="N46" s="118" t="s">
        <v>152</v>
      </c>
      <c r="O46" s="118" t="s">
        <v>139</v>
      </c>
    </row>
    <row r="47" spans="2:15" ht="15">
      <c r="B47" s="80" t="s">
        <v>480</v>
      </c>
      <c r="C47" s="156">
        <v>346.52749</v>
      </c>
      <c r="D47" s="156">
        <v>358.08357999999998</v>
      </c>
      <c r="E47" s="156">
        <v>346.52749</v>
      </c>
      <c r="F47" s="156">
        <v>358.08357999999998</v>
      </c>
      <c r="G47" s="156">
        <v>358.08357999999998</v>
      </c>
      <c r="H47" s="156">
        <v>346.52749</v>
      </c>
      <c r="I47" s="156">
        <v>358.08357999999998</v>
      </c>
      <c r="J47" s="156">
        <v>115.51151499999999</v>
      </c>
      <c r="K47" s="156">
        <v>358.08357999999998</v>
      </c>
      <c r="L47" s="156">
        <v>358.08357999999998</v>
      </c>
      <c r="M47" s="156">
        <v>323.42941999999999</v>
      </c>
      <c r="N47" s="156">
        <v>358.08357999999998</v>
      </c>
      <c r="O47" s="156">
        <f>SUM(C47:N47)</f>
        <v>3985.1084649999998</v>
      </c>
    </row>
    <row r="48" spans="2:15" ht="15">
      <c r="B48" s="80"/>
      <c r="C48" s="156"/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</row>
    <row r="49" spans="2:15" ht="15">
      <c r="B49" s="80" t="s">
        <v>481</v>
      </c>
      <c r="C49" s="156">
        <v>144.65251000000001</v>
      </c>
      <c r="D49" s="156">
        <v>149.47642000000002</v>
      </c>
      <c r="E49" s="156">
        <v>144.65251000000001</v>
      </c>
      <c r="F49" s="156">
        <v>149.47642000000002</v>
      </c>
      <c r="G49" s="156">
        <v>149.47642000000002</v>
      </c>
      <c r="H49" s="156">
        <v>144.65251000000001</v>
      </c>
      <c r="I49" s="156">
        <v>149.47642000000002</v>
      </c>
      <c r="J49" s="156">
        <v>48.218485000000001</v>
      </c>
      <c r="K49" s="156">
        <v>149.47642000000002</v>
      </c>
      <c r="L49" s="156">
        <v>149.47642000000002</v>
      </c>
      <c r="M49" s="156">
        <v>135.01058</v>
      </c>
      <c r="N49" s="156">
        <v>149.47642000000002</v>
      </c>
      <c r="O49" s="156">
        <f t="shared" ref="O49" si="5">SUM(C49:N49)</f>
        <v>1663.5215350000003</v>
      </c>
    </row>
    <row r="50" spans="2:15">
      <c r="B50" s="40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</row>
    <row r="51" spans="2:15" ht="15">
      <c r="B51" s="42" t="s">
        <v>139</v>
      </c>
      <c r="C51" s="138">
        <f>C47+C49</f>
        <v>491.18</v>
      </c>
      <c r="D51" s="138">
        <f t="shared" ref="D51:O51" si="6">D47+D49</f>
        <v>507.56</v>
      </c>
      <c r="E51" s="138">
        <f t="shared" si="6"/>
        <v>491.18</v>
      </c>
      <c r="F51" s="138">
        <f t="shared" si="6"/>
        <v>507.56</v>
      </c>
      <c r="G51" s="138">
        <f t="shared" si="6"/>
        <v>507.56</v>
      </c>
      <c r="H51" s="138">
        <f t="shared" si="6"/>
        <v>491.18</v>
      </c>
      <c r="I51" s="138">
        <f t="shared" si="6"/>
        <v>507.56</v>
      </c>
      <c r="J51" s="138">
        <f t="shared" si="6"/>
        <v>163.72999999999999</v>
      </c>
      <c r="K51" s="138">
        <f t="shared" si="6"/>
        <v>507.56</v>
      </c>
      <c r="L51" s="138">
        <f t="shared" si="6"/>
        <v>507.56</v>
      </c>
      <c r="M51" s="138">
        <f t="shared" si="6"/>
        <v>458.44</v>
      </c>
      <c r="N51" s="138">
        <f t="shared" si="6"/>
        <v>507.56</v>
      </c>
      <c r="O51" s="138">
        <f t="shared" si="6"/>
        <v>5648.63</v>
      </c>
    </row>
    <row r="54" spans="2:15" ht="15">
      <c r="B54" s="26" t="s">
        <v>487</v>
      </c>
      <c r="C54" s="82"/>
      <c r="D54" s="82"/>
      <c r="E54" s="82"/>
      <c r="F54" s="82"/>
      <c r="G54" s="82"/>
      <c r="H54" s="82"/>
      <c r="I54" s="38"/>
    </row>
    <row r="55" spans="2:15" ht="15">
      <c r="B55" s="26" t="s">
        <v>8</v>
      </c>
      <c r="C55" s="27"/>
      <c r="D55" s="27"/>
      <c r="O55" s="27" t="s">
        <v>140</v>
      </c>
    </row>
    <row r="56" spans="2:15" ht="15">
      <c r="B56" s="33" t="s">
        <v>385</v>
      </c>
      <c r="C56" s="33" t="s">
        <v>141</v>
      </c>
      <c r="D56" s="33" t="s">
        <v>142</v>
      </c>
      <c r="E56" s="118" t="s">
        <v>143</v>
      </c>
      <c r="F56" s="118" t="s">
        <v>144</v>
      </c>
      <c r="G56" s="118" t="s">
        <v>145</v>
      </c>
      <c r="H56" s="118" t="s">
        <v>146</v>
      </c>
      <c r="I56" s="118" t="s">
        <v>147</v>
      </c>
      <c r="J56" s="118" t="s">
        <v>148</v>
      </c>
      <c r="K56" s="118" t="s">
        <v>149</v>
      </c>
      <c r="L56" s="118" t="s">
        <v>150</v>
      </c>
      <c r="M56" s="118" t="s">
        <v>151</v>
      </c>
      <c r="N56" s="118" t="s">
        <v>152</v>
      </c>
      <c r="O56" s="118" t="s">
        <v>139</v>
      </c>
    </row>
    <row r="57" spans="2:15" ht="15">
      <c r="B57" s="80" t="s">
        <v>480</v>
      </c>
      <c r="C57" s="156">
        <v>327.28145000000001</v>
      </c>
      <c r="D57" s="156">
        <v>338.18848000000003</v>
      </c>
      <c r="E57" s="156">
        <v>327.28145000000001</v>
      </c>
      <c r="F57" s="156">
        <v>338.18848000000003</v>
      </c>
      <c r="G57" s="156">
        <v>338.18848000000003</v>
      </c>
      <c r="H57" s="156">
        <v>327.28145000000001</v>
      </c>
      <c r="I57" s="156">
        <v>338.18848000000003</v>
      </c>
      <c r="J57" s="156">
        <v>327.28145000000001</v>
      </c>
      <c r="K57" s="156">
        <v>338.18848000000003</v>
      </c>
      <c r="L57" s="156">
        <v>338.18848000000003</v>
      </c>
      <c r="M57" s="156">
        <v>316.36736500000001</v>
      </c>
      <c r="N57" s="156">
        <v>338.18848000000003</v>
      </c>
      <c r="O57" s="156">
        <f>SUM(C57:N57)</f>
        <v>3992.8125249999994</v>
      </c>
    </row>
    <row r="58" spans="2:15" ht="15">
      <c r="B58" s="80"/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6"/>
      <c r="N58" s="156"/>
      <c r="O58" s="156"/>
    </row>
    <row r="59" spans="2:15" ht="15">
      <c r="B59" s="80" t="s">
        <v>481</v>
      </c>
      <c r="C59" s="156">
        <v>136.61854999999997</v>
      </c>
      <c r="D59" s="156">
        <v>141.17151999999999</v>
      </c>
      <c r="E59" s="156">
        <v>136.61854999999997</v>
      </c>
      <c r="F59" s="156">
        <v>141.17151999999999</v>
      </c>
      <c r="G59" s="156">
        <v>141.17151999999999</v>
      </c>
      <c r="H59" s="156">
        <v>136.61854999999997</v>
      </c>
      <c r="I59" s="156">
        <v>141.17151999999999</v>
      </c>
      <c r="J59" s="156">
        <v>136.61854999999997</v>
      </c>
      <c r="K59" s="156">
        <v>141.17151999999999</v>
      </c>
      <c r="L59" s="156">
        <v>141.17151999999999</v>
      </c>
      <c r="M59" s="156">
        <v>132.062635</v>
      </c>
      <c r="N59" s="156">
        <v>141.17151999999999</v>
      </c>
      <c r="O59" s="156">
        <f t="shared" ref="O59" si="7">SUM(C59:N59)</f>
        <v>1666.7374749999999</v>
      </c>
    </row>
    <row r="60" spans="2:15" ht="15">
      <c r="B60" s="80"/>
      <c r="C60" s="156"/>
      <c r="D60" s="156"/>
      <c r="E60" s="156"/>
      <c r="F60" s="156"/>
      <c r="G60" s="156"/>
      <c r="H60" s="156"/>
      <c r="I60" s="156"/>
      <c r="J60" s="156"/>
      <c r="K60" s="156"/>
      <c r="L60" s="156"/>
      <c r="M60" s="156"/>
      <c r="N60" s="156"/>
      <c r="O60" s="156"/>
    </row>
    <row r="61" spans="2:15" ht="15">
      <c r="B61" s="42" t="s">
        <v>139</v>
      </c>
      <c r="C61" s="138">
        <f>C57+C59</f>
        <v>463.9</v>
      </c>
      <c r="D61" s="138">
        <f t="shared" ref="D61:O61" si="8">D57+D59</f>
        <v>479.36</v>
      </c>
      <c r="E61" s="138">
        <f t="shared" si="8"/>
        <v>463.9</v>
      </c>
      <c r="F61" s="138">
        <f t="shared" si="8"/>
        <v>479.36</v>
      </c>
      <c r="G61" s="138">
        <f t="shared" si="8"/>
        <v>479.36</v>
      </c>
      <c r="H61" s="138">
        <f t="shared" si="8"/>
        <v>463.9</v>
      </c>
      <c r="I61" s="138">
        <f t="shared" si="8"/>
        <v>479.36</v>
      </c>
      <c r="J61" s="138">
        <f t="shared" si="8"/>
        <v>463.9</v>
      </c>
      <c r="K61" s="138">
        <f t="shared" si="8"/>
        <v>479.36</v>
      </c>
      <c r="L61" s="138">
        <f t="shared" si="8"/>
        <v>479.36</v>
      </c>
      <c r="M61" s="138">
        <f t="shared" si="8"/>
        <v>448.43</v>
      </c>
      <c r="N61" s="138">
        <f t="shared" si="8"/>
        <v>479.36</v>
      </c>
      <c r="O61" s="138">
        <f t="shared" si="8"/>
        <v>5659.5499999999993</v>
      </c>
    </row>
    <row r="64" spans="2:15" ht="15">
      <c r="B64" s="26" t="s">
        <v>488</v>
      </c>
      <c r="C64" s="82"/>
      <c r="D64" s="82"/>
      <c r="E64" s="82"/>
      <c r="F64" s="82"/>
      <c r="G64" s="82"/>
      <c r="H64" s="82"/>
      <c r="I64" s="38"/>
    </row>
    <row r="65" spans="2:15" ht="15">
      <c r="B65" s="26" t="s">
        <v>8</v>
      </c>
      <c r="C65" s="27"/>
      <c r="D65" s="27"/>
      <c r="O65" s="27" t="s">
        <v>140</v>
      </c>
    </row>
    <row r="66" spans="2:15" ht="15">
      <c r="B66" s="33" t="s">
        <v>385</v>
      </c>
      <c r="C66" s="33" t="s">
        <v>141</v>
      </c>
      <c r="D66" s="33" t="s">
        <v>142</v>
      </c>
      <c r="E66" s="118" t="s">
        <v>143</v>
      </c>
      <c r="F66" s="118" t="s">
        <v>144</v>
      </c>
      <c r="G66" s="118" t="s">
        <v>145</v>
      </c>
      <c r="H66" s="118" t="s">
        <v>146</v>
      </c>
      <c r="I66" s="118" t="s">
        <v>147</v>
      </c>
      <c r="J66" s="118" t="s">
        <v>148</v>
      </c>
      <c r="K66" s="118" t="s">
        <v>149</v>
      </c>
      <c r="L66" s="118" t="s">
        <v>150</v>
      </c>
      <c r="M66" s="118" t="s">
        <v>151</v>
      </c>
      <c r="N66" s="118" t="s">
        <v>152</v>
      </c>
      <c r="O66" s="118" t="s">
        <v>139</v>
      </c>
    </row>
    <row r="67" spans="2:15" ht="15">
      <c r="B67" s="80" t="s">
        <v>480</v>
      </c>
      <c r="C67" s="156">
        <v>373.484645</v>
      </c>
      <c r="D67" s="156">
        <v>385.929665</v>
      </c>
      <c r="E67" s="156">
        <v>373.484645</v>
      </c>
      <c r="F67" s="156">
        <v>124.49253</v>
      </c>
      <c r="G67" s="156">
        <v>87.143360000000001</v>
      </c>
      <c r="H67" s="156">
        <v>373.484645</v>
      </c>
      <c r="I67" s="156">
        <v>385.929665</v>
      </c>
      <c r="J67" s="156">
        <v>373.484645</v>
      </c>
      <c r="K67" s="156">
        <v>385.929665</v>
      </c>
      <c r="L67" s="156">
        <v>385.929665</v>
      </c>
      <c r="M67" s="156">
        <v>348.58049499999998</v>
      </c>
      <c r="N67" s="156">
        <v>385.929665</v>
      </c>
      <c r="O67" s="156">
        <f>SUM(C67:N67)</f>
        <v>3983.8032900000007</v>
      </c>
    </row>
    <row r="68" spans="2:15" ht="15">
      <c r="B68" s="80"/>
      <c r="C68" s="156"/>
      <c r="D68" s="156"/>
      <c r="E68" s="156"/>
      <c r="F68" s="156"/>
      <c r="G68" s="156"/>
      <c r="H68" s="156"/>
      <c r="I68" s="156"/>
      <c r="J68" s="156"/>
      <c r="K68" s="156"/>
      <c r="L68" s="156"/>
      <c r="M68" s="156"/>
      <c r="N68" s="156"/>
      <c r="O68" s="156"/>
    </row>
    <row r="69" spans="2:15" ht="15">
      <c r="B69" s="80" t="s">
        <v>481</v>
      </c>
      <c r="C69" s="156">
        <v>155.90535499999999</v>
      </c>
      <c r="D69" s="156">
        <v>161.10033499999997</v>
      </c>
      <c r="E69" s="156">
        <v>155.90535499999999</v>
      </c>
      <c r="F69" s="156">
        <v>51.967470000000006</v>
      </c>
      <c r="G69" s="156">
        <v>36.376639999999995</v>
      </c>
      <c r="H69" s="156">
        <v>155.90535499999999</v>
      </c>
      <c r="I69" s="156">
        <v>161.10033499999997</v>
      </c>
      <c r="J69" s="156">
        <v>155.90535499999999</v>
      </c>
      <c r="K69" s="156">
        <v>161.10033499999997</v>
      </c>
      <c r="L69" s="156">
        <v>161.10033499999997</v>
      </c>
      <c r="M69" s="156">
        <v>145.50950499999999</v>
      </c>
      <c r="N69" s="156">
        <v>161.10033499999997</v>
      </c>
      <c r="O69" s="156">
        <f t="shared" ref="O69" si="9">SUM(C69:N69)</f>
        <v>1662.9767099999999</v>
      </c>
    </row>
    <row r="70" spans="2:15">
      <c r="B70" s="40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</row>
    <row r="71" spans="2:15" ht="15">
      <c r="B71" s="42" t="s">
        <v>139</v>
      </c>
      <c r="C71" s="138">
        <f>C67+C69</f>
        <v>529.39</v>
      </c>
      <c r="D71" s="138">
        <f t="shared" ref="D71:O71" si="10">D67+D69</f>
        <v>547.03</v>
      </c>
      <c r="E71" s="138">
        <f t="shared" si="10"/>
        <v>529.39</v>
      </c>
      <c r="F71" s="138">
        <f t="shared" si="10"/>
        <v>176.46</v>
      </c>
      <c r="G71" s="138">
        <f t="shared" si="10"/>
        <v>123.52</v>
      </c>
      <c r="H71" s="138">
        <f t="shared" si="10"/>
        <v>529.39</v>
      </c>
      <c r="I71" s="138">
        <f t="shared" si="10"/>
        <v>547.03</v>
      </c>
      <c r="J71" s="138">
        <f t="shared" si="10"/>
        <v>529.39</v>
      </c>
      <c r="K71" s="138">
        <f t="shared" si="10"/>
        <v>547.03</v>
      </c>
      <c r="L71" s="138">
        <f t="shared" si="10"/>
        <v>547.03</v>
      </c>
      <c r="M71" s="138">
        <f t="shared" si="10"/>
        <v>494.09</v>
      </c>
      <c r="N71" s="138">
        <f t="shared" si="10"/>
        <v>547.03</v>
      </c>
      <c r="O71" s="138">
        <f t="shared" si="10"/>
        <v>5646.7800000000007</v>
      </c>
    </row>
  </sheetData>
  <mergeCells count="6">
    <mergeCell ref="B16:B17"/>
    <mergeCell ref="I16:N16"/>
    <mergeCell ref="C16:H16"/>
    <mergeCell ref="B2:O2"/>
    <mergeCell ref="B3:O3"/>
    <mergeCell ref="B4:O4"/>
  </mergeCells>
  <pageMargins left="0" right="0" top="0" bottom="0" header="0.25" footer="0.25"/>
  <pageSetup paperSize="9" scale="55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19"/>
  <sheetViews>
    <sheetView showGridLines="0" zoomScale="80" zoomScaleNormal="80" zoomScaleSheetLayoutView="70" workbookViewId="0">
      <selection activeCell="B4" sqref="B4:N4"/>
    </sheetView>
  </sheetViews>
  <sheetFormatPr defaultColWidth="9.28515625" defaultRowHeight="14.25"/>
  <cols>
    <col min="1" max="1" width="3.28515625" style="19" customWidth="1"/>
    <col min="2" max="2" width="29.42578125" style="19" customWidth="1"/>
    <col min="3" max="3" width="18.5703125" style="19" customWidth="1"/>
    <col min="4" max="4" width="14.42578125" style="19" customWidth="1"/>
    <col min="5" max="5" width="20.7109375" style="19" customWidth="1"/>
    <col min="6" max="6" width="19.7109375" style="19" customWidth="1"/>
    <col min="7" max="9" width="12.5703125" style="19" customWidth="1"/>
    <col min="10" max="10" width="18.28515625" style="19" customWidth="1"/>
    <col min="11" max="11" width="15.42578125" style="19" customWidth="1"/>
    <col min="12" max="12" width="21.5703125" style="19" customWidth="1"/>
    <col min="13" max="14" width="12.5703125" style="19" customWidth="1"/>
    <col min="15" max="16384" width="9.28515625" style="19"/>
  </cols>
  <sheetData>
    <row r="1" spans="2:14" s="5" customFormat="1" ht="15">
      <c r="B1" s="117"/>
    </row>
    <row r="2" spans="2:14" s="5" customFormat="1" ht="15" customHeight="1">
      <c r="B2" s="313" t="s">
        <v>542</v>
      </c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</row>
    <row r="3" spans="2:14" s="5" customFormat="1" ht="15" customHeight="1">
      <c r="B3" s="313" t="s">
        <v>511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</row>
    <row r="4" spans="2:14" ht="14.25" customHeight="1">
      <c r="B4" s="315" t="s">
        <v>389</v>
      </c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</row>
    <row r="5" spans="2:14" ht="15">
      <c r="B5" s="26" t="s">
        <v>519</v>
      </c>
    </row>
    <row r="6" spans="2:14" ht="15">
      <c r="B6" s="26" t="s">
        <v>12</v>
      </c>
      <c r="N6" s="39" t="s">
        <v>4</v>
      </c>
    </row>
    <row r="7" spans="2:14" s="58" customFormat="1" ht="45.75" customHeight="1">
      <c r="B7" s="311" t="s">
        <v>385</v>
      </c>
      <c r="C7" s="304" t="s">
        <v>155</v>
      </c>
      <c r="D7" s="304"/>
      <c r="E7" s="304"/>
      <c r="F7" s="304"/>
      <c r="G7" s="303" t="s">
        <v>156</v>
      </c>
      <c r="H7" s="303"/>
      <c r="I7" s="303"/>
      <c r="J7" s="303" t="s">
        <v>157</v>
      </c>
      <c r="K7" s="303"/>
      <c r="L7" s="303"/>
      <c r="M7" s="303"/>
      <c r="N7" s="303"/>
    </row>
    <row r="8" spans="2:14" ht="45">
      <c r="B8" s="312"/>
      <c r="C8" s="33" t="s">
        <v>180</v>
      </c>
      <c r="D8" s="33" t="s">
        <v>178</v>
      </c>
      <c r="E8" s="33" t="s">
        <v>248</v>
      </c>
      <c r="F8" s="33" t="s">
        <v>179</v>
      </c>
      <c r="G8" s="33" t="s">
        <v>158</v>
      </c>
      <c r="H8" s="33" t="s">
        <v>249</v>
      </c>
      <c r="I8" s="33" t="s">
        <v>159</v>
      </c>
      <c r="J8" s="33" t="s">
        <v>160</v>
      </c>
      <c r="K8" s="33" t="s">
        <v>161</v>
      </c>
      <c r="L8" s="33" t="s">
        <v>250</v>
      </c>
      <c r="M8" s="33" t="s">
        <v>251</v>
      </c>
      <c r="N8" s="25" t="s">
        <v>139</v>
      </c>
    </row>
    <row r="9" spans="2:14" ht="15">
      <c r="B9" s="2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25"/>
    </row>
    <row r="10" spans="2:14" ht="15">
      <c r="B10" s="80" t="s">
        <v>386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2:14" ht="15">
      <c r="B11" s="80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2:14" ht="15">
      <c r="B12" s="80" t="s">
        <v>387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2:14">
      <c r="B13" s="4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2:14" ht="15">
      <c r="B14" s="80" t="s">
        <v>388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2:14">
      <c r="B15" s="78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2:14" ht="15">
      <c r="B16" s="80" t="s">
        <v>9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2:14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2:14" ht="15">
      <c r="B18" s="80" t="s">
        <v>139</v>
      </c>
      <c r="C18" s="137">
        <f>C10+C12+C14</f>
        <v>0</v>
      </c>
      <c r="D18" s="137">
        <f>D10+D12+D14</f>
        <v>0</v>
      </c>
      <c r="E18" s="137">
        <f>E10+E12+E14</f>
        <v>0</v>
      </c>
      <c r="F18" s="137">
        <f>F10+F12+F14</f>
        <v>0</v>
      </c>
      <c r="G18" s="137">
        <f>G10+G12+G14</f>
        <v>0</v>
      </c>
      <c r="H18" s="3"/>
      <c r="I18" s="3"/>
      <c r="J18" s="137">
        <f>J10+J12+J14</f>
        <v>0</v>
      </c>
      <c r="K18" s="137">
        <f>K10+K12+K14</f>
        <v>0</v>
      </c>
      <c r="L18" s="137">
        <f>L10+L12+L14</f>
        <v>0</v>
      </c>
      <c r="M18" s="137">
        <f>M10+M12+M14</f>
        <v>0</v>
      </c>
      <c r="N18" s="137">
        <f>N10+N12+N14</f>
        <v>0</v>
      </c>
    </row>
    <row r="19" spans="2:14" ht="15">
      <c r="B19" s="39"/>
    </row>
  </sheetData>
  <mergeCells count="7">
    <mergeCell ref="B7:B8"/>
    <mergeCell ref="C7:F7"/>
    <mergeCell ref="G7:I7"/>
    <mergeCell ref="J7:N7"/>
    <mergeCell ref="B2:N2"/>
    <mergeCell ref="B3:N3"/>
    <mergeCell ref="B4:N4"/>
  </mergeCells>
  <pageMargins left="0" right="0" top="0.77" bottom="1" header="0.5" footer="0.5"/>
  <pageSetup paperSize="9" scale="65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31"/>
  <sheetViews>
    <sheetView showGridLines="0" zoomScale="86" zoomScaleNormal="86" workbookViewId="0">
      <selection activeCell="B5" sqref="B5"/>
    </sheetView>
  </sheetViews>
  <sheetFormatPr defaultColWidth="9.28515625" defaultRowHeight="14.25"/>
  <cols>
    <col min="1" max="1" width="2.42578125" style="19" customWidth="1"/>
    <col min="2" max="2" width="5" style="19" customWidth="1"/>
    <col min="3" max="3" width="40.5703125" style="19" customWidth="1"/>
    <col min="4" max="4" width="13" style="19" customWidth="1"/>
    <col min="5" max="5" width="9.85546875" style="19" customWidth="1"/>
    <col min="6" max="6" width="10.42578125" style="19" customWidth="1"/>
    <col min="7" max="7" width="9" style="19" customWidth="1"/>
    <col min="8" max="8" width="9.7109375" style="19" customWidth="1"/>
    <col min="9" max="9" width="10" style="19" customWidth="1"/>
    <col min="10" max="10" width="11.140625" style="19" customWidth="1"/>
    <col min="11" max="11" width="9.5703125" style="19" customWidth="1"/>
    <col min="12" max="12" width="8.42578125" style="19" customWidth="1"/>
    <col min="13" max="13" width="9.7109375" style="19" customWidth="1"/>
    <col min="14" max="15" width="9" style="19" customWidth="1"/>
    <col min="16" max="16" width="10" style="19" customWidth="1"/>
    <col min="17" max="17" width="14.28515625" style="19" customWidth="1"/>
    <col min="18" max="16384" width="9.28515625" style="19"/>
  </cols>
  <sheetData>
    <row r="1" spans="2:17" s="5" customFormat="1" ht="15">
      <c r="B1" s="117"/>
    </row>
    <row r="2" spans="2:17" s="5" customFormat="1" ht="15" customHeight="1"/>
    <row r="3" spans="2:17" s="5" customFormat="1" ht="15" customHeight="1">
      <c r="B3" s="313" t="s">
        <v>542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</row>
    <row r="4" spans="2:17" s="5" customFormat="1" ht="15" customHeight="1">
      <c r="B4" s="313" t="s">
        <v>511</v>
      </c>
      <c r="C4" s="313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</row>
    <row r="5" spans="2:17" ht="15">
      <c r="B5" s="26" t="s">
        <v>520</v>
      </c>
      <c r="I5" s="38" t="s">
        <v>392</v>
      </c>
    </row>
    <row r="6" spans="2:17" ht="15">
      <c r="B6" s="39" t="s">
        <v>12</v>
      </c>
    </row>
    <row r="7" spans="2:17" ht="30">
      <c r="B7" s="119" t="s">
        <v>210</v>
      </c>
      <c r="C7" s="119" t="s">
        <v>18</v>
      </c>
      <c r="D7" s="119" t="s">
        <v>39</v>
      </c>
      <c r="E7" s="33" t="s">
        <v>141</v>
      </c>
      <c r="F7" s="33" t="s">
        <v>142</v>
      </c>
      <c r="G7" s="118" t="s">
        <v>143</v>
      </c>
      <c r="H7" s="118" t="s">
        <v>144</v>
      </c>
      <c r="I7" s="118" t="s">
        <v>145</v>
      </c>
      <c r="J7" s="118" t="s">
        <v>146</v>
      </c>
      <c r="K7" s="118" t="s">
        <v>147</v>
      </c>
      <c r="L7" s="118" t="s">
        <v>148</v>
      </c>
      <c r="M7" s="118" t="s">
        <v>149</v>
      </c>
      <c r="N7" s="118" t="s">
        <v>150</v>
      </c>
      <c r="O7" s="118" t="s">
        <v>151</v>
      </c>
      <c r="P7" s="118" t="s">
        <v>152</v>
      </c>
      <c r="Q7" s="120" t="s">
        <v>139</v>
      </c>
    </row>
    <row r="8" spans="2:17">
      <c r="B8" s="121">
        <v>1</v>
      </c>
      <c r="C8" s="122" t="s">
        <v>184</v>
      </c>
      <c r="D8" s="121" t="s">
        <v>42</v>
      </c>
      <c r="E8" s="123">
        <v>85</v>
      </c>
      <c r="F8" s="123">
        <v>85</v>
      </c>
      <c r="G8" s="123">
        <v>85</v>
      </c>
      <c r="H8" s="123">
        <v>85</v>
      </c>
      <c r="I8" s="123">
        <v>85</v>
      </c>
      <c r="J8" s="123">
        <v>85</v>
      </c>
      <c r="K8" s="123">
        <v>85</v>
      </c>
      <c r="L8" s="123">
        <v>85</v>
      </c>
      <c r="M8" s="123">
        <v>85</v>
      </c>
      <c r="N8" s="123">
        <v>85</v>
      </c>
      <c r="O8" s="123">
        <v>85</v>
      </c>
      <c r="P8" s="123">
        <v>85</v>
      </c>
      <c r="Q8" s="123">
        <v>80</v>
      </c>
    </row>
    <row r="9" spans="2:17">
      <c r="B9" s="121">
        <f>B8+1</f>
        <v>2</v>
      </c>
      <c r="C9" s="122" t="s">
        <v>211</v>
      </c>
      <c r="D9" s="121" t="s">
        <v>42</v>
      </c>
      <c r="E9" s="123">
        <v>80.540000000000006</v>
      </c>
      <c r="F9" s="123">
        <v>89.41</v>
      </c>
      <c r="G9" s="123">
        <v>89.86</v>
      </c>
      <c r="H9" s="123">
        <v>2.95</v>
      </c>
      <c r="I9" s="123">
        <v>0</v>
      </c>
      <c r="J9" s="123">
        <v>7.3</v>
      </c>
      <c r="K9" s="123">
        <v>69.099999999999994</v>
      </c>
      <c r="L9" s="123">
        <v>64.7</v>
      </c>
      <c r="M9" s="123">
        <v>79.540000000000006</v>
      </c>
      <c r="N9" s="123">
        <v>92.94</v>
      </c>
      <c r="O9" s="123">
        <v>87.77</v>
      </c>
      <c r="P9" s="123">
        <v>81.58</v>
      </c>
      <c r="Q9" s="124">
        <v>82.26</v>
      </c>
    </row>
    <row r="10" spans="2:17">
      <c r="B10" s="121">
        <f t="shared" ref="B10:B26" si="0">B9+1</f>
        <v>3</v>
      </c>
      <c r="C10" s="122" t="s">
        <v>212</v>
      </c>
      <c r="D10" s="121" t="s">
        <v>42</v>
      </c>
      <c r="E10" s="123">
        <v>80.540000000000006</v>
      </c>
      <c r="F10" s="123">
        <v>85.05</v>
      </c>
      <c r="G10" s="123">
        <v>86.63</v>
      </c>
      <c r="H10" s="123">
        <v>65.37</v>
      </c>
      <c r="I10" s="123">
        <v>52.13</v>
      </c>
      <c r="J10" s="123">
        <v>44.78</v>
      </c>
      <c r="K10" s="123">
        <v>48.3</v>
      </c>
      <c r="L10" s="123">
        <v>50.32</v>
      </c>
      <c r="M10" s="123">
        <v>53.61</v>
      </c>
      <c r="N10" s="123">
        <v>56.58</v>
      </c>
      <c r="O10" s="123">
        <v>59.2</v>
      </c>
      <c r="P10" s="123">
        <v>61.1</v>
      </c>
      <c r="Q10" s="123"/>
    </row>
    <row r="11" spans="2:17">
      <c r="B11" s="121">
        <f t="shared" si="0"/>
        <v>4</v>
      </c>
      <c r="C11" s="122" t="s">
        <v>43</v>
      </c>
      <c r="D11" s="121" t="s">
        <v>42</v>
      </c>
      <c r="E11" s="123">
        <v>85</v>
      </c>
      <c r="F11" s="123">
        <v>85</v>
      </c>
      <c r="G11" s="123">
        <v>85</v>
      </c>
      <c r="H11" s="123">
        <v>85</v>
      </c>
      <c r="I11" s="123">
        <v>85</v>
      </c>
      <c r="J11" s="123">
        <v>85</v>
      </c>
      <c r="K11" s="123">
        <v>85</v>
      </c>
      <c r="L11" s="123">
        <v>85</v>
      </c>
      <c r="M11" s="123">
        <v>85</v>
      </c>
      <c r="N11" s="123">
        <v>85</v>
      </c>
      <c r="O11" s="123">
        <v>85</v>
      </c>
      <c r="P11" s="123">
        <v>85</v>
      </c>
      <c r="Q11" s="123">
        <v>80</v>
      </c>
    </row>
    <row r="12" spans="2:17">
      <c r="B12" s="121">
        <f t="shared" si="0"/>
        <v>5</v>
      </c>
      <c r="C12" s="122" t="s">
        <v>213</v>
      </c>
      <c r="D12" s="121" t="s">
        <v>42</v>
      </c>
      <c r="E12" s="123">
        <v>78.13</v>
      </c>
      <c r="F12" s="123">
        <v>87.83</v>
      </c>
      <c r="G12" s="123">
        <v>88.95</v>
      </c>
      <c r="H12" s="123">
        <v>4.28</v>
      </c>
      <c r="I12" s="123">
        <v>0</v>
      </c>
      <c r="J12" s="123">
        <v>5.65</v>
      </c>
      <c r="K12" s="123">
        <v>67.47</v>
      </c>
      <c r="L12" s="123">
        <v>62.61</v>
      </c>
      <c r="M12" s="123">
        <v>78.47</v>
      </c>
      <c r="N12" s="123">
        <v>81.61</v>
      </c>
      <c r="O12" s="123">
        <v>86.52</v>
      </c>
      <c r="P12" s="123">
        <v>81.99</v>
      </c>
      <c r="Q12" s="123"/>
    </row>
    <row r="13" spans="2:17">
      <c r="B13" s="121">
        <f t="shared" si="0"/>
        <v>6</v>
      </c>
      <c r="C13" s="122" t="s">
        <v>214</v>
      </c>
      <c r="D13" s="121" t="s">
        <v>42</v>
      </c>
      <c r="E13" s="123">
        <v>78.13</v>
      </c>
      <c r="F13" s="123">
        <v>83.06</v>
      </c>
      <c r="G13" s="123">
        <v>85</v>
      </c>
      <c r="H13" s="123">
        <v>64.489999999999995</v>
      </c>
      <c r="I13" s="123">
        <v>51.42</v>
      </c>
      <c r="J13" s="123">
        <v>43.92</v>
      </c>
      <c r="K13" s="123">
        <v>47.33</v>
      </c>
      <c r="L13" s="123">
        <v>49.21</v>
      </c>
      <c r="M13" s="123">
        <v>52.51</v>
      </c>
      <c r="N13" s="123">
        <v>55.46</v>
      </c>
      <c r="O13" s="123">
        <v>58.06</v>
      </c>
      <c r="P13" s="123">
        <v>60.09</v>
      </c>
      <c r="Q13" s="123"/>
    </row>
    <row r="14" spans="2:17">
      <c r="B14" s="121">
        <f t="shared" si="0"/>
        <v>7</v>
      </c>
      <c r="C14" s="116" t="s">
        <v>215</v>
      </c>
      <c r="D14" s="125" t="s">
        <v>45</v>
      </c>
      <c r="E14" s="123">
        <v>450.02719999999999</v>
      </c>
      <c r="F14" s="123">
        <v>522.77800000000002</v>
      </c>
      <c r="G14" s="123">
        <v>512.36699999999996</v>
      </c>
      <c r="H14" s="123">
        <v>25.455400000000001</v>
      </c>
      <c r="I14" s="123">
        <v>0</v>
      </c>
      <c r="J14" s="123">
        <v>32.519599999999997</v>
      </c>
      <c r="K14" s="123">
        <v>401.60700000000003</v>
      </c>
      <c r="L14" s="123">
        <v>360.63099999999997</v>
      </c>
      <c r="M14" s="123">
        <v>467.06200000000001</v>
      </c>
      <c r="N14" s="123">
        <v>485.74099999999999</v>
      </c>
      <c r="O14" s="123">
        <v>465.13400000000001</v>
      </c>
      <c r="P14" s="123">
        <v>488.00400000000002</v>
      </c>
      <c r="Q14" s="124">
        <f>SUM(E14:P14)</f>
        <v>4211.3262000000004</v>
      </c>
    </row>
    <row r="15" spans="2:17">
      <c r="B15" s="121">
        <f t="shared" si="0"/>
        <v>8</v>
      </c>
      <c r="C15" s="116" t="s">
        <v>216</v>
      </c>
      <c r="D15" s="125" t="s">
        <v>45</v>
      </c>
      <c r="E15" s="123">
        <v>21.813395</v>
      </c>
      <c r="F15" s="123">
        <v>24.729312192900004</v>
      </c>
      <c r="G15" s="123">
        <v>22.375112999999942</v>
      </c>
      <c r="H15" s="123">
        <v>3.8963999999999999</v>
      </c>
      <c r="I15" s="123">
        <v>1.732564</v>
      </c>
      <c r="J15" s="123">
        <v>5.2552227476999942</v>
      </c>
      <c r="K15" s="123">
        <v>20.021347734799981</v>
      </c>
      <c r="L15" s="123">
        <v>17.717258578700005</v>
      </c>
      <c r="M15" s="123">
        <v>19.840762235599996</v>
      </c>
      <c r="N15" s="123">
        <v>20.266999999999999</v>
      </c>
      <c r="O15" s="123">
        <v>19.122845522700011</v>
      </c>
      <c r="P15" s="123">
        <v>21.229025729600011</v>
      </c>
      <c r="Q15" s="124">
        <f>SUM(E15:P15)</f>
        <v>198.00024674199992</v>
      </c>
    </row>
    <row r="16" spans="2:17" ht="15">
      <c r="B16" s="121">
        <f t="shared" si="0"/>
        <v>9</v>
      </c>
      <c r="C16" s="116" t="s">
        <v>234</v>
      </c>
      <c r="D16" s="125" t="s">
        <v>45</v>
      </c>
      <c r="E16" s="136">
        <f>E14-E15</f>
        <v>428.21380499999998</v>
      </c>
      <c r="F16" s="136">
        <f t="shared" ref="F16:Q16" si="1">F14-F15</f>
        <v>498.04868780710001</v>
      </c>
      <c r="G16" s="136">
        <f t="shared" si="1"/>
        <v>489.99188700000002</v>
      </c>
      <c r="H16" s="136">
        <f t="shared" si="1"/>
        <v>21.559000000000001</v>
      </c>
      <c r="I16" s="136">
        <f t="shared" si="1"/>
        <v>-1.732564</v>
      </c>
      <c r="J16" s="136">
        <f t="shared" si="1"/>
        <v>27.264377252300001</v>
      </c>
      <c r="K16" s="136">
        <f t="shared" si="1"/>
        <v>381.58565226520005</v>
      </c>
      <c r="L16" s="136">
        <f t="shared" si="1"/>
        <v>342.91374142129996</v>
      </c>
      <c r="M16" s="136">
        <f t="shared" si="1"/>
        <v>447.22123776440003</v>
      </c>
      <c r="N16" s="136">
        <f t="shared" si="1"/>
        <v>465.47399999999999</v>
      </c>
      <c r="O16" s="136">
        <f t="shared" si="1"/>
        <v>446.01115447730001</v>
      </c>
      <c r="P16" s="136">
        <f t="shared" si="1"/>
        <v>466.77497427039998</v>
      </c>
      <c r="Q16" s="136">
        <f t="shared" si="1"/>
        <v>4013.3259532580005</v>
      </c>
    </row>
    <row r="17" spans="2:17" ht="16.5">
      <c r="B17" s="121">
        <f t="shared" si="0"/>
        <v>10</v>
      </c>
      <c r="C17" s="116" t="s">
        <v>235</v>
      </c>
      <c r="D17" s="125" t="s">
        <v>45</v>
      </c>
      <c r="E17" s="164">
        <f>E16-((500*1000*24*30*E11%)/1000000)</f>
        <v>122.21380499999998</v>
      </c>
      <c r="F17" s="164">
        <f>F16-((500*1000*24*31*F11%)/1000000)</f>
        <v>181.84868780710002</v>
      </c>
      <c r="G17" s="164">
        <f>G16-((500*1000*24*30*G11%)/1000000)</f>
        <v>183.99188700000002</v>
      </c>
      <c r="H17" s="164">
        <f>H16-((500*1000*24*31*H11%)/1000000)</f>
        <v>-294.64099999999996</v>
      </c>
      <c r="I17" s="164">
        <f>I16-((500*1000*24*31*I11%)/1000000)</f>
        <v>-317.93256400000001</v>
      </c>
      <c r="J17" s="164">
        <f>J16-((500*1000*24*30*J11%)/1000000)</f>
        <v>-278.73562274770001</v>
      </c>
      <c r="K17" s="164">
        <f>K16-((500*1000*24*31*K11%)/1000000)</f>
        <v>65.385652265200065</v>
      </c>
      <c r="L17" s="164">
        <f>L16-((500*1000*24*30*L11%)/1000000)</f>
        <v>36.91374142129996</v>
      </c>
      <c r="M17" s="164">
        <f>M16-((500*1000*24*31*M11%)/1000000)</f>
        <v>131.02123776440004</v>
      </c>
      <c r="N17" s="164">
        <f>N16-((500*1000*24*31*N11%)/1000000)</f>
        <v>149.274</v>
      </c>
      <c r="O17" s="164">
        <f>O16-((500*1000*24*28*O11%)/1000000)</f>
        <v>160.41115447729999</v>
      </c>
      <c r="P17" s="164">
        <f>P16-((500*1000*24*31*P11%)/1000000)</f>
        <v>150.57497427039999</v>
      </c>
      <c r="Q17" s="136">
        <f>SUM(E17:P17)</f>
        <v>290.32595325800008</v>
      </c>
    </row>
    <row r="18" spans="2:17" ht="16.5">
      <c r="B18" s="121">
        <f t="shared" si="0"/>
        <v>11</v>
      </c>
      <c r="C18" s="116" t="s">
        <v>217</v>
      </c>
      <c r="D18" s="125" t="s">
        <v>221</v>
      </c>
      <c r="E18" s="165">
        <v>2.4089999999999998</v>
      </c>
      <c r="F18" s="165">
        <v>2.4089999999999998</v>
      </c>
      <c r="G18" s="165">
        <v>2.4089999999999998</v>
      </c>
      <c r="H18" s="165">
        <v>2.4089999999999998</v>
      </c>
      <c r="I18" s="165">
        <v>2.4089999999999998</v>
      </c>
      <c r="J18" s="165">
        <v>2.4089999999999998</v>
      </c>
      <c r="K18" s="165">
        <v>2.4089999999999998</v>
      </c>
      <c r="L18" s="165">
        <v>2.4089999999999998</v>
      </c>
      <c r="M18" s="165">
        <v>2.4089999999999998</v>
      </c>
      <c r="N18" s="165">
        <v>2.4089999999999998</v>
      </c>
      <c r="O18" s="165">
        <v>2.4089999999999998</v>
      </c>
      <c r="P18" s="165">
        <v>2.4089999999999998</v>
      </c>
      <c r="Q18" s="165">
        <v>2.6680000000000001</v>
      </c>
    </row>
    <row r="19" spans="2:17" ht="16.5">
      <c r="B19" s="121">
        <f t="shared" si="0"/>
        <v>12</v>
      </c>
      <c r="C19" s="116" t="s">
        <v>236</v>
      </c>
      <c r="D19" s="125" t="s">
        <v>222</v>
      </c>
      <c r="E19" s="166">
        <v>88.391666666666666</v>
      </c>
      <c r="F19" s="166">
        <v>88.391666666666666</v>
      </c>
      <c r="G19" s="166">
        <v>88.391666666666666</v>
      </c>
      <c r="H19" s="166">
        <v>88.391666666666666</v>
      </c>
      <c r="I19" s="166">
        <v>88.391666666666666</v>
      </c>
      <c r="J19" s="166">
        <v>88.391666666666666</v>
      </c>
      <c r="K19" s="166">
        <v>88.391666666666666</v>
      </c>
      <c r="L19" s="166">
        <v>88.391666666666666</v>
      </c>
      <c r="M19" s="166">
        <v>88.391666666666666</v>
      </c>
      <c r="N19" s="166">
        <v>88.391666666666666</v>
      </c>
      <c r="O19" s="166">
        <v>88.391666666666666</v>
      </c>
      <c r="P19" s="166">
        <v>88.391666666666666</v>
      </c>
      <c r="Q19" s="124">
        <f>SUM(E19:P19)</f>
        <v>1060.7</v>
      </c>
    </row>
    <row r="20" spans="2:17" ht="16.5">
      <c r="B20" s="121">
        <f t="shared" si="0"/>
        <v>13</v>
      </c>
      <c r="C20" s="116" t="s">
        <v>390</v>
      </c>
      <c r="D20" s="125" t="s">
        <v>221</v>
      </c>
      <c r="E20" s="165">
        <v>2.8481580940958775</v>
      </c>
      <c r="F20" s="165">
        <v>2.912319110661985</v>
      </c>
      <c r="G20" s="165">
        <v>2.8344011668209586</v>
      </c>
      <c r="H20" s="165">
        <v>2.6742952780740072</v>
      </c>
      <c r="I20" s="165">
        <v>2.6403216001085412</v>
      </c>
      <c r="J20" s="165">
        <v>3.0665772827520796</v>
      </c>
      <c r="K20" s="165">
        <v>3.1131036473435301</v>
      </c>
      <c r="L20" s="165">
        <v>3.0753410640625498</v>
      </c>
      <c r="M20" s="165">
        <v>3.248395805250722</v>
      </c>
      <c r="N20" s="165">
        <v>2.9896506476469766</v>
      </c>
      <c r="O20" s="165">
        <v>3.276053698286935</v>
      </c>
      <c r="P20" s="165">
        <v>3.4268167729931998</v>
      </c>
      <c r="Q20" s="171">
        <v>3.6287570059104328</v>
      </c>
    </row>
    <row r="21" spans="2:17" ht="16.5">
      <c r="B21" s="121">
        <f t="shared" si="0"/>
        <v>14</v>
      </c>
      <c r="C21" s="116" t="s">
        <v>218</v>
      </c>
      <c r="D21" s="125" t="s">
        <v>222</v>
      </c>
      <c r="E21" s="166">
        <v>83.753703921568629</v>
      </c>
      <c r="F21" s="166">
        <v>93.029629411764702</v>
      </c>
      <c r="G21" s="166">
        <v>88.39166666666668</v>
      </c>
      <c r="H21" s="166">
        <v>6.7385647058823679</v>
      </c>
      <c r="I21" s="166">
        <v>-0.86311862745100143</v>
      </c>
      <c r="J21" s="166">
        <v>8.3504127450980263</v>
      </c>
      <c r="K21" s="166">
        <v>72.189994117647075</v>
      </c>
      <c r="L21" s="166">
        <v>67.032080399999998</v>
      </c>
      <c r="M21" s="166">
        <v>83.119363725490132</v>
      </c>
      <c r="N21" s="166">
        <v>86.634232352941183</v>
      </c>
      <c r="O21" s="166">
        <v>88.807627450980476</v>
      </c>
      <c r="P21" s="166">
        <v>85.271960784313819</v>
      </c>
      <c r="Q21" s="124">
        <f>SUM(E21:P21)</f>
        <v>762.45611765490207</v>
      </c>
    </row>
    <row r="22" spans="2:17" ht="16.5">
      <c r="B22" s="121">
        <f t="shared" si="0"/>
        <v>15</v>
      </c>
      <c r="C22" s="116" t="s">
        <v>391</v>
      </c>
      <c r="D22" s="125" t="s">
        <v>222</v>
      </c>
      <c r="E22" s="166">
        <v>103.1567057</v>
      </c>
      <c r="F22" s="166">
        <v>119.97992889273038</v>
      </c>
      <c r="G22" s="166">
        <v>118.03904557926359</v>
      </c>
      <c r="H22" s="166">
        <v>5.1935630999999995</v>
      </c>
      <c r="I22" s="166">
        <v>-0.41737476335774987</v>
      </c>
      <c r="J22" s="166">
        <v>6.5679884800790695</v>
      </c>
      <c r="K22" s="166">
        <v>91.923983630686678</v>
      </c>
      <c r="L22" s="166">
        <v>82.607920300000004</v>
      </c>
      <c r="M22" s="166">
        <v>107.73559617744395</v>
      </c>
      <c r="N22" s="166">
        <v>112.13268659999997</v>
      </c>
      <c r="O22" s="166">
        <v>107.44408711358156</v>
      </c>
      <c r="P22" s="166">
        <v>112.44609130173936</v>
      </c>
      <c r="Q22" s="124">
        <f t="shared" ref="Q22:Q24" si="2">SUM(E22:P22)</f>
        <v>966.8102221121668</v>
      </c>
    </row>
    <row r="23" spans="2:17" ht="16.5">
      <c r="B23" s="121">
        <f t="shared" si="0"/>
        <v>16</v>
      </c>
      <c r="C23" s="116" t="s">
        <v>237</v>
      </c>
      <c r="D23" s="125" t="s">
        <v>222</v>
      </c>
      <c r="E23" s="166">
        <v>18.805355860069607</v>
      </c>
      <c r="F23" s="166">
        <v>25.067742261343838</v>
      </c>
      <c r="G23" s="166">
        <v>20.844312046430492</v>
      </c>
      <c r="H23" s="166">
        <v>0.57195008999975394</v>
      </c>
      <c r="I23" s="166">
        <v>-4.0077956872079053E-2</v>
      </c>
      <c r="J23" s="166">
        <v>1.7928435109495058</v>
      </c>
      <c r="K23" s="166">
        <v>26.86758495338875</v>
      </c>
      <c r="L23" s="166">
        <v>22.849750734033929</v>
      </c>
      <c r="M23" s="166">
        <v>37.539563099847342</v>
      </c>
      <c r="N23" s="166">
        <v>27.027777956282925</v>
      </c>
      <c r="O23" s="166">
        <v>38.67156209667683</v>
      </c>
      <c r="P23" s="166">
        <v>47.509139802588251</v>
      </c>
      <c r="Q23" s="124">
        <f t="shared" si="2"/>
        <v>267.50750445473921</v>
      </c>
    </row>
    <row r="24" spans="2:17">
      <c r="B24" s="121">
        <f t="shared" si="0"/>
        <v>17</v>
      </c>
      <c r="C24" s="116" t="s">
        <v>219</v>
      </c>
      <c r="D24" s="125" t="s">
        <v>222</v>
      </c>
      <c r="E24" s="126"/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4">
        <f t="shared" si="2"/>
        <v>0</v>
      </c>
    </row>
    <row r="25" spans="2:17" ht="15">
      <c r="B25" s="121">
        <f t="shared" si="0"/>
        <v>18</v>
      </c>
      <c r="C25" s="127" t="s">
        <v>163</v>
      </c>
      <c r="D25" s="125" t="s">
        <v>222</v>
      </c>
      <c r="E25" s="126">
        <f>E21+E22+E23+E24</f>
        <v>205.71576548163824</v>
      </c>
      <c r="F25" s="126">
        <f t="shared" ref="F25:P25" si="3">F21+F22+F23+F24</f>
        <v>238.07730056583893</v>
      </c>
      <c r="G25" s="126">
        <f t="shared" si="3"/>
        <v>227.27502429236077</v>
      </c>
      <c r="H25" s="126">
        <f t="shared" si="3"/>
        <v>12.504077895882121</v>
      </c>
      <c r="I25" s="126">
        <f t="shared" si="3"/>
        <v>-1.3205713476808303</v>
      </c>
      <c r="J25" s="126">
        <f t="shared" si="3"/>
        <v>16.711244736126602</v>
      </c>
      <c r="K25" s="126">
        <f t="shared" si="3"/>
        <v>190.98156270172251</v>
      </c>
      <c r="L25" s="126">
        <f t="shared" si="3"/>
        <v>172.48975143403393</v>
      </c>
      <c r="M25" s="126">
        <f t="shared" si="3"/>
        <v>228.3945230027814</v>
      </c>
      <c r="N25" s="126">
        <f t="shared" si="3"/>
        <v>225.79469690922409</v>
      </c>
      <c r="O25" s="126">
        <f t="shared" si="3"/>
        <v>234.92327666123887</v>
      </c>
      <c r="P25" s="126">
        <f t="shared" si="3"/>
        <v>245.22719188864141</v>
      </c>
      <c r="Q25" s="128">
        <f>SUM(Q21:Q24)</f>
        <v>1996.7738442218083</v>
      </c>
    </row>
    <row r="26" spans="2:17" ht="15">
      <c r="B26" s="121">
        <f t="shared" si="0"/>
        <v>19</v>
      </c>
      <c r="C26" s="129" t="s">
        <v>220</v>
      </c>
      <c r="D26" s="125"/>
      <c r="E26" s="126"/>
      <c r="F26" s="123"/>
      <c r="G26" s="123"/>
      <c r="H26" s="123"/>
      <c r="I26" s="123"/>
      <c r="J26" s="123"/>
      <c r="K26" s="123"/>
      <c r="L26" s="123"/>
      <c r="M26" s="124"/>
      <c r="N26" s="124"/>
      <c r="O26" s="124"/>
      <c r="P26" s="124"/>
      <c r="Q26" s="128"/>
    </row>
    <row r="27" spans="2:17" ht="28.5">
      <c r="B27" s="121"/>
      <c r="C27" s="78" t="s">
        <v>478</v>
      </c>
      <c r="D27" s="125"/>
      <c r="E27" s="126"/>
      <c r="F27" s="123"/>
      <c r="G27" s="123"/>
      <c r="H27" s="123"/>
      <c r="I27" s="123"/>
      <c r="J27" s="123"/>
      <c r="K27" s="123"/>
      <c r="L27" s="123"/>
      <c r="M27" s="124"/>
      <c r="N27" s="124"/>
      <c r="O27" s="124"/>
      <c r="P27" s="124"/>
      <c r="Q27" s="128">
        <v>1.7230216844283424</v>
      </c>
    </row>
    <row r="28" spans="2:17" ht="15">
      <c r="B28" s="121"/>
      <c r="C28" s="78" t="s">
        <v>479</v>
      </c>
      <c r="D28" s="125"/>
      <c r="E28" s="126"/>
      <c r="F28" s="123"/>
      <c r="G28" s="123"/>
      <c r="H28" s="123"/>
      <c r="I28" s="123"/>
      <c r="J28" s="123"/>
      <c r="K28" s="123"/>
      <c r="L28" s="123"/>
      <c r="M28" s="124"/>
      <c r="N28" s="124"/>
      <c r="O28" s="124"/>
      <c r="P28" s="124"/>
      <c r="Q28" s="128">
        <v>150.90330352941174</v>
      </c>
    </row>
    <row r="29" spans="2:17" ht="15">
      <c r="B29" s="121"/>
      <c r="C29" s="116" t="s">
        <v>477</v>
      </c>
      <c r="D29" s="125" t="s">
        <v>222</v>
      </c>
      <c r="E29" s="126"/>
      <c r="F29" s="123"/>
      <c r="G29" s="123"/>
      <c r="H29" s="123"/>
      <c r="I29" s="123"/>
      <c r="J29" s="123"/>
      <c r="K29" s="123"/>
      <c r="L29" s="123"/>
      <c r="M29" s="124"/>
      <c r="N29" s="124"/>
      <c r="O29" s="124"/>
      <c r="P29" s="124"/>
      <c r="Q29" s="128">
        <v>0.88167759700000004</v>
      </c>
    </row>
    <row r="30" spans="2:17" ht="15">
      <c r="B30" s="125">
        <f>B26+1</f>
        <v>20</v>
      </c>
      <c r="C30" s="115" t="s">
        <v>182</v>
      </c>
      <c r="D30" s="125" t="s">
        <v>222</v>
      </c>
      <c r="E30" s="136">
        <f t="shared" ref="E30:P30" si="4">E25+E26</f>
        <v>205.71576548163824</v>
      </c>
      <c r="F30" s="136">
        <f t="shared" si="4"/>
        <v>238.07730056583893</v>
      </c>
      <c r="G30" s="136">
        <f t="shared" si="4"/>
        <v>227.27502429236077</v>
      </c>
      <c r="H30" s="136">
        <f t="shared" si="4"/>
        <v>12.504077895882121</v>
      </c>
      <c r="I30" s="136">
        <f t="shared" si="4"/>
        <v>-1.3205713476808303</v>
      </c>
      <c r="J30" s="136">
        <f t="shared" si="4"/>
        <v>16.711244736126602</v>
      </c>
      <c r="K30" s="136">
        <f t="shared" si="4"/>
        <v>190.98156270172251</v>
      </c>
      <c r="L30" s="136">
        <f t="shared" si="4"/>
        <v>172.48975143403393</v>
      </c>
      <c r="M30" s="136">
        <f t="shared" si="4"/>
        <v>228.3945230027814</v>
      </c>
      <c r="N30" s="136">
        <f t="shared" si="4"/>
        <v>225.79469690922409</v>
      </c>
      <c r="O30" s="136">
        <f t="shared" si="4"/>
        <v>234.92327666123887</v>
      </c>
      <c r="P30" s="136">
        <f t="shared" si="4"/>
        <v>245.22719188864141</v>
      </c>
      <c r="Q30" s="136">
        <f>Q25+Q27+Q28+Q29</f>
        <v>2150.2818470326483</v>
      </c>
    </row>
    <row r="31" spans="2:17" ht="15">
      <c r="B31" s="125">
        <f>B30+1</f>
        <v>21</v>
      </c>
      <c r="C31" s="115" t="s">
        <v>223</v>
      </c>
      <c r="D31" s="125" t="s">
        <v>222</v>
      </c>
      <c r="E31" s="126"/>
      <c r="F31" s="126"/>
      <c r="G31" s="126"/>
      <c r="H31" s="126"/>
      <c r="I31" s="126"/>
      <c r="J31" s="126"/>
      <c r="K31" s="126"/>
      <c r="L31" s="126"/>
      <c r="M31" s="126"/>
      <c r="N31" s="126"/>
      <c r="O31" s="126"/>
      <c r="P31" s="126"/>
      <c r="Q31" s="130"/>
    </row>
  </sheetData>
  <mergeCells count="2">
    <mergeCell ref="B3:Q3"/>
    <mergeCell ref="B4:Q4"/>
  </mergeCells>
  <pageMargins left="0" right="0" top="0" bottom="0" header="0.05" footer="0.05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16"/>
  <sheetViews>
    <sheetView showGridLines="0" zoomScale="96" zoomScaleNormal="96" zoomScaleSheetLayoutView="80" workbookViewId="0">
      <selection activeCell="C4" sqref="C4"/>
    </sheetView>
  </sheetViews>
  <sheetFormatPr defaultColWidth="9.28515625" defaultRowHeight="14.25"/>
  <cols>
    <col min="1" max="1" width="9.28515625" style="5"/>
    <col min="2" max="2" width="7.28515625" style="5" customWidth="1"/>
    <col min="3" max="3" width="32.28515625" style="5" customWidth="1"/>
    <col min="4" max="4" width="14.42578125" style="5" customWidth="1"/>
    <col min="5" max="7" width="14.7109375" style="5" customWidth="1"/>
    <col min="8" max="8" width="12.28515625" style="5" bestFit="1" customWidth="1"/>
    <col min="9" max="10" width="12.28515625" style="5" customWidth="1"/>
    <col min="11" max="11" width="12.28515625" style="5" bestFit="1" customWidth="1"/>
    <col min="12" max="12" width="13" style="5" customWidth="1"/>
    <col min="13" max="13" width="13.42578125" style="5" customWidth="1"/>
    <col min="14" max="14" width="12.7109375" style="5" customWidth="1"/>
    <col min="15" max="16384" width="9.28515625" style="5"/>
  </cols>
  <sheetData>
    <row r="1" spans="2:16" ht="15">
      <c r="C1" s="39"/>
      <c r="D1" s="39"/>
      <c r="E1" s="39"/>
      <c r="F1" s="39"/>
      <c r="G1" s="39"/>
      <c r="I1" s="36"/>
      <c r="J1" s="39"/>
    </row>
    <row r="2" spans="2:16" s="19" customFormat="1" ht="15.75">
      <c r="C2" s="285" t="s">
        <v>543</v>
      </c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5"/>
    </row>
    <row r="3" spans="2:16" s="19" customFormat="1" ht="15.75">
      <c r="C3" s="285" t="s">
        <v>514</v>
      </c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5"/>
    </row>
    <row r="4" spans="2:16" ht="15">
      <c r="B4" s="38"/>
      <c r="C4" s="38"/>
      <c r="D4" s="38"/>
      <c r="E4" s="38"/>
      <c r="F4" s="38"/>
      <c r="G4" s="38"/>
      <c r="H4" s="38" t="s">
        <v>400</v>
      </c>
      <c r="I4" s="38"/>
      <c r="J4" s="38"/>
    </row>
    <row r="5" spans="2:16" ht="15">
      <c r="B5" s="38"/>
      <c r="C5" s="38"/>
      <c r="D5" s="38"/>
      <c r="E5" s="38"/>
      <c r="F5" s="38"/>
      <c r="G5" s="38"/>
      <c r="H5" s="38"/>
      <c r="I5" s="38"/>
      <c r="J5" s="38"/>
    </row>
    <row r="6" spans="2:16" ht="15">
      <c r="B6" s="302" t="s">
        <v>68</v>
      </c>
      <c r="C6" s="302"/>
      <c r="D6" s="302"/>
      <c r="E6" s="302"/>
      <c r="F6" s="302"/>
      <c r="G6" s="302"/>
      <c r="H6" s="302"/>
      <c r="I6" s="302"/>
      <c r="J6" s="302"/>
    </row>
    <row r="7" spans="2:16" ht="15">
      <c r="N7" s="28" t="s">
        <v>4</v>
      </c>
    </row>
    <row r="8" spans="2:16" ht="13.9" customHeight="1">
      <c r="B8" s="303" t="s">
        <v>210</v>
      </c>
      <c r="C8" s="303" t="s">
        <v>18</v>
      </c>
      <c r="D8" s="308" t="s">
        <v>1</v>
      </c>
      <c r="E8" s="305" t="s">
        <v>482</v>
      </c>
      <c r="F8" s="306"/>
      <c r="G8" s="307"/>
      <c r="H8" s="305" t="s">
        <v>483</v>
      </c>
      <c r="I8" s="306"/>
      <c r="J8" s="304" t="s">
        <v>252</v>
      </c>
      <c r="K8" s="304"/>
      <c r="L8" s="304"/>
      <c r="M8" s="304"/>
      <c r="N8" s="304"/>
    </row>
    <row r="9" spans="2:16" ht="30">
      <c r="B9" s="303"/>
      <c r="C9" s="303"/>
      <c r="D9" s="309"/>
      <c r="E9" s="21" t="s">
        <v>393</v>
      </c>
      <c r="F9" s="21" t="s">
        <v>267</v>
      </c>
      <c r="G9" s="21" t="s">
        <v>226</v>
      </c>
      <c r="H9" s="21" t="s">
        <v>393</v>
      </c>
      <c r="I9" s="21" t="s">
        <v>266</v>
      </c>
      <c r="J9" s="21" t="s">
        <v>484</v>
      </c>
      <c r="K9" s="21" t="s">
        <v>485</v>
      </c>
      <c r="L9" s="21" t="s">
        <v>486</v>
      </c>
      <c r="M9" s="21" t="s">
        <v>487</v>
      </c>
      <c r="N9" s="21" t="s">
        <v>488</v>
      </c>
    </row>
    <row r="10" spans="2:16" ht="30">
      <c r="B10" s="303"/>
      <c r="C10" s="303"/>
      <c r="D10" s="310"/>
      <c r="E10" s="21" t="s">
        <v>10</v>
      </c>
      <c r="F10" s="21" t="s">
        <v>12</v>
      </c>
      <c r="G10" s="21" t="s">
        <v>256</v>
      </c>
      <c r="H10" s="21" t="s">
        <v>10</v>
      </c>
      <c r="I10" s="21" t="s">
        <v>547</v>
      </c>
      <c r="J10" s="21" t="s">
        <v>8</v>
      </c>
      <c r="K10" s="21" t="s">
        <v>8</v>
      </c>
      <c r="L10" s="21" t="s">
        <v>8</v>
      </c>
      <c r="M10" s="21" t="s">
        <v>8</v>
      </c>
      <c r="N10" s="21" t="s">
        <v>8</v>
      </c>
    </row>
    <row r="11" spans="2:16">
      <c r="B11" s="23">
        <v>1</v>
      </c>
      <c r="C11" s="31" t="s">
        <v>69</v>
      </c>
      <c r="D11" s="31" t="s">
        <v>24</v>
      </c>
      <c r="E11" s="161">
        <v>366.71</v>
      </c>
      <c r="F11" s="159">
        <f>F2.1!G36</f>
        <v>419.15534432886426</v>
      </c>
      <c r="G11" s="159">
        <f>F11</f>
        <v>419.15534432886426</v>
      </c>
      <c r="H11" s="161">
        <v>396.07</v>
      </c>
      <c r="I11" s="159">
        <f>F2.1!H36</f>
        <v>466.54164106558602</v>
      </c>
      <c r="J11" s="159">
        <f>F2.1!I36</f>
        <v>487.69989717988909</v>
      </c>
      <c r="K11" s="159">
        <f>F2.1!J36</f>
        <v>515.98649121632263</v>
      </c>
      <c r="L11" s="159">
        <f>F2.1!K36</f>
        <v>545.91370770686933</v>
      </c>
      <c r="M11" s="159">
        <f>F2.1!L36</f>
        <v>577.57670275386783</v>
      </c>
      <c r="N11" s="159">
        <f>F2.1!M36</f>
        <v>611.07615151359221</v>
      </c>
    </row>
    <row r="12" spans="2:16">
      <c r="B12" s="23">
        <f>B11+1</f>
        <v>2</v>
      </c>
      <c r="C12" s="40" t="s">
        <v>268</v>
      </c>
      <c r="D12" s="40" t="s">
        <v>25</v>
      </c>
      <c r="E12" s="161">
        <v>14.78</v>
      </c>
      <c r="F12" s="160">
        <f>F2.2!G40</f>
        <v>30.816964235173145</v>
      </c>
      <c r="G12" s="159">
        <f>F12</f>
        <v>30.816964235173145</v>
      </c>
      <c r="H12" s="162">
        <v>61.97</v>
      </c>
      <c r="I12" s="159">
        <f>F2.2!H40</f>
        <v>56.802259028808436</v>
      </c>
      <c r="J12" s="159">
        <f>F2.2!I40</f>
        <v>45.956282601958335</v>
      </c>
      <c r="K12" s="159">
        <f>F2.2!J40</f>
        <v>48.208140449454291</v>
      </c>
      <c r="L12" s="159">
        <f>F2.2!K40</f>
        <v>50.570339331477548</v>
      </c>
      <c r="M12" s="159">
        <f>F2.2!L40</f>
        <v>53.048285958719944</v>
      </c>
      <c r="N12" s="159">
        <f>F2.2!M40</f>
        <v>55.647651970697218</v>
      </c>
    </row>
    <row r="13" spans="2:16">
      <c r="B13" s="23">
        <f>B12+1</f>
        <v>3</v>
      </c>
      <c r="C13" s="31" t="s">
        <v>229</v>
      </c>
      <c r="D13" s="31" t="s">
        <v>302</v>
      </c>
      <c r="E13" s="161">
        <v>25.89</v>
      </c>
      <c r="F13" s="159">
        <f>F2.3!G18</f>
        <v>41.631714564587682</v>
      </c>
      <c r="G13" s="159">
        <f>F13</f>
        <v>41.631714564587682</v>
      </c>
      <c r="H13" s="162">
        <v>31.84</v>
      </c>
      <c r="I13" s="159">
        <f>F2.3!H18</f>
        <v>24.907051058400665</v>
      </c>
      <c r="J13" s="159">
        <f>F2.3!I18</f>
        <v>35.250770078433561</v>
      </c>
      <c r="K13" s="159">
        <f>F2.3!J18</f>
        <v>36.33172324878975</v>
      </c>
      <c r="L13" s="159">
        <f>F2.3!K18</f>
        <v>40.829749675995394</v>
      </c>
      <c r="M13" s="159">
        <f>F2.3!L18</f>
        <v>42.372490014871019</v>
      </c>
      <c r="N13" s="159">
        <f>F2.3!M18</f>
        <v>42.579752625693125</v>
      </c>
    </row>
    <row r="14" spans="2:16" ht="15">
      <c r="B14" s="23">
        <f>B13+1</f>
        <v>4</v>
      </c>
      <c r="C14" s="31" t="s">
        <v>70</v>
      </c>
      <c r="D14" s="31"/>
      <c r="E14" s="135">
        <f>SUM(E11:E13)*0.99</f>
        <v>403.30619999999993</v>
      </c>
      <c r="F14" s="135">
        <f t="shared" ref="F14" si="0">SUM(F11:F13)</f>
        <v>491.6040231286251</v>
      </c>
      <c r="G14" s="135">
        <f>SUM(G11:G13)</f>
        <v>491.6040231286251</v>
      </c>
      <c r="H14" s="135">
        <f>SUM(H11:H13)*0.99</f>
        <v>484.98119999999994</v>
      </c>
      <c r="I14" s="135">
        <f>SUM(I11:I13)</f>
        <v>548.2509511527951</v>
      </c>
      <c r="J14" s="135">
        <f>SUM(J11:J13)</f>
        <v>568.90694986028097</v>
      </c>
      <c r="K14" s="135">
        <f t="shared" ref="K14:N14" si="1">SUM(K11:K13)</f>
        <v>600.5263549145667</v>
      </c>
      <c r="L14" s="135">
        <f t="shared" si="1"/>
        <v>637.31379671434217</v>
      </c>
      <c r="M14" s="135">
        <f t="shared" si="1"/>
        <v>672.99747872745877</v>
      </c>
      <c r="N14" s="135">
        <f t="shared" si="1"/>
        <v>709.30355610998254</v>
      </c>
    </row>
    <row r="15" spans="2:16">
      <c r="B15" s="52" t="s">
        <v>269</v>
      </c>
      <c r="C15" s="53"/>
      <c r="D15" s="50"/>
      <c r="E15" s="50"/>
      <c r="F15" s="50"/>
      <c r="G15" s="51"/>
      <c r="H15" s="51"/>
      <c r="I15" s="51"/>
      <c r="J15" s="51"/>
      <c r="K15" s="51"/>
      <c r="L15" s="51"/>
      <c r="M15" s="51"/>
      <c r="N15" s="51"/>
    </row>
    <row r="16" spans="2:16">
      <c r="B16" s="54">
        <v>1</v>
      </c>
      <c r="C16" s="53" t="s">
        <v>270</v>
      </c>
    </row>
  </sheetData>
  <mergeCells count="9">
    <mergeCell ref="C2:O2"/>
    <mergeCell ref="C3:O3"/>
    <mergeCell ref="B6:J6"/>
    <mergeCell ref="B8:B10"/>
    <mergeCell ref="C8:C10"/>
    <mergeCell ref="J8:N8"/>
    <mergeCell ref="H8:I8"/>
    <mergeCell ref="E8:G8"/>
    <mergeCell ref="D8:D10"/>
  </mergeCells>
  <pageMargins left="0" right="0" top="0.74803149606299202" bottom="0.74803149606299202" header="0.31496062992126" footer="0.31496062992126"/>
  <pageSetup paperSize="9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T39"/>
  <sheetViews>
    <sheetView showGridLines="0" zoomScale="80" zoomScaleNormal="80" zoomScaleSheetLayoutView="70" workbookViewId="0">
      <selection activeCell="B2" sqref="B2:M36"/>
    </sheetView>
  </sheetViews>
  <sheetFormatPr defaultColWidth="9.28515625" defaultRowHeight="14.25"/>
  <cols>
    <col min="1" max="1" width="6.7109375" style="19" customWidth="1"/>
    <col min="2" max="2" width="7" style="19" customWidth="1"/>
    <col min="3" max="3" width="47" style="19" customWidth="1"/>
    <col min="4" max="4" width="14.5703125" style="19" customWidth="1"/>
    <col min="5" max="5" width="13.28515625" style="19" customWidth="1"/>
    <col min="6" max="6" width="13.85546875" style="19" customWidth="1"/>
    <col min="7" max="7" width="14" style="19" customWidth="1"/>
    <col min="8" max="8" width="13.2851562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20" ht="14.25" customHeight="1">
      <c r="B2" s="313" t="s">
        <v>542</v>
      </c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5"/>
      <c r="O2" s="5"/>
      <c r="P2" s="5"/>
    </row>
    <row r="3" spans="2:20" ht="14.25" customHeight="1">
      <c r="B3" s="313" t="s">
        <v>511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5"/>
      <c r="O3" s="5"/>
      <c r="P3" s="5"/>
    </row>
    <row r="4" spans="2:20" s="4" customFormat="1" ht="15.75">
      <c r="B4" s="285" t="s">
        <v>558</v>
      </c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</row>
    <row r="5" spans="2:20" s="4" customFormat="1" ht="15">
      <c r="C5" s="43"/>
      <c r="D5" s="43"/>
      <c r="E5" s="43"/>
      <c r="F5" s="43"/>
      <c r="G5" s="44"/>
      <c r="H5" s="44"/>
    </row>
    <row r="6" spans="2:20" ht="15">
      <c r="M6" s="28" t="s">
        <v>4</v>
      </c>
    </row>
    <row r="7" spans="2:20" ht="12.75" customHeight="1">
      <c r="B7" s="311" t="s">
        <v>2</v>
      </c>
      <c r="C7" s="311" t="s">
        <v>18</v>
      </c>
      <c r="D7" s="21" t="s">
        <v>507</v>
      </c>
      <c r="E7" s="21" t="s">
        <v>508</v>
      </c>
      <c r="F7" s="21" t="s">
        <v>509</v>
      </c>
      <c r="G7" s="21" t="s">
        <v>482</v>
      </c>
      <c r="H7" s="21" t="s">
        <v>483</v>
      </c>
      <c r="I7" s="304" t="s">
        <v>252</v>
      </c>
      <c r="J7" s="304"/>
      <c r="K7" s="304"/>
      <c r="L7" s="304"/>
      <c r="M7" s="304"/>
    </row>
    <row r="8" spans="2:20" ht="15">
      <c r="B8" s="311"/>
      <c r="C8" s="311"/>
      <c r="D8" s="21" t="s">
        <v>267</v>
      </c>
      <c r="E8" s="21" t="s">
        <v>267</v>
      </c>
      <c r="F8" s="21" t="s">
        <v>267</v>
      </c>
      <c r="G8" s="21" t="s">
        <v>267</v>
      </c>
      <c r="H8" s="21" t="s">
        <v>266</v>
      </c>
      <c r="I8" s="21" t="s">
        <v>484</v>
      </c>
      <c r="J8" s="21" t="s">
        <v>485</v>
      </c>
      <c r="K8" s="21" t="s">
        <v>486</v>
      </c>
      <c r="L8" s="21" t="s">
        <v>487</v>
      </c>
      <c r="M8" s="21" t="s">
        <v>488</v>
      </c>
    </row>
    <row r="9" spans="2:20" ht="15">
      <c r="B9" s="312"/>
      <c r="C9" s="311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548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20">
      <c r="B10" s="2">
        <v>1</v>
      </c>
      <c r="C10" s="45" t="s">
        <v>73</v>
      </c>
      <c r="D10" s="154"/>
      <c r="E10" s="154"/>
      <c r="F10" s="154"/>
      <c r="G10" s="151">
        <v>232.09422562861218</v>
      </c>
      <c r="H10" s="247">
        <v>238.99718508619537</v>
      </c>
      <c r="I10" s="3"/>
      <c r="J10" s="3"/>
      <c r="K10" s="3"/>
      <c r="L10" s="3"/>
      <c r="M10" s="3"/>
    </row>
    <row r="11" spans="2:20">
      <c r="B11" s="2">
        <v>2</v>
      </c>
      <c r="C11" s="45" t="s">
        <v>74</v>
      </c>
      <c r="D11" s="154"/>
      <c r="E11" s="154"/>
      <c r="F11" s="154"/>
      <c r="G11" s="151">
        <v>7.3879767689642124</v>
      </c>
      <c r="H11" s="247">
        <v>22.028301990420012</v>
      </c>
      <c r="I11" s="3"/>
      <c r="J11" s="3"/>
      <c r="K11" s="3"/>
      <c r="L11" s="3"/>
      <c r="M11" s="3"/>
    </row>
    <row r="12" spans="2:20">
      <c r="B12" s="2">
        <v>3</v>
      </c>
      <c r="C12" s="3" t="s">
        <v>75</v>
      </c>
      <c r="D12" s="151"/>
      <c r="E12" s="151"/>
      <c r="F12" s="151"/>
      <c r="G12" s="151">
        <v>17.031197380252351</v>
      </c>
      <c r="H12" s="247">
        <v>18.518998597047759</v>
      </c>
      <c r="I12" s="3"/>
      <c r="J12" s="3"/>
      <c r="K12" s="3"/>
      <c r="L12" s="3"/>
      <c r="M12" s="3"/>
    </row>
    <row r="13" spans="2:20">
      <c r="B13" s="2">
        <v>4</v>
      </c>
      <c r="C13" s="45" t="s">
        <v>76</v>
      </c>
      <c r="D13" s="154"/>
      <c r="E13" s="154"/>
      <c r="F13" s="154"/>
      <c r="G13" s="151">
        <v>2.4019728509937859</v>
      </c>
      <c r="H13" s="247">
        <v>2.3281584082602702</v>
      </c>
      <c r="I13" s="3"/>
      <c r="J13" s="3"/>
      <c r="K13" s="3"/>
      <c r="L13" s="3"/>
      <c r="M13" s="3"/>
    </row>
    <row r="14" spans="2:20">
      <c r="B14" s="2">
        <v>5</v>
      </c>
      <c r="C14" s="45" t="s">
        <v>77</v>
      </c>
      <c r="D14" s="154"/>
      <c r="E14" s="154"/>
      <c r="F14" s="154"/>
      <c r="G14" s="151">
        <v>3.6254298182042464E-4</v>
      </c>
      <c r="H14" s="247">
        <v>5.7348510314158565E-4</v>
      </c>
      <c r="I14" s="3"/>
      <c r="J14" s="3"/>
      <c r="K14" s="3"/>
      <c r="L14" s="3"/>
      <c r="M14" s="3"/>
    </row>
    <row r="15" spans="2:20">
      <c r="B15" s="2">
        <v>6</v>
      </c>
      <c r="C15" s="3" t="s">
        <v>78</v>
      </c>
      <c r="D15" s="151"/>
      <c r="E15" s="151"/>
      <c r="F15" s="151"/>
      <c r="G15" s="151">
        <v>35.796528066630685</v>
      </c>
      <c r="H15" s="247">
        <v>43.248719323326441</v>
      </c>
      <c r="I15" s="3"/>
      <c r="J15" s="3"/>
      <c r="K15" s="3"/>
      <c r="L15" s="3"/>
      <c r="M15" s="3"/>
    </row>
    <row r="16" spans="2:20">
      <c r="B16" s="2">
        <v>7</v>
      </c>
      <c r="C16" s="45" t="s">
        <v>79</v>
      </c>
      <c r="D16" s="154"/>
      <c r="E16" s="154"/>
      <c r="F16" s="154"/>
      <c r="G16" s="151">
        <v>49.33119228434385</v>
      </c>
      <c r="H16" s="247">
        <v>37.460092136822446</v>
      </c>
      <c r="I16" s="3"/>
      <c r="J16" s="3"/>
      <c r="K16" s="3"/>
      <c r="L16" s="3"/>
      <c r="M16" s="3"/>
      <c r="T16" s="19">
        <f>100000/3</f>
        <v>33333.333333333336</v>
      </c>
    </row>
    <row r="17" spans="2:20">
      <c r="B17" s="2">
        <v>8</v>
      </c>
      <c r="C17" s="45" t="s">
        <v>80</v>
      </c>
      <c r="D17" s="154"/>
      <c r="E17" s="154"/>
      <c r="F17" s="154"/>
      <c r="G17" s="151">
        <v>4.7172879838866368</v>
      </c>
      <c r="H17" s="247">
        <v>1.3827306548597897</v>
      </c>
      <c r="I17" s="3"/>
      <c r="J17" s="3"/>
      <c r="K17" s="3"/>
      <c r="L17" s="3"/>
      <c r="M17" s="3"/>
      <c r="T17" s="19">
        <f>3440/3</f>
        <v>1146.6666666666667</v>
      </c>
    </row>
    <row r="18" spans="2:20">
      <c r="B18" s="2">
        <v>9</v>
      </c>
      <c r="C18" s="45" t="s">
        <v>81</v>
      </c>
      <c r="D18" s="154"/>
      <c r="E18" s="154"/>
      <c r="F18" s="154"/>
      <c r="G18" s="151">
        <v>0</v>
      </c>
      <c r="H18" s="247">
        <v>0</v>
      </c>
      <c r="I18" s="3"/>
      <c r="J18" s="3"/>
      <c r="K18" s="3"/>
      <c r="L18" s="3"/>
      <c r="M18" s="3"/>
      <c r="T18" s="19">
        <f>T16-T17</f>
        <v>32186.666666666668</v>
      </c>
    </row>
    <row r="19" spans="2:20">
      <c r="B19" s="2">
        <v>10</v>
      </c>
      <c r="C19" s="45" t="s">
        <v>82</v>
      </c>
      <c r="D19" s="154"/>
      <c r="E19" s="154"/>
      <c r="F19" s="154"/>
      <c r="G19" s="154">
        <v>0</v>
      </c>
      <c r="H19" s="247">
        <v>0</v>
      </c>
      <c r="I19" s="3"/>
      <c r="J19" s="3"/>
      <c r="K19" s="3"/>
      <c r="L19" s="3"/>
      <c r="M19" s="3"/>
    </row>
    <row r="20" spans="2:20">
      <c r="B20" s="2">
        <v>11</v>
      </c>
      <c r="C20" s="45" t="s">
        <v>83</v>
      </c>
      <c r="D20" s="154"/>
      <c r="E20" s="154"/>
      <c r="F20" s="154"/>
      <c r="G20" s="154">
        <v>0</v>
      </c>
      <c r="H20" s="247">
        <v>1.3405414740503849E-3</v>
      </c>
      <c r="I20" s="3"/>
      <c r="J20" s="3"/>
      <c r="K20" s="3"/>
      <c r="L20" s="3"/>
      <c r="M20" s="3"/>
    </row>
    <row r="21" spans="2:20">
      <c r="B21" s="2">
        <v>12</v>
      </c>
      <c r="C21" s="45" t="s">
        <v>84</v>
      </c>
      <c r="D21" s="154"/>
      <c r="E21" s="154"/>
      <c r="F21" s="154"/>
      <c r="G21" s="154">
        <v>5.6458163537651149</v>
      </c>
      <c r="H21" s="247">
        <v>5.3396391728635058</v>
      </c>
      <c r="I21" s="3"/>
      <c r="J21" s="3"/>
      <c r="K21" s="3"/>
      <c r="L21" s="3"/>
      <c r="M21" s="3"/>
    </row>
    <row r="22" spans="2:20">
      <c r="B22" s="2">
        <v>13</v>
      </c>
      <c r="C22" s="45" t="s">
        <v>85</v>
      </c>
      <c r="D22" s="154"/>
      <c r="E22" s="154"/>
      <c r="F22" s="154"/>
      <c r="G22" s="154">
        <v>0</v>
      </c>
      <c r="H22" s="247">
        <v>0</v>
      </c>
      <c r="I22" s="3"/>
      <c r="J22" s="3"/>
      <c r="K22" s="3"/>
      <c r="L22" s="3"/>
      <c r="M22" s="3"/>
    </row>
    <row r="23" spans="2:20">
      <c r="B23" s="2">
        <v>14</v>
      </c>
      <c r="C23" s="45" t="s">
        <v>86</v>
      </c>
      <c r="D23" s="154"/>
      <c r="E23" s="154"/>
      <c r="F23" s="154"/>
      <c r="G23" s="154">
        <v>0</v>
      </c>
      <c r="H23" s="247">
        <v>0</v>
      </c>
      <c r="I23" s="3"/>
      <c r="J23" s="3"/>
      <c r="K23" s="3"/>
      <c r="L23" s="3"/>
      <c r="M23" s="3"/>
    </row>
    <row r="24" spans="2:20">
      <c r="B24" s="2">
        <v>15</v>
      </c>
      <c r="C24" s="45" t="s">
        <v>87</v>
      </c>
      <c r="D24" s="154"/>
      <c r="E24" s="154"/>
      <c r="F24" s="154"/>
      <c r="G24" s="151">
        <v>0</v>
      </c>
      <c r="H24" s="247">
        <v>0</v>
      </c>
      <c r="I24" s="3"/>
      <c r="J24" s="3"/>
      <c r="K24" s="3"/>
      <c r="L24" s="3"/>
      <c r="M24" s="3"/>
    </row>
    <row r="25" spans="2:20">
      <c r="B25" s="2">
        <v>16</v>
      </c>
      <c r="C25" s="45" t="s">
        <v>88</v>
      </c>
      <c r="D25" s="154"/>
      <c r="E25" s="154"/>
      <c r="F25" s="154"/>
      <c r="G25" s="163">
        <v>0</v>
      </c>
      <c r="H25" s="247">
        <v>0</v>
      </c>
      <c r="I25" s="3"/>
      <c r="J25" s="3"/>
      <c r="K25" s="3"/>
      <c r="L25" s="3"/>
      <c r="M25" s="3"/>
    </row>
    <row r="26" spans="2:20" ht="15">
      <c r="B26" s="2">
        <v>17</v>
      </c>
      <c r="C26" s="45" t="s">
        <v>89</v>
      </c>
      <c r="D26" s="154"/>
      <c r="E26" s="154"/>
      <c r="F26" s="154"/>
      <c r="G26" s="163">
        <v>354.40655986043066</v>
      </c>
      <c r="H26" s="248">
        <v>369.30573939637276</v>
      </c>
      <c r="I26" s="3"/>
      <c r="J26" s="3"/>
      <c r="K26" s="3"/>
      <c r="L26" s="3"/>
      <c r="M26" s="3"/>
    </row>
    <row r="27" spans="2:20">
      <c r="B27" s="2">
        <v>18</v>
      </c>
      <c r="C27" s="45" t="s">
        <v>90</v>
      </c>
      <c r="D27" s="154"/>
      <c r="E27" s="154"/>
      <c r="F27" s="154"/>
      <c r="G27" s="163">
        <v>0</v>
      </c>
      <c r="H27" s="247">
        <v>0</v>
      </c>
      <c r="I27" s="3"/>
      <c r="J27" s="3"/>
      <c r="K27" s="3"/>
      <c r="L27" s="3"/>
      <c r="M27" s="3"/>
    </row>
    <row r="28" spans="2:20">
      <c r="B28" s="2">
        <f>+B27+0.1</f>
        <v>18.100000000000001</v>
      </c>
      <c r="C28" s="45" t="s">
        <v>91</v>
      </c>
      <c r="D28" s="154"/>
      <c r="E28" s="154"/>
      <c r="F28" s="154"/>
      <c r="G28" s="163">
        <v>16.232344445678674</v>
      </c>
      <c r="H28" s="247">
        <v>17.221715893730263</v>
      </c>
      <c r="I28" s="3"/>
      <c r="J28" s="3"/>
      <c r="K28" s="3"/>
      <c r="L28" s="3"/>
      <c r="M28" s="3"/>
    </row>
    <row r="29" spans="2:20">
      <c r="B29" s="2">
        <f>+B28+0.1</f>
        <v>18.200000000000003</v>
      </c>
      <c r="C29" s="45" t="s">
        <v>92</v>
      </c>
      <c r="D29" s="154"/>
      <c r="E29" s="154"/>
      <c r="F29" s="154"/>
      <c r="G29" s="163">
        <v>0</v>
      </c>
      <c r="H29" s="247">
        <v>0</v>
      </c>
      <c r="I29" s="3"/>
      <c r="J29" s="3"/>
      <c r="K29" s="3"/>
      <c r="L29" s="3"/>
      <c r="M29" s="3"/>
    </row>
    <row r="30" spans="2:20">
      <c r="B30" s="2">
        <f>+B29+0.1</f>
        <v>18.300000000000004</v>
      </c>
      <c r="C30" s="45" t="s">
        <v>93</v>
      </c>
      <c r="D30" s="154"/>
      <c r="E30" s="154"/>
      <c r="F30" s="154"/>
      <c r="G30" s="163">
        <v>0</v>
      </c>
      <c r="H30" s="247">
        <v>0</v>
      </c>
      <c r="I30" s="3"/>
      <c r="J30" s="3"/>
      <c r="K30" s="3"/>
      <c r="L30" s="3"/>
      <c r="M30" s="3"/>
    </row>
    <row r="31" spans="2:20">
      <c r="B31" s="2">
        <f>+B30+0.1</f>
        <v>18.400000000000006</v>
      </c>
      <c r="C31" s="45" t="s">
        <v>94</v>
      </c>
      <c r="D31" s="154"/>
      <c r="E31" s="154"/>
      <c r="F31" s="154"/>
      <c r="G31" s="151">
        <v>48.516440022754935</v>
      </c>
      <c r="H31" s="247">
        <v>80.014185775482986</v>
      </c>
      <c r="I31" s="3"/>
      <c r="J31" s="3"/>
      <c r="K31" s="3"/>
      <c r="L31" s="3"/>
      <c r="M31" s="3"/>
    </row>
    <row r="32" spans="2:20">
      <c r="B32" s="2">
        <v>19</v>
      </c>
      <c r="C32" s="49" t="s">
        <v>427</v>
      </c>
      <c r="D32" s="154"/>
      <c r="E32" s="154"/>
      <c r="F32" s="154"/>
      <c r="G32" s="151">
        <v>0</v>
      </c>
      <c r="H32" s="247">
        <v>0</v>
      </c>
      <c r="I32" s="3"/>
      <c r="J32" s="3"/>
      <c r="K32" s="3"/>
      <c r="L32" s="3"/>
      <c r="M32" s="3"/>
    </row>
    <row r="33" spans="2:13">
      <c r="B33" s="2">
        <v>20</v>
      </c>
      <c r="C33" s="45" t="s">
        <v>95</v>
      </c>
      <c r="D33" s="154"/>
      <c r="E33" s="154"/>
      <c r="F33" s="154"/>
      <c r="G33" s="151">
        <v>0</v>
      </c>
      <c r="H33" s="247">
        <v>0</v>
      </c>
      <c r="I33" s="151">
        <v>487.69989717988909</v>
      </c>
      <c r="J33" s="151">
        <v>515.98649121632263</v>
      </c>
      <c r="K33" s="151">
        <v>545.91370770686933</v>
      </c>
      <c r="L33" s="151">
        <v>577.57670275386783</v>
      </c>
      <c r="M33" s="151">
        <v>611.07615151359221</v>
      </c>
    </row>
    <row r="34" spans="2:13" ht="15">
      <c r="B34" s="20">
        <v>21</v>
      </c>
      <c r="C34" s="46" t="s">
        <v>96</v>
      </c>
      <c r="D34" s="153">
        <f>SUM(D26:D33)</f>
        <v>0</v>
      </c>
      <c r="E34" s="153">
        <f t="shared" ref="E34:G34" si="0">SUM(E26:E33)</f>
        <v>0</v>
      </c>
      <c r="F34" s="153">
        <f t="shared" si="0"/>
        <v>0</v>
      </c>
      <c r="G34" s="153">
        <f t="shared" si="0"/>
        <v>419.15534432886426</v>
      </c>
      <c r="H34" s="248">
        <f>H26+H28+H31</f>
        <v>466.54164106558602</v>
      </c>
      <c r="I34" s="153">
        <f t="shared" ref="I34:M34" si="1">SUM(I10:I33)</f>
        <v>487.69989717988909</v>
      </c>
      <c r="J34" s="153">
        <f t="shared" si="1"/>
        <v>515.98649121632263</v>
      </c>
      <c r="K34" s="153">
        <f t="shared" si="1"/>
        <v>545.91370770686933</v>
      </c>
      <c r="L34" s="153">
        <f t="shared" si="1"/>
        <v>577.57670275386783</v>
      </c>
      <c r="M34" s="153">
        <f t="shared" si="1"/>
        <v>611.07615151359221</v>
      </c>
    </row>
    <row r="35" spans="2:13">
      <c r="B35" s="2">
        <v>22</v>
      </c>
      <c r="C35" s="45" t="s">
        <v>17</v>
      </c>
      <c r="D35" s="154"/>
      <c r="E35" s="154"/>
      <c r="F35" s="154"/>
      <c r="G35" s="151">
        <v>0</v>
      </c>
      <c r="H35" s="247">
        <v>0</v>
      </c>
      <c r="I35" s="151"/>
      <c r="J35" s="151"/>
      <c r="K35" s="151"/>
      <c r="L35" s="151"/>
      <c r="M35" s="151"/>
    </row>
    <row r="36" spans="2:13" ht="15">
      <c r="B36" s="20">
        <v>23</v>
      </c>
      <c r="C36" s="22" t="s">
        <v>97</v>
      </c>
      <c r="D36" s="137">
        <v>115.12</v>
      </c>
      <c r="E36" s="137">
        <v>409.04</v>
      </c>
      <c r="F36" s="137">
        <v>352.5</v>
      </c>
      <c r="G36" s="137">
        <f t="shared" ref="G36:M36" si="2">G34-G35</f>
        <v>419.15534432886426</v>
      </c>
      <c r="H36" s="248">
        <f>H34-H35</f>
        <v>466.54164106558602</v>
      </c>
      <c r="I36" s="137">
        <f t="shared" si="2"/>
        <v>487.69989717988909</v>
      </c>
      <c r="J36" s="137">
        <f t="shared" si="2"/>
        <v>515.98649121632263</v>
      </c>
      <c r="K36" s="137">
        <f t="shared" si="2"/>
        <v>545.91370770686933</v>
      </c>
      <c r="L36" s="137">
        <f t="shared" si="2"/>
        <v>577.57670275386783</v>
      </c>
      <c r="M36" s="137">
        <f t="shared" si="2"/>
        <v>611.07615151359221</v>
      </c>
    </row>
    <row r="38" spans="2:13" ht="15">
      <c r="B38" s="47"/>
    </row>
    <row r="39" spans="2:13">
      <c r="B39" s="48"/>
    </row>
  </sheetData>
  <mergeCells count="6">
    <mergeCell ref="I7:M7"/>
    <mergeCell ref="B7:B9"/>
    <mergeCell ref="C7:C9"/>
    <mergeCell ref="B2:M2"/>
    <mergeCell ref="B3:M3"/>
    <mergeCell ref="B4:M4"/>
  </mergeCells>
  <pageMargins left="0" right="0" top="1" bottom="1" header="0.5" footer="0.5"/>
  <pageSetup paperSize="9" scale="79" orientation="landscape" r:id="rId1"/>
  <headerFooter alignWithMargins="0"/>
  <rowBreaks count="1" manualBreakCount="1">
    <brk id="37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N40"/>
  <sheetViews>
    <sheetView showGridLines="0" zoomScale="80" zoomScaleNormal="80" zoomScaleSheetLayoutView="70" workbookViewId="0">
      <selection activeCell="B2" sqref="B2:M40"/>
    </sheetView>
  </sheetViews>
  <sheetFormatPr defaultColWidth="9.28515625" defaultRowHeight="14.25"/>
  <cols>
    <col min="1" max="1" width="2" style="19" customWidth="1"/>
    <col min="2" max="2" width="7" style="19" customWidth="1"/>
    <col min="3" max="3" width="50.28515625" style="19" customWidth="1"/>
    <col min="4" max="8" width="15.710937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4" ht="15.75">
      <c r="B2" s="285" t="s">
        <v>543</v>
      </c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66"/>
    </row>
    <row r="3" spans="2:14" ht="15.75">
      <c r="B3" s="285" t="s">
        <v>515</v>
      </c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66"/>
    </row>
    <row r="4" spans="2:14" s="4" customFormat="1" ht="15.75">
      <c r="B4" s="285" t="s">
        <v>550</v>
      </c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66"/>
    </row>
    <row r="6" spans="2:14" ht="15">
      <c r="M6" s="28" t="s">
        <v>4</v>
      </c>
    </row>
    <row r="7" spans="2:14" ht="12.75" customHeight="1">
      <c r="B7" s="314" t="s">
        <v>210</v>
      </c>
      <c r="C7" s="311" t="s">
        <v>18</v>
      </c>
      <c r="D7" s="21" t="s">
        <v>507</v>
      </c>
      <c r="E7" s="21" t="s">
        <v>508</v>
      </c>
      <c r="F7" s="21" t="s">
        <v>509</v>
      </c>
      <c r="G7" s="21" t="s">
        <v>482</v>
      </c>
      <c r="H7" s="21" t="s">
        <v>483</v>
      </c>
      <c r="I7" s="304" t="s">
        <v>252</v>
      </c>
      <c r="J7" s="304"/>
      <c r="K7" s="304"/>
      <c r="L7" s="304"/>
      <c r="M7" s="304"/>
    </row>
    <row r="8" spans="2:14" ht="15">
      <c r="B8" s="314"/>
      <c r="C8" s="311"/>
      <c r="D8" s="21" t="s">
        <v>267</v>
      </c>
      <c r="E8" s="21" t="s">
        <v>267</v>
      </c>
      <c r="F8" s="21" t="s">
        <v>267</v>
      </c>
      <c r="G8" s="21" t="s">
        <v>267</v>
      </c>
      <c r="H8" s="21" t="s">
        <v>266</v>
      </c>
      <c r="I8" s="21" t="s">
        <v>484</v>
      </c>
      <c r="J8" s="21" t="s">
        <v>485</v>
      </c>
      <c r="K8" s="21" t="s">
        <v>486</v>
      </c>
      <c r="L8" s="21" t="s">
        <v>487</v>
      </c>
      <c r="M8" s="21" t="s">
        <v>488</v>
      </c>
    </row>
    <row r="9" spans="2:14" ht="15">
      <c r="B9" s="314"/>
      <c r="C9" s="311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547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4">
      <c r="B10" s="3">
        <v>1</v>
      </c>
      <c r="C10" s="55" t="s">
        <v>98</v>
      </c>
      <c r="D10" s="151">
        <v>0.56913175016002804</v>
      </c>
      <c r="E10" s="151">
        <v>1.0858609624616382</v>
      </c>
      <c r="F10" s="151">
        <v>3.954853392720417</v>
      </c>
      <c r="G10" s="151">
        <v>1.6030495604707062</v>
      </c>
      <c r="H10" s="249">
        <v>2.2912824378749348</v>
      </c>
      <c r="I10" s="3"/>
      <c r="J10" s="3"/>
      <c r="K10" s="3"/>
      <c r="L10" s="3"/>
      <c r="M10" s="3"/>
    </row>
    <row r="11" spans="2:14">
      <c r="B11" s="3">
        <v>2</v>
      </c>
      <c r="C11" s="56" t="s">
        <v>99</v>
      </c>
      <c r="D11" s="151">
        <v>3.0253522989869941</v>
      </c>
      <c r="E11" s="151">
        <v>4.3519927164938075</v>
      </c>
      <c r="F11" s="151">
        <v>4.0665376316934747</v>
      </c>
      <c r="G11" s="151">
        <v>3.9016567126460222</v>
      </c>
      <c r="H11" s="249">
        <v>3.7327855781059882</v>
      </c>
      <c r="I11" s="3"/>
      <c r="J11" s="3"/>
      <c r="K11" s="3"/>
      <c r="L11" s="3"/>
      <c r="M11" s="3"/>
    </row>
    <row r="12" spans="2:14">
      <c r="B12" s="3">
        <v>3</v>
      </c>
      <c r="C12" s="56" t="s">
        <v>100</v>
      </c>
      <c r="D12" s="151">
        <v>0.1080026176623869</v>
      </c>
      <c r="E12" s="151">
        <v>0.15749578005679873</v>
      </c>
      <c r="F12" s="151">
        <v>0.13535623824776771</v>
      </c>
      <c r="G12" s="151">
        <v>0.25735230392255137</v>
      </c>
      <c r="H12" s="249">
        <v>0.23783318983232746</v>
      </c>
      <c r="I12" s="3"/>
      <c r="J12" s="3"/>
      <c r="K12" s="3"/>
      <c r="L12" s="3"/>
      <c r="M12" s="3"/>
    </row>
    <row r="13" spans="2:14">
      <c r="B13" s="3">
        <v>4</v>
      </c>
      <c r="C13" s="56" t="s">
        <v>101</v>
      </c>
      <c r="D13" s="151">
        <v>0.21481128477605316</v>
      </c>
      <c r="E13" s="151">
        <v>0.1875492898231112</v>
      </c>
      <c r="F13" s="151">
        <v>0.15286129266073437</v>
      </c>
      <c r="G13" s="151">
        <v>0.24771213083910371</v>
      </c>
      <c r="H13" s="249">
        <v>0.17048056007006657</v>
      </c>
      <c r="I13" s="3"/>
      <c r="J13" s="3"/>
      <c r="K13" s="3"/>
      <c r="L13" s="3"/>
      <c r="M13" s="3"/>
    </row>
    <row r="14" spans="2:14">
      <c r="B14" s="3">
        <v>5</v>
      </c>
      <c r="C14" s="56" t="s">
        <v>102</v>
      </c>
      <c r="D14" s="151">
        <v>2.8947968253380935E-2</v>
      </c>
      <c r="E14" s="151">
        <v>2.4645300186604567E-2</v>
      </c>
      <c r="F14" s="151">
        <v>0.18726861663046127</v>
      </c>
      <c r="G14" s="151">
        <v>5.1246111865975665</v>
      </c>
      <c r="H14" s="249">
        <v>5.0491457249540774</v>
      </c>
      <c r="I14" s="3"/>
      <c r="J14" s="3"/>
      <c r="K14" s="3"/>
      <c r="L14" s="3"/>
      <c r="M14" s="3"/>
    </row>
    <row r="15" spans="2:14">
      <c r="B15" s="3">
        <v>6</v>
      </c>
      <c r="C15" s="56" t="s">
        <v>103</v>
      </c>
      <c r="D15" s="151">
        <v>0.12012901248774351</v>
      </c>
      <c r="E15" s="151">
        <v>2.6211024967999631E-2</v>
      </c>
      <c r="F15" s="151">
        <v>3.0521635334577368E-2</v>
      </c>
      <c r="G15" s="151">
        <v>7.7968391838748971E-2</v>
      </c>
      <c r="H15" s="249">
        <v>0.10933172922319229</v>
      </c>
      <c r="I15" s="3"/>
      <c r="J15" s="3"/>
      <c r="K15" s="3"/>
      <c r="L15" s="3"/>
      <c r="M15" s="3"/>
    </row>
    <row r="16" spans="2:14">
      <c r="B16" s="3">
        <v>7</v>
      </c>
      <c r="C16" s="56" t="s">
        <v>104</v>
      </c>
      <c r="D16" s="151">
        <v>1.7967824337003866</v>
      </c>
      <c r="E16" s="151">
        <v>1.4311488650478847</v>
      </c>
      <c r="F16" s="151">
        <v>19.601236125236341</v>
      </c>
      <c r="G16" s="151">
        <v>2.0986848037552241</v>
      </c>
      <c r="H16" s="249">
        <v>14.414697101598703</v>
      </c>
      <c r="I16" s="3"/>
      <c r="J16" s="3"/>
      <c r="K16" s="3"/>
      <c r="L16" s="3"/>
      <c r="M16" s="3"/>
    </row>
    <row r="17" spans="2:13">
      <c r="B17" s="3">
        <v>8</v>
      </c>
      <c r="C17" s="56" t="s">
        <v>105</v>
      </c>
      <c r="D17" s="151">
        <v>1.1776106414075074E-2</v>
      </c>
      <c r="E17" s="151">
        <v>1.550514134139383E-2</v>
      </c>
      <c r="F17" s="151">
        <v>5.9615995558502848E-3</v>
      </c>
      <c r="G17" s="151">
        <v>3.1101565319309717E-3</v>
      </c>
      <c r="H17" s="249">
        <v>2.7083552548394355E-3</v>
      </c>
      <c r="I17" s="3"/>
      <c r="J17" s="3"/>
      <c r="K17" s="3"/>
      <c r="L17" s="3"/>
      <c r="M17" s="3"/>
    </row>
    <row r="18" spans="2:13">
      <c r="B18" s="3">
        <v>9</v>
      </c>
      <c r="C18" s="56" t="s">
        <v>106</v>
      </c>
      <c r="D18" s="151">
        <v>4.9529609172535842</v>
      </c>
      <c r="E18" s="151">
        <v>13.549515642174917</v>
      </c>
      <c r="F18" s="151">
        <v>19.097369100928795</v>
      </c>
      <c r="G18" s="151">
        <v>14.944635690366175</v>
      </c>
      <c r="H18" s="249">
        <v>12.365810187180623</v>
      </c>
      <c r="I18" s="3"/>
      <c r="J18" s="3"/>
      <c r="K18" s="3"/>
      <c r="L18" s="3"/>
      <c r="M18" s="3"/>
    </row>
    <row r="19" spans="2:13">
      <c r="B19" s="3">
        <v>10</v>
      </c>
      <c r="C19" s="56" t="s">
        <v>107</v>
      </c>
      <c r="D19" s="151">
        <v>3.7657439920078438E-2</v>
      </c>
      <c r="E19" s="151">
        <v>0.20755012568820072</v>
      </c>
      <c r="F19" s="151">
        <v>3.7531391206452505E-2</v>
      </c>
      <c r="G19" s="151">
        <v>2.9616297827059202E-2</v>
      </c>
      <c r="H19" s="249">
        <v>2.8948032923892024E-2</v>
      </c>
      <c r="I19" s="3"/>
      <c r="J19" s="3"/>
      <c r="K19" s="3"/>
      <c r="L19" s="3"/>
      <c r="M19" s="3"/>
    </row>
    <row r="20" spans="2:13">
      <c r="B20" s="3">
        <v>11</v>
      </c>
      <c r="C20" s="56" t="s">
        <v>108</v>
      </c>
      <c r="D20" s="151">
        <v>0</v>
      </c>
      <c r="E20" s="151">
        <v>0</v>
      </c>
      <c r="F20" s="151">
        <v>0</v>
      </c>
      <c r="G20" s="151">
        <v>9.4747004302700368E-4</v>
      </c>
      <c r="H20" s="249">
        <v>4.0049744219969596E-3</v>
      </c>
      <c r="I20" s="3"/>
      <c r="J20" s="3"/>
      <c r="K20" s="3"/>
      <c r="L20" s="3"/>
      <c r="M20" s="3"/>
    </row>
    <row r="21" spans="2:13">
      <c r="B21" s="3">
        <v>12</v>
      </c>
      <c r="C21" s="56" t="s">
        <v>109</v>
      </c>
      <c r="D21" s="151">
        <v>0</v>
      </c>
      <c r="E21" s="151">
        <v>0</v>
      </c>
      <c r="F21" s="151">
        <v>0</v>
      </c>
      <c r="G21" s="151">
        <v>0</v>
      </c>
      <c r="H21" s="249">
        <v>0</v>
      </c>
      <c r="I21" s="3"/>
      <c r="J21" s="3"/>
      <c r="K21" s="3"/>
      <c r="L21" s="3"/>
      <c r="M21" s="3"/>
    </row>
    <row r="22" spans="2:13">
      <c r="B22" s="3">
        <v>13</v>
      </c>
      <c r="C22" s="56" t="s">
        <v>110</v>
      </c>
      <c r="D22" s="151">
        <v>6.2532902347455274E-2</v>
      </c>
      <c r="E22" s="151">
        <v>0.17044639359093502</v>
      </c>
      <c r="F22" s="151">
        <v>7.8175378358141964E-2</v>
      </c>
      <c r="G22" s="151">
        <v>5.3297433420970652E-2</v>
      </c>
      <c r="H22" s="249">
        <v>4.110995007497309E-2</v>
      </c>
      <c r="I22" s="3"/>
      <c r="J22" s="3"/>
      <c r="K22" s="3"/>
      <c r="L22" s="3"/>
      <c r="M22" s="3"/>
    </row>
    <row r="23" spans="2:13">
      <c r="B23" s="3">
        <v>14</v>
      </c>
      <c r="C23" s="56" t="s">
        <v>111</v>
      </c>
      <c r="D23" s="151">
        <v>1.1111274053244038</v>
      </c>
      <c r="E23" s="151">
        <v>0.12870213525854757</v>
      </c>
      <c r="F23" s="151">
        <v>0.19290654891431611</v>
      </c>
      <c r="G23" s="151">
        <v>0.1277539587740234</v>
      </c>
      <c r="H23" s="249">
        <v>0.13562437283714451</v>
      </c>
      <c r="I23" s="3"/>
      <c r="J23" s="3"/>
      <c r="K23" s="3"/>
      <c r="L23" s="3"/>
      <c r="M23" s="3"/>
    </row>
    <row r="24" spans="2:13">
      <c r="B24" s="3">
        <v>15</v>
      </c>
      <c r="C24" s="56" t="s">
        <v>112</v>
      </c>
      <c r="D24" s="151">
        <v>0</v>
      </c>
      <c r="E24" s="151">
        <v>0</v>
      </c>
      <c r="F24" s="151">
        <v>0</v>
      </c>
      <c r="G24" s="151">
        <v>0</v>
      </c>
      <c r="H24" s="249">
        <v>0</v>
      </c>
      <c r="I24" s="3"/>
      <c r="J24" s="3"/>
      <c r="K24" s="3"/>
      <c r="L24" s="3"/>
      <c r="M24" s="3"/>
    </row>
    <row r="25" spans="2:13">
      <c r="B25" s="3">
        <v>16</v>
      </c>
      <c r="C25" s="55" t="s">
        <v>113</v>
      </c>
      <c r="D25" s="151">
        <v>0</v>
      </c>
      <c r="E25" s="151">
        <v>0</v>
      </c>
      <c r="F25" s="151">
        <v>0</v>
      </c>
      <c r="G25" s="151">
        <v>0</v>
      </c>
      <c r="H25" s="249">
        <v>0</v>
      </c>
      <c r="I25" s="3"/>
      <c r="J25" s="3"/>
      <c r="K25" s="3"/>
      <c r="L25" s="3"/>
      <c r="M25" s="3"/>
    </row>
    <row r="26" spans="2:13">
      <c r="B26" s="3">
        <v>17</v>
      </c>
      <c r="C26" s="55" t="s">
        <v>114</v>
      </c>
      <c r="D26" s="151">
        <v>0</v>
      </c>
      <c r="E26" s="151">
        <v>0</v>
      </c>
      <c r="F26" s="151">
        <v>0</v>
      </c>
      <c r="G26" s="151">
        <v>0</v>
      </c>
      <c r="H26" s="249">
        <v>0</v>
      </c>
      <c r="I26" s="3"/>
      <c r="J26" s="3"/>
      <c r="K26" s="3"/>
      <c r="L26" s="3"/>
      <c r="M26" s="3"/>
    </row>
    <row r="27" spans="2:13">
      <c r="B27" s="3">
        <v>18</v>
      </c>
      <c r="C27" s="56" t="s">
        <v>115</v>
      </c>
      <c r="D27" s="151">
        <v>0.10155610793110466</v>
      </c>
      <c r="E27" s="151">
        <v>2.4170506114769518E-2</v>
      </c>
      <c r="F27" s="151">
        <v>3.1878652745863087E-2</v>
      </c>
      <c r="G27" s="151">
        <v>4.2608397143870581E-2</v>
      </c>
      <c r="H27" s="249">
        <v>5.2456097057018529E-2</v>
      </c>
      <c r="I27" s="3"/>
      <c r="J27" s="3"/>
      <c r="K27" s="3"/>
      <c r="L27" s="3"/>
      <c r="M27" s="3"/>
    </row>
    <row r="28" spans="2:13">
      <c r="B28" s="3">
        <v>19</v>
      </c>
      <c r="C28" s="56" t="s">
        <v>116</v>
      </c>
      <c r="D28" s="151">
        <v>0.78926669572123664</v>
      </c>
      <c r="E28" s="151">
        <v>1.6839342415963481</v>
      </c>
      <c r="F28" s="151">
        <v>2.053142577298444</v>
      </c>
      <c r="G28" s="151">
        <v>1.8645206288044505</v>
      </c>
      <c r="H28" s="249">
        <v>2.0090780084632103</v>
      </c>
      <c r="I28" s="3"/>
      <c r="J28" s="3"/>
      <c r="K28" s="3"/>
      <c r="L28" s="3"/>
      <c r="M28" s="3"/>
    </row>
    <row r="29" spans="2:13">
      <c r="B29" s="3">
        <v>20</v>
      </c>
      <c r="C29" s="56" t="s">
        <v>117</v>
      </c>
      <c r="D29" s="151">
        <v>0</v>
      </c>
      <c r="E29" s="151">
        <v>0</v>
      </c>
      <c r="F29" s="151">
        <v>0</v>
      </c>
      <c r="G29" s="151">
        <v>0</v>
      </c>
      <c r="H29" s="249">
        <v>0</v>
      </c>
      <c r="I29" s="3"/>
      <c r="J29" s="3"/>
      <c r="K29" s="3"/>
      <c r="L29" s="3"/>
      <c r="M29" s="3"/>
    </row>
    <row r="30" spans="2:13">
      <c r="B30" s="3">
        <v>21</v>
      </c>
      <c r="C30" s="56" t="s">
        <v>118</v>
      </c>
      <c r="D30" s="151">
        <v>0</v>
      </c>
      <c r="E30" s="151">
        <v>0</v>
      </c>
      <c r="F30" s="151">
        <v>0</v>
      </c>
      <c r="G30" s="151">
        <v>0</v>
      </c>
      <c r="H30" s="249">
        <v>0</v>
      </c>
      <c r="I30" s="3"/>
      <c r="J30" s="3"/>
      <c r="K30" s="3"/>
      <c r="L30" s="3"/>
      <c r="M30" s="3"/>
    </row>
    <row r="31" spans="2:13">
      <c r="B31" s="3">
        <v>22</v>
      </c>
      <c r="C31" s="56" t="s">
        <v>119</v>
      </c>
      <c r="D31" s="151">
        <v>0</v>
      </c>
      <c r="E31" s="151">
        <v>4.4318999999999999E-3</v>
      </c>
      <c r="F31" s="151">
        <v>1.66036E-2</v>
      </c>
      <c r="G31" s="151">
        <v>2.7150000000000001E-2</v>
      </c>
      <c r="H31" s="249">
        <v>2.2967484E-2</v>
      </c>
      <c r="I31" s="3"/>
      <c r="J31" s="3"/>
      <c r="K31" s="3"/>
      <c r="L31" s="3"/>
      <c r="M31" s="3"/>
    </row>
    <row r="32" spans="2:13">
      <c r="B32" s="3">
        <v>23</v>
      </c>
      <c r="C32" s="56" t="s">
        <v>120</v>
      </c>
      <c r="D32" s="151">
        <v>0</v>
      </c>
      <c r="E32" s="151">
        <v>0</v>
      </c>
      <c r="F32" s="151">
        <v>0</v>
      </c>
      <c r="G32" s="151">
        <v>0</v>
      </c>
      <c r="H32" s="249">
        <v>0</v>
      </c>
      <c r="I32" s="3"/>
      <c r="J32" s="3"/>
      <c r="K32" s="3"/>
      <c r="L32" s="3"/>
      <c r="M32" s="3"/>
    </row>
    <row r="33" spans="2:13">
      <c r="B33" s="3">
        <v>24</v>
      </c>
      <c r="C33" s="56" t="s">
        <v>121</v>
      </c>
      <c r="D33" s="151">
        <v>6.6251212606145832E-2</v>
      </c>
      <c r="E33" s="151">
        <v>1.7102708079515139E-2</v>
      </c>
      <c r="F33" s="151">
        <v>7.2946604429159678E-2</v>
      </c>
      <c r="G33" s="151">
        <v>4.9821772175161545E-2</v>
      </c>
      <c r="H33" s="249">
        <v>9.914632924508808E-2</v>
      </c>
      <c r="I33" s="3"/>
      <c r="J33" s="3"/>
      <c r="K33" s="3"/>
      <c r="L33" s="3"/>
      <c r="M33" s="3"/>
    </row>
    <row r="34" spans="2:13">
      <c r="B34" s="3">
        <v>25</v>
      </c>
      <c r="C34" s="56" t="s">
        <v>122</v>
      </c>
      <c r="D34" s="151">
        <v>0</v>
      </c>
      <c r="E34" s="151">
        <v>0</v>
      </c>
      <c r="F34" s="151">
        <v>0</v>
      </c>
      <c r="G34" s="151">
        <v>0</v>
      </c>
      <c r="H34" s="249">
        <v>0</v>
      </c>
      <c r="I34" s="3"/>
      <c r="J34" s="3"/>
      <c r="K34" s="3"/>
      <c r="L34" s="3"/>
      <c r="M34" s="3"/>
    </row>
    <row r="35" spans="2:13">
      <c r="B35" s="3">
        <v>26</v>
      </c>
      <c r="C35" s="56" t="s">
        <v>123</v>
      </c>
      <c r="D35" s="151">
        <v>0</v>
      </c>
      <c r="E35" s="151">
        <v>0</v>
      </c>
      <c r="F35" s="151">
        <v>0</v>
      </c>
      <c r="G35" s="151">
        <v>0</v>
      </c>
      <c r="H35" s="249">
        <v>0</v>
      </c>
      <c r="I35" s="3"/>
      <c r="J35" s="3"/>
      <c r="K35" s="3"/>
      <c r="L35" s="3"/>
      <c r="M35" s="3"/>
    </row>
    <row r="36" spans="2:13">
      <c r="B36" s="3">
        <v>27</v>
      </c>
      <c r="C36" s="56" t="s">
        <v>124</v>
      </c>
      <c r="D36" s="151">
        <v>6.6885248182339558E-3</v>
      </c>
      <c r="E36" s="151">
        <v>1.2005929040914208E-2</v>
      </c>
      <c r="F36" s="151">
        <v>3.8294205018274914E-2</v>
      </c>
      <c r="G36" s="151">
        <v>3.5412862753111361E-2</v>
      </c>
      <c r="H36" s="249">
        <v>0</v>
      </c>
      <c r="I36" s="151"/>
      <c r="J36" s="151"/>
      <c r="K36" s="151"/>
      <c r="L36" s="151"/>
      <c r="M36" s="151"/>
    </row>
    <row r="37" spans="2:13">
      <c r="B37" s="3">
        <v>28</v>
      </c>
      <c r="C37" s="56" t="s">
        <v>95</v>
      </c>
      <c r="D37" s="151">
        <v>0.22833514638181041</v>
      </c>
      <c r="E37" s="151">
        <v>0.46202193512835621</v>
      </c>
      <c r="F37" s="151">
        <v>0.73365105443522038</v>
      </c>
      <c r="G37" s="151">
        <v>0.32705447726345049</v>
      </c>
      <c r="H37" s="249">
        <v>16.034848915690358</v>
      </c>
      <c r="I37" s="151">
        <v>45.956282601958335</v>
      </c>
      <c r="J37" s="151">
        <v>48.208140449454291</v>
      </c>
      <c r="K37" s="151">
        <v>50.570339331477548</v>
      </c>
      <c r="L37" s="151">
        <v>53.048285958719944</v>
      </c>
      <c r="M37" s="151">
        <v>55.647651970697218</v>
      </c>
    </row>
    <row r="38" spans="2:13" ht="15">
      <c r="B38" s="3">
        <v>29</v>
      </c>
      <c r="C38" s="57" t="s">
        <v>125</v>
      </c>
      <c r="D38" s="137">
        <f>SUM(D10:D37)</f>
        <v>13.2313098247451</v>
      </c>
      <c r="E38" s="137">
        <f t="shared" ref="E38:G38" si="0">SUM(E10:E37)</f>
        <v>23.54029059705174</v>
      </c>
      <c r="F38" s="137">
        <f t="shared" si="0"/>
        <v>50.487095645414286</v>
      </c>
      <c r="G38" s="137">
        <f t="shared" si="0"/>
        <v>30.816964235173145</v>
      </c>
      <c r="H38" s="137">
        <f t="shared" ref="H38" si="1">SUM(H10:H37)</f>
        <v>56.802259028808436</v>
      </c>
      <c r="I38" s="137">
        <f t="shared" ref="I38:J38" si="2">SUM(I10:I37)</f>
        <v>45.956282601958335</v>
      </c>
      <c r="J38" s="137">
        <f t="shared" si="2"/>
        <v>48.208140449454291</v>
      </c>
      <c r="K38" s="137">
        <f t="shared" ref="K38" si="3">SUM(K10:K37)</f>
        <v>50.570339331477548</v>
      </c>
      <c r="L38" s="137">
        <f t="shared" ref="L38" si="4">SUM(L10:L37)</f>
        <v>53.048285958719944</v>
      </c>
      <c r="M38" s="137">
        <f>SUM(M10:M37)</f>
        <v>55.647651970697218</v>
      </c>
    </row>
    <row r="39" spans="2:13">
      <c r="B39" s="3">
        <v>30</v>
      </c>
      <c r="C39" s="45" t="s">
        <v>17</v>
      </c>
      <c r="D39" s="151">
        <v>0</v>
      </c>
      <c r="E39" s="151">
        <v>0</v>
      </c>
      <c r="F39" s="151">
        <v>0</v>
      </c>
      <c r="G39" s="151">
        <v>0</v>
      </c>
      <c r="H39" s="151">
        <v>0</v>
      </c>
      <c r="I39" s="151"/>
      <c r="J39" s="151"/>
      <c r="K39" s="151"/>
      <c r="L39" s="151"/>
      <c r="M39" s="151"/>
    </row>
    <row r="40" spans="2:13" ht="15">
      <c r="B40" s="3">
        <v>31</v>
      </c>
      <c r="C40" s="22" t="s">
        <v>126</v>
      </c>
      <c r="D40" s="137">
        <f>D38-D39</f>
        <v>13.2313098247451</v>
      </c>
      <c r="E40" s="137">
        <f t="shared" ref="E40:G40" si="5">E38-E39</f>
        <v>23.54029059705174</v>
      </c>
      <c r="F40" s="137">
        <f t="shared" si="5"/>
        <v>50.487095645414286</v>
      </c>
      <c r="G40" s="137">
        <f t="shared" si="5"/>
        <v>30.816964235173145</v>
      </c>
      <c r="H40" s="137">
        <f t="shared" ref="H40" si="6">H38-H39</f>
        <v>56.802259028808436</v>
      </c>
      <c r="I40" s="137">
        <f t="shared" ref="I40:J40" si="7">I38-I39</f>
        <v>45.956282601958335</v>
      </c>
      <c r="J40" s="137">
        <f t="shared" si="7"/>
        <v>48.208140449454291</v>
      </c>
      <c r="K40" s="137">
        <f>K38-K39</f>
        <v>50.570339331477548</v>
      </c>
      <c r="L40" s="137">
        <f t="shared" ref="L40" si="8">L38-L39</f>
        <v>53.048285958719944</v>
      </c>
      <c r="M40" s="137">
        <f t="shared" ref="M40" si="9">M38-M39</f>
        <v>55.647651970697218</v>
      </c>
    </row>
  </sheetData>
  <mergeCells count="6">
    <mergeCell ref="B7:B9"/>
    <mergeCell ref="C7:C9"/>
    <mergeCell ref="I7:M7"/>
    <mergeCell ref="B2:M2"/>
    <mergeCell ref="B3:M3"/>
    <mergeCell ref="B4:M4"/>
  </mergeCells>
  <pageMargins left="0" right="0" top="0" bottom="0" header="0.5" footer="0.5"/>
  <pageSetup paperSize="9" scale="74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N22"/>
  <sheetViews>
    <sheetView showGridLines="0" zoomScale="99" zoomScaleNormal="99" zoomScaleSheetLayoutView="90" workbookViewId="0">
      <selection activeCell="I17" sqref="I17:M17"/>
    </sheetView>
  </sheetViews>
  <sheetFormatPr defaultColWidth="9.28515625" defaultRowHeight="14.25"/>
  <cols>
    <col min="1" max="1" width="4.5703125" style="19" customWidth="1"/>
    <col min="2" max="2" width="8.7109375" style="58" customWidth="1"/>
    <col min="3" max="3" width="45.7109375" style="19" customWidth="1"/>
    <col min="4" max="8" width="15.710937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4" ht="15">
      <c r="B2" s="313" t="s">
        <v>542</v>
      </c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9"/>
    </row>
    <row r="3" spans="2:14" ht="15">
      <c r="B3" s="313" t="s">
        <v>552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9"/>
    </row>
    <row r="4" spans="2:14" s="4" customFormat="1" ht="15">
      <c r="B4" s="315" t="s">
        <v>551</v>
      </c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5"/>
    </row>
    <row r="6" spans="2:14" ht="15">
      <c r="M6" s="28" t="s">
        <v>4</v>
      </c>
    </row>
    <row r="7" spans="2:14" ht="12.75" customHeight="1">
      <c r="B7" s="314" t="s">
        <v>210</v>
      </c>
      <c r="C7" s="311" t="s">
        <v>18</v>
      </c>
      <c r="D7" s="21" t="s">
        <v>507</v>
      </c>
      <c r="E7" s="21" t="s">
        <v>508</v>
      </c>
      <c r="F7" s="21" t="s">
        <v>509</v>
      </c>
      <c r="G7" s="21" t="s">
        <v>482</v>
      </c>
      <c r="H7" s="21" t="s">
        <v>483</v>
      </c>
      <c r="I7" s="304" t="s">
        <v>252</v>
      </c>
      <c r="J7" s="304"/>
      <c r="K7" s="304"/>
      <c r="L7" s="304"/>
      <c r="M7" s="304"/>
    </row>
    <row r="8" spans="2:14" ht="15">
      <c r="B8" s="314"/>
      <c r="C8" s="311"/>
      <c r="D8" s="21" t="s">
        <v>267</v>
      </c>
      <c r="E8" s="21" t="s">
        <v>267</v>
      </c>
      <c r="F8" s="21" t="s">
        <v>267</v>
      </c>
      <c r="G8" s="21" t="s">
        <v>267</v>
      </c>
      <c r="H8" s="21" t="s">
        <v>266</v>
      </c>
      <c r="I8" s="21" t="s">
        <v>484</v>
      </c>
      <c r="J8" s="21" t="s">
        <v>485</v>
      </c>
      <c r="K8" s="21" t="s">
        <v>486</v>
      </c>
      <c r="L8" s="21" t="s">
        <v>487</v>
      </c>
      <c r="M8" s="21" t="s">
        <v>488</v>
      </c>
    </row>
    <row r="9" spans="2:14" ht="15">
      <c r="B9" s="314"/>
      <c r="C9" s="311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547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4">
      <c r="B10" s="2">
        <v>1</v>
      </c>
      <c r="C10" s="56" t="s">
        <v>127</v>
      </c>
      <c r="D10" s="151">
        <v>4.9262818748844994</v>
      </c>
      <c r="E10" s="151">
        <v>16.862134913835988</v>
      </c>
      <c r="F10" s="151">
        <v>19.475551850742011</v>
      </c>
      <c r="G10" s="151">
        <v>30.58027239621028</v>
      </c>
      <c r="H10" s="249">
        <v>15.781584999674495</v>
      </c>
      <c r="I10" s="3"/>
      <c r="J10" s="3"/>
      <c r="K10" s="3"/>
      <c r="L10" s="3"/>
      <c r="M10" s="3"/>
    </row>
    <row r="11" spans="2:14">
      <c r="B11" s="2">
        <v>2</v>
      </c>
      <c r="C11" s="56" t="s">
        <v>128</v>
      </c>
      <c r="D11" s="151">
        <v>0</v>
      </c>
      <c r="E11" s="151">
        <v>4.3053035794148944E-3</v>
      </c>
      <c r="F11" s="151">
        <v>0.13873486100000001</v>
      </c>
      <c r="G11" s="151">
        <v>0.11530463867142174</v>
      </c>
      <c r="H11" s="249">
        <v>0.24292706400000003</v>
      </c>
      <c r="I11" s="3"/>
      <c r="J11" s="3"/>
      <c r="K11" s="3"/>
      <c r="L11" s="3"/>
      <c r="M11" s="3"/>
    </row>
    <row r="12" spans="2:14">
      <c r="B12" s="2">
        <v>3</v>
      </c>
      <c r="C12" s="56" t="s">
        <v>129</v>
      </c>
      <c r="D12" s="151">
        <v>3.8498518478923076</v>
      </c>
      <c r="E12" s="151">
        <v>6.0196800465228479</v>
      </c>
      <c r="F12" s="151">
        <v>7.0883368057940404</v>
      </c>
      <c r="G12" s="151">
        <v>9.1758207487801915</v>
      </c>
      <c r="H12" s="249">
        <v>7.4778814446077568</v>
      </c>
      <c r="I12" s="3"/>
      <c r="J12" s="3"/>
      <c r="K12" s="3"/>
      <c r="L12" s="3"/>
      <c r="M12" s="3"/>
    </row>
    <row r="13" spans="2:14">
      <c r="B13" s="2">
        <v>4</v>
      </c>
      <c r="C13" s="56" t="s">
        <v>130</v>
      </c>
      <c r="D13" s="151">
        <v>0</v>
      </c>
      <c r="E13" s="151">
        <v>0</v>
      </c>
      <c r="F13" s="151">
        <v>0</v>
      </c>
      <c r="G13" s="151">
        <v>0</v>
      </c>
      <c r="H13" s="249">
        <v>6.8891731000000012E-2</v>
      </c>
      <c r="I13" s="3"/>
      <c r="J13" s="3"/>
      <c r="K13" s="3"/>
      <c r="L13" s="3"/>
      <c r="M13" s="3"/>
    </row>
    <row r="14" spans="2:14">
      <c r="B14" s="2">
        <v>5</v>
      </c>
      <c r="C14" s="56" t="s">
        <v>131</v>
      </c>
      <c r="D14" s="151">
        <v>0.36526801688908839</v>
      </c>
      <c r="E14" s="151">
        <v>0.57146244921033873</v>
      </c>
      <c r="F14" s="151">
        <v>0.87709972563090854</v>
      </c>
      <c r="G14" s="151">
        <v>1.2637210767024507</v>
      </c>
      <c r="H14" s="249">
        <v>0.78121371907460302</v>
      </c>
      <c r="I14" s="3"/>
      <c r="J14" s="3"/>
      <c r="K14" s="3"/>
      <c r="L14" s="3"/>
      <c r="M14" s="3"/>
    </row>
    <row r="15" spans="2:14">
      <c r="B15" s="2">
        <v>6</v>
      </c>
      <c r="C15" s="56" t="s">
        <v>132</v>
      </c>
      <c r="D15" s="151">
        <v>1.5857239999999998E-2</v>
      </c>
      <c r="E15" s="151">
        <v>3.3031779999999997E-2</v>
      </c>
      <c r="F15" s="151">
        <v>7.9187000000000007E-3</v>
      </c>
      <c r="G15" s="151">
        <v>7.7502170999999995E-2</v>
      </c>
      <c r="H15" s="249">
        <v>4.46749792541178E-2</v>
      </c>
      <c r="I15" s="3"/>
      <c r="J15" s="3"/>
      <c r="K15" s="3"/>
      <c r="L15" s="3"/>
      <c r="M15" s="3"/>
    </row>
    <row r="16" spans="2:14">
      <c r="B16" s="2">
        <v>7</v>
      </c>
      <c r="C16" s="56" t="s">
        <v>133</v>
      </c>
      <c r="D16" s="151">
        <v>1.7153747941454025E-4</v>
      </c>
      <c r="E16" s="151">
        <v>8.0230711102200695E-4</v>
      </c>
      <c r="F16" s="151">
        <v>0</v>
      </c>
      <c r="G16" s="151">
        <v>0</v>
      </c>
      <c r="H16" s="249">
        <v>0</v>
      </c>
      <c r="I16" s="3"/>
      <c r="J16" s="3"/>
      <c r="K16" s="3"/>
      <c r="L16" s="3"/>
      <c r="M16" s="3"/>
    </row>
    <row r="17" spans="2:13">
      <c r="B17" s="2">
        <v>8</v>
      </c>
      <c r="C17" s="56" t="s">
        <v>134</v>
      </c>
      <c r="D17" s="151">
        <v>0.15491023998732489</v>
      </c>
      <c r="E17" s="151">
        <v>0.55212998915650102</v>
      </c>
      <c r="F17" s="151">
        <v>0.57354983923965575</v>
      </c>
      <c r="G17" s="151">
        <v>0.41909353322333942</v>
      </c>
      <c r="H17" s="249">
        <v>0.50987712078968928</v>
      </c>
      <c r="I17" s="151">
        <v>35.250770078433561</v>
      </c>
      <c r="J17" s="151">
        <v>36.33172324878975</v>
      </c>
      <c r="K17" s="151">
        <v>40.829749675995394</v>
      </c>
      <c r="L17" s="151">
        <v>42.372490014871019</v>
      </c>
      <c r="M17" s="151">
        <v>42.579752625693125</v>
      </c>
    </row>
    <row r="18" spans="2:13" ht="15">
      <c r="B18" s="2">
        <v>9</v>
      </c>
      <c r="C18" s="57" t="s">
        <v>135</v>
      </c>
      <c r="D18" s="137">
        <f>SUM(D10:D17)</f>
        <v>9.3123407571326346</v>
      </c>
      <c r="E18" s="137">
        <f t="shared" ref="E18:M18" si="0">SUM(E10:E17)</f>
        <v>24.043546789416116</v>
      </c>
      <c r="F18" s="137">
        <f t="shared" si="0"/>
        <v>28.161191782406618</v>
      </c>
      <c r="G18" s="137">
        <f t="shared" si="0"/>
        <v>41.631714564587682</v>
      </c>
      <c r="H18" s="137">
        <f t="shared" si="0"/>
        <v>24.907051058400665</v>
      </c>
      <c r="I18" s="137">
        <f t="shared" si="0"/>
        <v>35.250770078433561</v>
      </c>
      <c r="J18" s="137">
        <f t="shared" si="0"/>
        <v>36.33172324878975</v>
      </c>
      <c r="K18" s="137">
        <f t="shared" si="0"/>
        <v>40.829749675995394</v>
      </c>
      <c r="L18" s="137">
        <f t="shared" si="0"/>
        <v>42.372490014871019</v>
      </c>
      <c r="M18" s="137">
        <f t="shared" si="0"/>
        <v>42.579752625693125</v>
      </c>
    </row>
    <row r="19" spans="2:13">
      <c r="B19" s="2"/>
      <c r="C19" s="55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2:13" ht="15">
      <c r="B20" s="2">
        <v>10</v>
      </c>
      <c r="C20" s="59" t="s">
        <v>136</v>
      </c>
      <c r="D20" s="151">
        <v>2149.48</v>
      </c>
      <c r="E20" s="3">
        <v>2152.84</v>
      </c>
      <c r="F20" s="3">
        <v>2188.98</v>
      </c>
      <c r="G20" s="137">
        <f>'F4'!F21</f>
        <v>5022.07</v>
      </c>
      <c r="H20" s="137">
        <f>'F4'!F38</f>
        <v>5094.404517252</v>
      </c>
      <c r="I20" s="137">
        <f>'F4'!F55</f>
        <v>5109.1372870189998</v>
      </c>
      <c r="J20" s="137">
        <f>'F4'!F72</f>
        <v>5265.8072870189999</v>
      </c>
      <c r="K20" s="137">
        <f>'F4'!F89</f>
        <v>5917.7372870190002</v>
      </c>
      <c r="L20" s="137">
        <f>'F4'!F106</f>
        <v>6141.3372870190005</v>
      </c>
      <c r="M20" s="137">
        <f>'F4'!F123</f>
        <v>6171.3772870190005</v>
      </c>
    </row>
    <row r="21" spans="2:13" ht="28.5">
      <c r="B21" s="2">
        <v>11</v>
      </c>
      <c r="C21" s="59" t="s">
        <v>137</v>
      </c>
      <c r="D21" s="152">
        <f>IFERROR(D18/D20,0)</f>
        <v>4.3323691111955614E-3</v>
      </c>
      <c r="E21" s="152">
        <f t="shared" ref="E21:M21" si="1">IFERROR(E18/E20,0)</f>
        <v>1.1168292483146037E-2</v>
      </c>
      <c r="F21" s="152">
        <f t="shared" si="1"/>
        <v>1.2864983591630174E-2</v>
      </c>
      <c r="G21" s="152">
        <f t="shared" si="1"/>
        <v>8.2897519478198605E-3</v>
      </c>
      <c r="H21" s="152">
        <f t="shared" si="1"/>
        <v>4.8890995942811209E-3</v>
      </c>
      <c r="I21" s="152">
        <f t="shared" si="1"/>
        <v>6.8995542883524925E-3</v>
      </c>
      <c r="J21" s="152">
        <f t="shared" si="1"/>
        <v>6.8995542883524934E-3</v>
      </c>
      <c r="K21" s="152">
        <f t="shared" si="1"/>
        <v>6.8995542883524934E-3</v>
      </c>
      <c r="L21" s="152">
        <f t="shared" si="1"/>
        <v>6.8995542883524942E-3</v>
      </c>
      <c r="M21" s="152">
        <f t="shared" si="1"/>
        <v>6.8995542883524942E-3</v>
      </c>
    </row>
    <row r="22" spans="2:13">
      <c r="B22" s="2"/>
      <c r="C22" s="55"/>
      <c r="D22" s="3"/>
      <c r="E22" s="3"/>
      <c r="F22" s="3"/>
      <c r="G22" s="3"/>
      <c r="H22" s="3"/>
      <c r="I22" s="3"/>
      <c r="J22" s="3"/>
      <c r="K22" s="3"/>
      <c r="L22" s="3"/>
      <c r="M22" s="3"/>
    </row>
  </sheetData>
  <mergeCells count="6">
    <mergeCell ref="B7:B9"/>
    <mergeCell ref="C7:C9"/>
    <mergeCell ref="I7:M7"/>
    <mergeCell ref="B2:M2"/>
    <mergeCell ref="B3:M3"/>
    <mergeCell ref="B4:M4"/>
  </mergeCells>
  <pageMargins left="0" right="0" top="1" bottom="1" header="0.5" footer="0.5"/>
  <pageSetup paperSize="9" scale="7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16"/>
  <sheetViews>
    <sheetView showGridLines="0" zoomScale="90" zoomScaleNormal="90" zoomScaleSheetLayoutView="90" workbookViewId="0">
      <selection activeCell="B2" sqref="B2:M13"/>
    </sheetView>
  </sheetViews>
  <sheetFormatPr defaultColWidth="9.28515625" defaultRowHeight="14.25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3.7109375" style="4" bestFit="1" customWidth="1"/>
    <col min="8" max="8" width="12.5703125" style="4" customWidth="1"/>
    <col min="9" max="9" width="11.7109375" style="4" bestFit="1" customWidth="1"/>
    <col min="10" max="10" width="13.7109375" style="4" bestFit="1" customWidth="1"/>
    <col min="11" max="16" width="11.7109375" style="4" bestFit="1" customWidth="1"/>
    <col min="17" max="16384" width="9.28515625" style="4"/>
  </cols>
  <sheetData>
    <row r="1" spans="2:14" ht="15">
      <c r="B1" s="60"/>
    </row>
    <row r="2" spans="2:14" ht="15">
      <c r="B2" s="313" t="s">
        <v>542</v>
      </c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9"/>
    </row>
    <row r="3" spans="2:14" ht="15">
      <c r="B3" s="313" t="s">
        <v>511</v>
      </c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9"/>
    </row>
    <row r="4" spans="2:14" ht="15">
      <c r="B4" s="315" t="s">
        <v>553</v>
      </c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5"/>
    </row>
    <row r="5" spans="2:14" ht="15">
      <c r="B5" s="39"/>
      <c r="C5" s="61"/>
      <c r="D5" s="61"/>
      <c r="E5" s="61"/>
      <c r="F5" s="61"/>
      <c r="G5" s="61"/>
      <c r="H5" s="61"/>
      <c r="I5" s="61"/>
      <c r="J5" s="61"/>
    </row>
    <row r="6" spans="2:14" ht="15">
      <c r="M6" s="28" t="s">
        <v>4</v>
      </c>
    </row>
    <row r="7" spans="2:14" s="19" customFormat="1" ht="15" customHeight="1">
      <c r="B7" s="316" t="s">
        <v>210</v>
      </c>
      <c r="C7" s="311" t="s">
        <v>18</v>
      </c>
      <c r="D7" s="305" t="s">
        <v>482</v>
      </c>
      <c r="E7" s="306"/>
      <c r="F7" s="307"/>
      <c r="G7" s="305" t="s">
        <v>483</v>
      </c>
      <c r="H7" s="306"/>
      <c r="I7" s="304" t="s">
        <v>252</v>
      </c>
      <c r="J7" s="304"/>
      <c r="K7" s="304"/>
      <c r="L7" s="304"/>
      <c r="M7" s="304"/>
    </row>
    <row r="8" spans="2:14" s="19" customFormat="1" ht="45">
      <c r="B8" s="317"/>
      <c r="C8" s="311"/>
      <c r="D8" s="21" t="s">
        <v>393</v>
      </c>
      <c r="E8" s="21" t="s">
        <v>267</v>
      </c>
      <c r="F8" s="21" t="s">
        <v>226</v>
      </c>
      <c r="G8" s="21" t="s">
        <v>393</v>
      </c>
      <c r="H8" s="21" t="s">
        <v>266</v>
      </c>
      <c r="I8" s="21" t="s">
        <v>484</v>
      </c>
      <c r="J8" s="21" t="s">
        <v>485</v>
      </c>
      <c r="K8" s="21" t="s">
        <v>486</v>
      </c>
      <c r="L8" s="21" t="s">
        <v>487</v>
      </c>
      <c r="M8" s="21" t="s">
        <v>488</v>
      </c>
    </row>
    <row r="9" spans="2:14" s="19" customFormat="1" ht="15">
      <c r="B9" s="318"/>
      <c r="C9" s="319"/>
      <c r="D9" s="21" t="s">
        <v>10</v>
      </c>
      <c r="E9" s="21" t="s">
        <v>12</v>
      </c>
      <c r="F9" s="21" t="s">
        <v>256</v>
      </c>
      <c r="G9" s="21" t="s">
        <v>10</v>
      </c>
      <c r="H9" s="21" t="s">
        <v>547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4" s="5" customFormat="1">
      <c r="B10" s="64">
        <v>1</v>
      </c>
      <c r="C10" s="29" t="s">
        <v>271</v>
      </c>
      <c r="D10" s="148"/>
      <c r="E10" s="155">
        <v>14.05</v>
      </c>
      <c r="F10" s="155">
        <f>E10</f>
        <v>14.05</v>
      </c>
      <c r="G10" s="134"/>
      <c r="H10" s="134">
        <v>42.85</v>
      </c>
      <c r="I10" s="134">
        <v>49.72</v>
      </c>
      <c r="J10" s="134">
        <f t="shared" ref="J10:M10" si="0">I13</f>
        <v>426.19</v>
      </c>
      <c r="K10" s="134">
        <f t="shared" si="0"/>
        <v>0</v>
      </c>
      <c r="L10" s="134">
        <f t="shared" si="0"/>
        <v>0</v>
      </c>
      <c r="M10" s="134">
        <f t="shared" si="0"/>
        <v>0</v>
      </c>
    </row>
    <row r="11" spans="2:14" s="5" customFormat="1">
      <c r="B11" s="23">
        <v>2</v>
      </c>
      <c r="C11" s="29" t="s">
        <v>305</v>
      </c>
      <c r="D11" s="2"/>
      <c r="E11" s="155">
        <f>F3.1!G21</f>
        <v>102.29249971099999</v>
      </c>
      <c r="F11" s="155">
        <f>E11</f>
        <v>102.29249971099999</v>
      </c>
      <c r="G11" s="24"/>
      <c r="H11" s="134">
        <v>17.73</v>
      </c>
      <c r="I11" s="134">
        <v>533.14</v>
      </c>
      <c r="J11" s="134">
        <f>J12-J10</f>
        <v>225.73999999999995</v>
      </c>
      <c r="K11" s="134">
        <f>F3.1!G58</f>
        <v>223.6</v>
      </c>
      <c r="L11" s="134">
        <f>F3.1!G65</f>
        <v>30.04</v>
      </c>
      <c r="M11" s="134">
        <f>F3.1!G71</f>
        <v>0</v>
      </c>
    </row>
    <row r="12" spans="2:14" s="5" customFormat="1" ht="15">
      <c r="B12" s="23">
        <v>3</v>
      </c>
      <c r="C12" s="31" t="s">
        <v>243</v>
      </c>
      <c r="D12" s="148"/>
      <c r="E12" s="207">
        <f>F3.1!H21</f>
        <v>72.328482421000004</v>
      </c>
      <c r="F12" s="207">
        <f>E12</f>
        <v>72.328482421000004</v>
      </c>
      <c r="G12" s="148"/>
      <c r="H12" s="133">
        <f>F3.1!H37</f>
        <v>14.732769767000001</v>
      </c>
      <c r="I12" s="133">
        <f>F3.1!H43</f>
        <v>156.67000000000002</v>
      </c>
      <c r="J12" s="133">
        <f>F3.1!H49</f>
        <v>651.92999999999995</v>
      </c>
      <c r="K12" s="133">
        <f>F3.1!H58</f>
        <v>223.6</v>
      </c>
      <c r="L12" s="133">
        <f>F3.1!H65</f>
        <v>30.04</v>
      </c>
      <c r="M12" s="133">
        <f>F3.1!H71</f>
        <v>0</v>
      </c>
    </row>
    <row r="13" spans="2:14" s="5" customFormat="1" ht="15">
      <c r="B13" s="23">
        <v>4</v>
      </c>
      <c r="C13" s="29" t="s">
        <v>272</v>
      </c>
      <c r="D13" s="150">
        <f>D10+D11-D12</f>
        <v>0</v>
      </c>
      <c r="E13" s="208">
        <f>E10+E11-E12</f>
        <v>44.014017289999984</v>
      </c>
      <c r="F13" s="208">
        <f t="shared" ref="F13:M13" si="1">F10+F11-F12</f>
        <v>44.014017289999984</v>
      </c>
      <c r="G13" s="150">
        <f t="shared" si="1"/>
        <v>0</v>
      </c>
      <c r="H13" s="149">
        <f>H10-H12</f>
        <v>28.117230233000001</v>
      </c>
      <c r="I13" s="150">
        <f t="shared" si="1"/>
        <v>426.19</v>
      </c>
      <c r="J13" s="150">
        <f t="shared" si="1"/>
        <v>0</v>
      </c>
      <c r="K13" s="150">
        <f t="shared" si="1"/>
        <v>0</v>
      </c>
      <c r="L13" s="150">
        <f t="shared" si="1"/>
        <v>0</v>
      </c>
      <c r="M13" s="150">
        <f t="shared" si="1"/>
        <v>0</v>
      </c>
    </row>
    <row r="14" spans="2:14" s="35" customFormat="1" ht="15">
      <c r="B14" s="65"/>
      <c r="C14" s="52"/>
      <c r="D14" s="62"/>
      <c r="E14" s="62"/>
      <c r="F14" s="62"/>
      <c r="G14" s="63"/>
      <c r="H14" s="26"/>
      <c r="I14" s="26"/>
      <c r="J14" s="26"/>
      <c r="K14" s="26"/>
    </row>
    <row r="16" spans="2:14">
      <c r="B16" s="66"/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0" right="0.25" top="1" bottom="1" header="0.25" footer="0.25"/>
  <pageSetup paperSize="9" scale="87" orientation="landscape" r:id="rId1"/>
  <headerFooter alignWithMargins="0">
    <oddHeader>&amp;F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72"/>
  <sheetViews>
    <sheetView showGridLines="0" view="pageBreakPreview" topLeftCell="A64" zoomScale="90" zoomScaleNormal="80" zoomScaleSheetLayoutView="90" workbookViewId="0">
      <selection activeCell="D40" sqref="D40"/>
    </sheetView>
  </sheetViews>
  <sheetFormatPr defaultColWidth="9.28515625" defaultRowHeight="15"/>
  <cols>
    <col min="1" max="1" width="4.28515625" style="5" customWidth="1"/>
    <col min="2" max="2" width="6.28515625" style="5" customWidth="1"/>
    <col min="3" max="3" width="40.42578125" style="5" customWidth="1"/>
    <col min="4" max="4" width="21.28515625" style="35" customWidth="1"/>
    <col min="5" max="5" width="32.28515625" style="5" customWidth="1"/>
    <col min="6" max="7" width="22" style="5" customWidth="1"/>
    <col min="8" max="8" width="17.7109375" style="5" customWidth="1"/>
    <col min="9" max="9" width="35" style="5" customWidth="1"/>
    <col min="10" max="10" width="31.42578125" style="5" customWidth="1"/>
    <col min="11" max="11" width="37" style="5" customWidth="1"/>
    <col min="12" max="12" width="32.28515625" style="5" customWidth="1"/>
    <col min="13" max="13" width="13.28515625" style="5" bestFit="1" customWidth="1"/>
    <col min="14" max="14" width="12.5703125" style="5" customWidth="1"/>
    <col min="15" max="15" width="11.7109375" style="5" bestFit="1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7">
      <c r="B1" s="26"/>
    </row>
    <row r="2" spans="2:17">
      <c r="H2" s="36" t="s">
        <v>542</v>
      </c>
      <c r="I2" s="36"/>
    </row>
    <row r="3" spans="2:17">
      <c r="H3" s="36" t="s">
        <v>514</v>
      </c>
      <c r="I3" s="36"/>
    </row>
    <row r="4" spans="2:17">
      <c r="H4" s="38" t="s">
        <v>303</v>
      </c>
      <c r="I4" s="38"/>
    </row>
    <row r="5" spans="2:17">
      <c r="K5" s="38"/>
    </row>
    <row r="6" spans="2:17" ht="60">
      <c r="B6" s="21" t="s">
        <v>210</v>
      </c>
      <c r="C6" s="25" t="s">
        <v>273</v>
      </c>
      <c r="D6" s="33" t="s">
        <v>275</v>
      </c>
      <c r="E6" s="25" t="s">
        <v>274</v>
      </c>
      <c r="F6" s="33" t="s">
        <v>282</v>
      </c>
      <c r="G6" s="33" t="s">
        <v>285</v>
      </c>
      <c r="H6" s="33" t="s">
        <v>286</v>
      </c>
      <c r="I6" s="33" t="s">
        <v>299</v>
      </c>
      <c r="J6" s="25" t="s">
        <v>276</v>
      </c>
      <c r="K6" s="33" t="s">
        <v>287</v>
      </c>
      <c r="L6" s="33" t="s">
        <v>198</v>
      </c>
      <c r="M6" s="27"/>
      <c r="N6" s="27"/>
      <c r="O6" s="27"/>
      <c r="P6" s="27"/>
    </row>
    <row r="7" spans="2:17" s="35" customFormat="1">
      <c r="B7" s="23"/>
      <c r="C7" s="33" t="s">
        <v>254</v>
      </c>
      <c r="D7" s="42" t="s">
        <v>490</v>
      </c>
      <c r="E7" s="32"/>
      <c r="F7" s="32"/>
      <c r="G7" s="32"/>
      <c r="H7" s="32"/>
      <c r="I7" s="32"/>
      <c r="J7" s="32"/>
      <c r="K7" s="33"/>
      <c r="L7" s="34"/>
      <c r="M7" s="26"/>
      <c r="N7" s="26"/>
      <c r="O7" s="26"/>
      <c r="P7" s="26"/>
      <c r="Q7" s="26"/>
    </row>
    <row r="8" spans="2:17" s="35" customFormat="1">
      <c r="B8" s="23">
        <v>1</v>
      </c>
      <c r="C8" s="32" t="s">
        <v>523</v>
      </c>
      <c r="D8" s="42"/>
      <c r="E8" s="267"/>
      <c r="F8" s="32"/>
      <c r="G8" s="192">
        <v>1.58</v>
      </c>
      <c r="H8" s="175">
        <v>1.5760552269999999</v>
      </c>
      <c r="I8" s="268" t="s">
        <v>523</v>
      </c>
      <c r="J8" s="32"/>
      <c r="K8" s="33"/>
      <c r="L8" s="34"/>
      <c r="M8" s="26"/>
      <c r="N8" s="26"/>
      <c r="O8" s="26"/>
      <c r="P8" s="26"/>
      <c r="Q8" s="26"/>
    </row>
    <row r="9" spans="2:17" s="35" customFormat="1">
      <c r="B9" s="23">
        <v>2</v>
      </c>
      <c r="C9" s="32" t="s">
        <v>524</v>
      </c>
      <c r="D9" s="42"/>
      <c r="E9" s="267"/>
      <c r="F9" s="32"/>
      <c r="G9" s="192">
        <v>6.7</v>
      </c>
      <c r="H9" s="192">
        <v>6.7</v>
      </c>
      <c r="I9" s="268" t="s">
        <v>524</v>
      </c>
      <c r="J9" s="32"/>
      <c r="K9" s="33"/>
      <c r="L9" s="34"/>
      <c r="M9" s="26"/>
      <c r="N9" s="26"/>
      <c r="O9" s="26"/>
      <c r="P9" s="26"/>
      <c r="Q9" s="26"/>
    </row>
    <row r="10" spans="2:17" s="35" customFormat="1">
      <c r="B10" s="23">
        <v>3</v>
      </c>
      <c r="C10" s="32" t="s">
        <v>525</v>
      </c>
      <c r="D10" s="42"/>
      <c r="E10" s="267"/>
      <c r="F10" s="32"/>
      <c r="G10" s="175">
        <v>0.28055437</v>
      </c>
      <c r="H10" s="175">
        <v>0.28055437</v>
      </c>
      <c r="I10" s="268" t="s">
        <v>525</v>
      </c>
      <c r="J10" s="32"/>
      <c r="K10" s="33"/>
      <c r="L10" s="34"/>
      <c r="M10" s="26"/>
      <c r="N10" s="26"/>
      <c r="O10" s="26"/>
      <c r="P10" s="26"/>
      <c r="Q10" s="26"/>
    </row>
    <row r="11" spans="2:17">
      <c r="B11" s="23">
        <v>4</v>
      </c>
      <c r="C11" s="269" t="s">
        <v>526</v>
      </c>
      <c r="D11" s="32"/>
      <c r="E11" s="267"/>
      <c r="F11" s="32"/>
      <c r="G11" s="175">
        <f>0.012016978+0.039915945</f>
        <v>5.1932922999999999E-2</v>
      </c>
      <c r="H11" s="175">
        <f>0.012016978+0.039915945</f>
        <v>5.1932922999999999E-2</v>
      </c>
      <c r="I11" s="268" t="s">
        <v>526</v>
      </c>
      <c r="J11" s="29"/>
      <c r="K11" s="29"/>
      <c r="L11" s="29"/>
    </row>
    <row r="12" spans="2:17">
      <c r="B12" s="23">
        <v>5</v>
      </c>
      <c r="C12" s="269" t="s">
        <v>527</v>
      </c>
      <c r="D12" s="29"/>
      <c r="E12" s="267"/>
      <c r="F12" s="29"/>
      <c r="G12" s="175">
        <v>4.9939901000000002E-2</v>
      </c>
      <c r="H12" s="175">
        <v>4.9939901000000002E-2</v>
      </c>
      <c r="I12" s="268" t="s">
        <v>527</v>
      </c>
      <c r="J12" s="29"/>
      <c r="K12" s="29"/>
      <c r="L12" s="29"/>
    </row>
    <row r="13" spans="2:17">
      <c r="B13" s="23">
        <v>6</v>
      </c>
      <c r="C13" s="31" t="s">
        <v>528</v>
      </c>
      <c r="D13" s="42"/>
      <c r="E13" s="267"/>
      <c r="F13" s="29"/>
      <c r="G13" s="192">
        <v>0.11799999999999999</v>
      </c>
      <c r="H13" s="192">
        <v>0.12</v>
      </c>
      <c r="I13" s="29" t="s">
        <v>529</v>
      </c>
      <c r="J13" s="29"/>
      <c r="K13" s="29"/>
      <c r="L13" s="29"/>
    </row>
    <row r="14" spans="2:17">
      <c r="B14" s="23">
        <v>7</v>
      </c>
      <c r="C14" s="31" t="s">
        <v>491</v>
      </c>
      <c r="D14" s="42"/>
      <c r="E14" s="29"/>
      <c r="F14" s="29"/>
      <c r="G14" s="320">
        <f>68.198326299-0.12-0.62</f>
        <v>67.458326298999992</v>
      </c>
      <c r="H14" s="192">
        <f>48.71-0.62</f>
        <v>48.09</v>
      </c>
      <c r="I14" s="29" t="s">
        <v>529</v>
      </c>
      <c r="J14" s="29"/>
      <c r="K14" s="29"/>
      <c r="L14" s="29"/>
    </row>
    <row r="15" spans="2:17">
      <c r="B15" s="23">
        <v>8</v>
      </c>
      <c r="C15" s="31" t="s">
        <v>491</v>
      </c>
      <c r="D15" s="42"/>
      <c r="E15" s="29"/>
      <c r="F15" s="29"/>
      <c r="G15" s="321"/>
      <c r="H15" s="29">
        <v>3.01</v>
      </c>
      <c r="I15" s="29" t="s">
        <v>530</v>
      </c>
      <c r="J15" s="29"/>
      <c r="K15" s="29"/>
      <c r="L15" s="29"/>
    </row>
    <row r="16" spans="2:17">
      <c r="B16" s="23">
        <v>9</v>
      </c>
      <c r="C16" s="31" t="s">
        <v>491</v>
      </c>
      <c r="D16" s="42"/>
      <c r="E16" s="29"/>
      <c r="F16" s="29"/>
      <c r="G16" s="322"/>
      <c r="H16" s="29">
        <v>0.16</v>
      </c>
      <c r="I16" s="29" t="s">
        <v>531</v>
      </c>
      <c r="J16" s="29"/>
      <c r="K16" s="29"/>
      <c r="L16" s="29"/>
    </row>
    <row r="17" spans="2:12">
      <c r="B17" s="23">
        <v>10</v>
      </c>
      <c r="C17" s="31" t="s">
        <v>532</v>
      </c>
      <c r="D17" s="42"/>
      <c r="E17" s="29"/>
      <c r="F17" s="29"/>
      <c r="G17" s="192">
        <f>2.10450748-0.01</f>
        <v>2.0945074800000003</v>
      </c>
      <c r="H17" s="29">
        <v>2.09</v>
      </c>
      <c r="I17" s="29" t="s">
        <v>529</v>
      </c>
      <c r="J17" s="29"/>
      <c r="K17" s="29"/>
      <c r="L17" s="29"/>
    </row>
    <row r="18" spans="2:12">
      <c r="B18" s="23">
        <v>11</v>
      </c>
      <c r="C18" s="31" t="s">
        <v>533</v>
      </c>
      <c r="D18" s="42"/>
      <c r="E18" s="29"/>
      <c r="F18" s="29"/>
      <c r="G18" s="192">
        <v>21.939238738</v>
      </c>
      <c r="H18" s="29">
        <v>10.199999999999999</v>
      </c>
      <c r="I18" s="29" t="s">
        <v>530</v>
      </c>
      <c r="J18" s="29"/>
      <c r="K18" s="29"/>
      <c r="L18" s="29"/>
    </row>
    <row r="19" spans="2:12">
      <c r="B19" s="23">
        <v>12</v>
      </c>
      <c r="C19" s="31" t="s">
        <v>534</v>
      </c>
      <c r="E19" s="29"/>
      <c r="F19" s="29"/>
      <c r="G19" s="192">
        <v>2.02</v>
      </c>
      <c r="H19" s="251"/>
      <c r="I19" s="29"/>
      <c r="J19" s="29"/>
      <c r="K19" s="29"/>
      <c r="L19" s="29"/>
    </row>
    <row r="20" spans="2:12">
      <c r="B20" s="29"/>
      <c r="C20" s="29" t="s">
        <v>9</v>
      </c>
      <c r="D20" s="42"/>
      <c r="E20" s="29"/>
      <c r="F20" s="147">
        <v>0</v>
      </c>
      <c r="G20" s="147">
        <v>102.29249971099999</v>
      </c>
      <c r="H20" s="147">
        <v>72.328482421000004</v>
      </c>
      <c r="I20" s="29"/>
      <c r="J20" s="29"/>
      <c r="K20" s="29"/>
      <c r="L20" s="29"/>
    </row>
    <row r="21" spans="2:12">
      <c r="B21" s="29"/>
      <c r="C21" s="25" t="s">
        <v>139</v>
      </c>
      <c r="D21" s="156"/>
      <c r="E21" s="147"/>
      <c r="F21" s="138">
        <f>F20</f>
        <v>0</v>
      </c>
      <c r="G21" s="138">
        <f>G20</f>
        <v>102.29249971099999</v>
      </c>
      <c r="H21" s="138">
        <f>H20</f>
        <v>72.328482421000004</v>
      </c>
      <c r="I21" s="29"/>
      <c r="J21" s="29"/>
      <c r="K21" s="29"/>
      <c r="L21" s="29"/>
    </row>
    <row r="22" spans="2:12">
      <c r="B22" s="23"/>
      <c r="C22" s="33" t="s">
        <v>253</v>
      </c>
      <c r="D22" s="156" t="s">
        <v>492</v>
      </c>
      <c r="E22" s="147"/>
      <c r="F22" s="147"/>
      <c r="G22" s="29"/>
      <c r="H22" s="29"/>
      <c r="I22" s="29"/>
      <c r="J22" s="29"/>
      <c r="K22" s="29"/>
      <c r="L22" s="29"/>
    </row>
    <row r="23" spans="2:12">
      <c r="B23" s="23">
        <v>13</v>
      </c>
      <c r="C23" s="32" t="s">
        <v>491</v>
      </c>
      <c r="D23" s="180"/>
      <c r="E23" s="181"/>
      <c r="F23" s="147"/>
      <c r="G23" s="147">
        <v>1.0900000000000001</v>
      </c>
      <c r="H23" s="147">
        <v>0</v>
      </c>
      <c r="I23" s="29"/>
      <c r="J23" s="29"/>
      <c r="K23" s="29"/>
      <c r="L23" s="29"/>
    </row>
    <row r="24" spans="2:12">
      <c r="B24" s="23">
        <v>14</v>
      </c>
      <c r="C24" s="32" t="s">
        <v>532</v>
      </c>
      <c r="D24" s="180"/>
      <c r="E24" s="181"/>
      <c r="F24" s="147"/>
      <c r="G24" s="147">
        <v>5.2305400000000002E-2</v>
      </c>
      <c r="H24" s="147">
        <v>0</v>
      </c>
      <c r="I24" s="29"/>
      <c r="J24" s="29"/>
      <c r="K24" s="29"/>
      <c r="L24" s="29"/>
    </row>
    <row r="25" spans="2:12">
      <c r="B25" s="23">
        <v>15</v>
      </c>
      <c r="C25" s="32" t="s">
        <v>533</v>
      </c>
      <c r="D25" s="180"/>
      <c r="E25" s="181"/>
      <c r="F25" s="147"/>
      <c r="G25" s="147">
        <v>7.38</v>
      </c>
      <c r="H25" s="147">
        <v>0</v>
      </c>
      <c r="I25" s="29"/>
      <c r="J25" s="29"/>
      <c r="K25" s="29"/>
      <c r="L25" s="29"/>
    </row>
    <row r="26" spans="2:12">
      <c r="B26" s="23">
        <v>16</v>
      </c>
      <c r="C26" s="32" t="s">
        <v>535</v>
      </c>
      <c r="D26" s="180"/>
      <c r="E26" s="181"/>
      <c r="F26" s="147"/>
      <c r="G26" s="147">
        <v>0</v>
      </c>
      <c r="H26" s="147">
        <v>0</v>
      </c>
      <c r="I26" s="29" t="s">
        <v>535</v>
      </c>
      <c r="J26" s="29"/>
      <c r="K26" s="29"/>
      <c r="L26" s="29"/>
    </row>
    <row r="27" spans="2:12">
      <c r="B27" s="23">
        <v>17</v>
      </c>
      <c r="C27" s="32" t="s">
        <v>524</v>
      </c>
      <c r="D27" s="180"/>
      <c r="E27" s="181"/>
      <c r="F27" s="147"/>
      <c r="G27" s="147">
        <v>0.53690000000000004</v>
      </c>
      <c r="H27" s="147">
        <v>0.53690000000000004</v>
      </c>
      <c r="I27" s="29" t="s">
        <v>524</v>
      </c>
      <c r="J27" s="29"/>
      <c r="K27" s="29"/>
      <c r="L27" s="29"/>
    </row>
    <row r="28" spans="2:12">
      <c r="B28" s="23">
        <v>18</v>
      </c>
      <c r="C28" s="32" t="s">
        <v>536</v>
      </c>
      <c r="D28" s="180"/>
      <c r="E28" s="181"/>
      <c r="F28" s="147"/>
      <c r="G28" s="147">
        <v>0.13836984499999999</v>
      </c>
      <c r="H28" s="147">
        <v>0.13836984499999999</v>
      </c>
      <c r="I28" s="29" t="s">
        <v>536</v>
      </c>
      <c r="J28" s="29"/>
      <c r="K28" s="29"/>
      <c r="L28" s="29"/>
    </row>
    <row r="29" spans="2:12">
      <c r="B29" s="23">
        <v>19</v>
      </c>
      <c r="C29" s="32" t="s">
        <v>526</v>
      </c>
      <c r="D29" s="180"/>
      <c r="E29" s="181"/>
      <c r="F29" s="147"/>
      <c r="G29" s="147">
        <v>7.1980000000000002E-2</v>
      </c>
      <c r="H29" s="147">
        <v>7.1980000000000002E-2</v>
      </c>
      <c r="I29" s="29" t="s">
        <v>526</v>
      </c>
      <c r="J29" s="29"/>
      <c r="K29" s="29"/>
      <c r="L29" s="29"/>
    </row>
    <row r="30" spans="2:12">
      <c r="B30" s="23">
        <v>20</v>
      </c>
      <c r="C30" s="32" t="s">
        <v>527</v>
      </c>
      <c r="D30" s="180"/>
      <c r="E30" s="181"/>
      <c r="F30" s="147"/>
      <c r="G30" s="147">
        <v>8.8374000000000005E-3</v>
      </c>
      <c r="H30" s="147">
        <v>8.8374000000000005E-3</v>
      </c>
      <c r="I30" s="29" t="s">
        <v>527</v>
      </c>
      <c r="J30" s="29"/>
      <c r="K30" s="29"/>
      <c r="L30" s="29"/>
    </row>
    <row r="31" spans="2:12">
      <c r="B31" s="23"/>
      <c r="C31" s="32" t="s">
        <v>3</v>
      </c>
      <c r="D31" s="180"/>
      <c r="E31" s="181"/>
      <c r="F31" s="147"/>
      <c r="G31" s="147">
        <v>9.2783926450000003</v>
      </c>
      <c r="H31" s="147">
        <v>0.75608724500000013</v>
      </c>
      <c r="I31" s="29"/>
      <c r="J31" s="29"/>
      <c r="K31" s="29"/>
      <c r="L31" s="29"/>
    </row>
    <row r="32" spans="2:12">
      <c r="B32" s="23"/>
      <c r="C32" s="32" t="s">
        <v>5</v>
      </c>
      <c r="D32" s="180"/>
      <c r="E32" s="181"/>
      <c r="F32" s="147"/>
      <c r="G32" s="182">
        <v>6.213912755</v>
      </c>
      <c r="H32" s="182">
        <v>6.213912755</v>
      </c>
      <c r="I32" s="29"/>
      <c r="J32" s="29"/>
      <c r="K32" s="29"/>
      <c r="L32" s="29"/>
    </row>
    <row r="33" spans="2:12">
      <c r="B33" s="23"/>
      <c r="C33" s="23" t="s">
        <v>544</v>
      </c>
      <c r="D33" s="156"/>
      <c r="E33" s="29"/>
      <c r="F33" s="147"/>
      <c r="G33" s="147">
        <v>3.3781425999999999</v>
      </c>
      <c r="H33" s="147">
        <v>3.3781425999999999</v>
      </c>
      <c r="I33" s="29"/>
      <c r="J33" s="29"/>
      <c r="K33" s="29"/>
      <c r="L33" s="29"/>
    </row>
    <row r="34" spans="2:12">
      <c r="B34" s="23"/>
      <c r="C34" s="23"/>
      <c r="D34" s="156"/>
      <c r="E34" s="29"/>
      <c r="F34" s="147"/>
      <c r="G34" s="147">
        <v>11.354627167</v>
      </c>
      <c r="H34" s="147">
        <v>11.354627167</v>
      </c>
      <c r="I34" s="29"/>
      <c r="J34" s="29"/>
      <c r="K34" s="29"/>
      <c r="L34" s="29"/>
    </row>
    <row r="35" spans="2:12">
      <c r="B35" s="23">
        <v>3</v>
      </c>
      <c r="C35" s="23"/>
      <c r="D35" s="156"/>
      <c r="E35" s="147"/>
      <c r="F35" s="147"/>
      <c r="G35" s="147"/>
      <c r="H35" s="147"/>
      <c r="I35" s="29"/>
      <c r="J35" s="29"/>
      <c r="K35" s="29"/>
      <c r="L35" s="29"/>
    </row>
    <row r="36" spans="2:12">
      <c r="B36" s="29"/>
      <c r="C36" s="29" t="s">
        <v>9</v>
      </c>
      <c r="D36" s="156"/>
      <c r="E36" s="147"/>
      <c r="F36" s="147">
        <v>0</v>
      </c>
      <c r="G36" s="147">
        <v>14.732769767000001</v>
      </c>
      <c r="H36" s="147">
        <v>14.732769767000001</v>
      </c>
      <c r="I36" s="29"/>
      <c r="J36" s="29"/>
      <c r="K36" s="29"/>
      <c r="L36" s="29"/>
    </row>
    <row r="37" spans="2:12">
      <c r="B37" s="29"/>
      <c r="C37" s="25" t="s">
        <v>139</v>
      </c>
      <c r="D37" s="156"/>
      <c r="E37" s="147"/>
      <c r="F37" s="138">
        <f>F36</f>
        <v>0</v>
      </c>
      <c r="G37" s="138">
        <f>G36</f>
        <v>14.732769767000001</v>
      </c>
      <c r="H37" s="138">
        <f>H36</f>
        <v>14.732769767000001</v>
      </c>
      <c r="I37" s="29"/>
      <c r="J37" s="29"/>
      <c r="K37" s="29"/>
      <c r="L37" s="29"/>
    </row>
    <row r="38" spans="2:12">
      <c r="B38" s="23"/>
      <c r="C38" s="33" t="s">
        <v>277</v>
      </c>
      <c r="D38" s="156" t="s">
        <v>493</v>
      </c>
      <c r="E38" s="147"/>
      <c r="F38" s="147"/>
      <c r="G38" s="147"/>
      <c r="H38" s="147"/>
      <c r="I38" s="29"/>
      <c r="J38" s="29"/>
      <c r="K38" s="29"/>
      <c r="L38" s="29"/>
    </row>
    <row r="39" spans="2:12" ht="45">
      <c r="B39" s="23">
        <v>1</v>
      </c>
      <c r="C39" s="23"/>
      <c r="D39" s="156"/>
      <c r="E39" s="180" t="s">
        <v>554</v>
      </c>
      <c r="F39" s="147"/>
      <c r="G39" s="147"/>
      <c r="H39" s="147">
        <v>0.23499999999999999</v>
      </c>
      <c r="I39" s="29"/>
      <c r="J39" s="29"/>
      <c r="K39" s="29"/>
      <c r="L39" s="29"/>
    </row>
    <row r="40" spans="2:12" ht="135">
      <c r="B40" s="23">
        <v>2</v>
      </c>
      <c r="C40" s="23"/>
      <c r="D40" s="156"/>
      <c r="E40" s="180" t="s">
        <v>555</v>
      </c>
      <c r="F40" s="147"/>
      <c r="G40" s="147"/>
      <c r="H40" s="147">
        <v>52.3</v>
      </c>
      <c r="I40" s="29"/>
      <c r="J40" s="29"/>
      <c r="K40" s="29"/>
      <c r="L40" s="29"/>
    </row>
    <row r="41" spans="2:12">
      <c r="B41" s="23">
        <v>3</v>
      </c>
      <c r="C41" s="23"/>
      <c r="D41" s="156"/>
      <c r="E41" s="156" t="s">
        <v>556</v>
      </c>
      <c r="F41" s="147"/>
      <c r="G41" s="147">
        <v>3.74</v>
      </c>
      <c r="H41" s="147">
        <v>3.74</v>
      </c>
      <c r="I41" s="29"/>
      <c r="J41" s="29"/>
      <c r="K41" s="29"/>
      <c r="L41" s="29"/>
    </row>
    <row r="42" spans="2:12" ht="60">
      <c r="B42" s="29"/>
      <c r="C42" s="29" t="s">
        <v>9</v>
      </c>
      <c r="D42" s="156"/>
      <c r="E42" s="180" t="s">
        <v>557</v>
      </c>
      <c r="F42" s="147"/>
      <c r="G42" s="147">
        <v>152.93</v>
      </c>
      <c r="H42" s="147">
        <v>100.39</v>
      </c>
      <c r="I42" s="29"/>
      <c r="J42" s="29"/>
      <c r="K42" s="29"/>
      <c r="L42" s="29"/>
    </row>
    <row r="43" spans="2:12">
      <c r="B43" s="29"/>
      <c r="C43" s="29"/>
      <c r="D43" s="156"/>
      <c r="E43" s="147"/>
      <c r="F43" s="147">
        <v>0</v>
      </c>
      <c r="G43" s="147">
        <v>156.67000000000002</v>
      </c>
      <c r="H43" s="147">
        <v>156.67000000000002</v>
      </c>
      <c r="I43" s="29"/>
      <c r="J43" s="29"/>
      <c r="K43" s="29"/>
      <c r="L43" s="29"/>
    </row>
    <row r="44" spans="2:12">
      <c r="B44" s="29"/>
      <c r="C44" s="25" t="s">
        <v>139</v>
      </c>
      <c r="D44" s="156"/>
      <c r="E44" s="147"/>
      <c r="F44" s="138">
        <f>F43</f>
        <v>0</v>
      </c>
      <c r="G44" s="138">
        <f>G43</f>
        <v>156.67000000000002</v>
      </c>
      <c r="H44" s="138">
        <f>H43</f>
        <v>156.67000000000002</v>
      </c>
      <c r="I44" s="29"/>
      <c r="J44" s="29"/>
      <c r="K44" s="29"/>
      <c r="L44" s="29"/>
    </row>
    <row r="45" spans="2:12">
      <c r="B45" s="23"/>
      <c r="C45" s="33" t="s">
        <v>278</v>
      </c>
      <c r="D45" s="156" t="s">
        <v>494</v>
      </c>
      <c r="E45" s="147"/>
      <c r="F45" s="147"/>
      <c r="G45" s="147"/>
      <c r="H45" s="147"/>
      <c r="I45" s="29"/>
      <c r="J45" s="29"/>
      <c r="K45" s="29"/>
      <c r="L45" s="29"/>
    </row>
    <row r="46" spans="2:12">
      <c r="B46" s="23">
        <v>1</v>
      </c>
      <c r="C46" s="23"/>
      <c r="D46" s="156"/>
      <c r="E46" s="147"/>
      <c r="F46" s="147"/>
      <c r="G46" s="147"/>
      <c r="H46" s="147"/>
      <c r="I46" s="29"/>
      <c r="J46" s="29"/>
      <c r="K46" s="29"/>
      <c r="L46" s="29"/>
    </row>
    <row r="47" spans="2:12">
      <c r="B47" s="23">
        <v>2</v>
      </c>
      <c r="C47" s="23"/>
      <c r="D47" s="156"/>
      <c r="E47" s="147"/>
      <c r="F47" s="147"/>
      <c r="G47" s="147"/>
      <c r="H47" s="147"/>
      <c r="I47" s="29"/>
      <c r="J47" s="29"/>
      <c r="K47" s="29"/>
      <c r="L47" s="29"/>
    </row>
    <row r="48" spans="2:12" ht="30">
      <c r="B48" s="23">
        <v>3</v>
      </c>
      <c r="D48" s="23"/>
      <c r="E48" s="180" t="s">
        <v>545</v>
      </c>
      <c r="F48" s="147">
        <v>11.574529999999999</v>
      </c>
      <c r="G48" s="147">
        <v>11.574529999999999</v>
      </c>
      <c r="H48" s="182"/>
      <c r="I48" s="29"/>
      <c r="J48" s="29"/>
      <c r="K48" s="29"/>
      <c r="L48" s="29"/>
    </row>
    <row r="49" spans="2:12" ht="60">
      <c r="B49" s="29"/>
      <c r="C49" s="29" t="s">
        <v>9</v>
      </c>
      <c r="D49" s="156"/>
      <c r="E49" s="180" t="s">
        <v>557</v>
      </c>
      <c r="F49" s="147"/>
      <c r="G49" s="147">
        <v>651.92999999999995</v>
      </c>
      <c r="H49" s="147">
        <v>651.92999999999995</v>
      </c>
      <c r="I49" s="29"/>
      <c r="J49" s="29"/>
      <c r="K49" s="29"/>
      <c r="L49" s="29"/>
    </row>
    <row r="50" spans="2:12">
      <c r="B50" s="29"/>
      <c r="C50" s="29"/>
      <c r="D50" s="156"/>
      <c r="E50" s="147"/>
      <c r="F50" s="147">
        <v>11.574529999999999</v>
      </c>
      <c r="G50" s="147">
        <v>663.50452999999993</v>
      </c>
      <c r="H50" s="147">
        <v>651.92999999999995</v>
      </c>
      <c r="I50" s="29"/>
      <c r="J50" s="29"/>
      <c r="K50" s="29"/>
      <c r="L50" s="29"/>
    </row>
    <row r="51" spans="2:12">
      <c r="B51" s="29"/>
      <c r="C51" s="25" t="s">
        <v>139</v>
      </c>
      <c r="D51" s="156"/>
      <c r="E51" s="147"/>
      <c r="F51" s="138">
        <f>F50</f>
        <v>11.574529999999999</v>
      </c>
      <c r="G51" s="138">
        <f>G50</f>
        <v>663.50452999999993</v>
      </c>
      <c r="H51" s="138">
        <f>H50</f>
        <v>651.92999999999995</v>
      </c>
      <c r="I51" s="29"/>
      <c r="J51" s="29"/>
      <c r="K51" s="29"/>
      <c r="L51" s="29"/>
    </row>
    <row r="52" spans="2:12">
      <c r="B52" s="23"/>
      <c r="C52" s="33" t="s">
        <v>279</v>
      </c>
      <c r="D52" s="156" t="s">
        <v>495</v>
      </c>
      <c r="E52" s="147"/>
      <c r="F52" s="147"/>
      <c r="G52" s="147"/>
      <c r="H52" s="147"/>
      <c r="I52" s="29"/>
      <c r="J52" s="29"/>
      <c r="K52" s="29"/>
      <c r="L52" s="29"/>
    </row>
    <row r="53" spans="2:12">
      <c r="B53" s="23">
        <v>1</v>
      </c>
      <c r="C53" s="23"/>
      <c r="D53" s="156"/>
      <c r="E53" s="147"/>
      <c r="F53" s="147"/>
      <c r="G53" s="147"/>
      <c r="H53" s="147"/>
      <c r="I53" s="29"/>
      <c r="J53" s="29"/>
      <c r="K53" s="29"/>
      <c r="L53" s="29"/>
    </row>
    <row r="54" spans="2:12">
      <c r="B54" s="23">
        <v>2</v>
      </c>
      <c r="C54" s="23"/>
      <c r="D54" s="156"/>
      <c r="E54" s="147"/>
      <c r="F54" s="147"/>
      <c r="G54" s="147"/>
      <c r="H54" s="147"/>
      <c r="I54" s="29"/>
      <c r="J54" s="29"/>
      <c r="K54" s="29"/>
      <c r="L54" s="29"/>
    </row>
    <row r="55" spans="2:12">
      <c r="B55" s="23">
        <v>3</v>
      </c>
      <c r="C55" s="23"/>
      <c r="D55" s="156"/>
      <c r="E55" s="147"/>
      <c r="F55" s="147"/>
      <c r="G55" s="147"/>
      <c r="H55" s="147"/>
      <c r="I55" s="29"/>
      <c r="J55" s="29"/>
      <c r="K55" s="29"/>
      <c r="L55" s="29"/>
    </row>
    <row r="56" spans="2:12">
      <c r="B56" s="29"/>
      <c r="C56" s="29" t="s">
        <v>9</v>
      </c>
      <c r="D56" s="156"/>
      <c r="E56" s="147"/>
      <c r="F56" s="147"/>
      <c r="G56" s="147">
        <v>223.6</v>
      </c>
      <c r="H56" s="147">
        <v>223.6</v>
      </c>
      <c r="I56" s="29"/>
      <c r="J56" s="29"/>
      <c r="K56" s="29"/>
      <c r="L56" s="29"/>
    </row>
    <row r="57" spans="2:12" ht="60">
      <c r="B57" s="29"/>
      <c r="C57" s="29"/>
      <c r="D57" s="156"/>
      <c r="E57" s="180" t="s">
        <v>557</v>
      </c>
      <c r="F57" s="147">
        <v>0</v>
      </c>
      <c r="G57" s="147">
        <v>223.6</v>
      </c>
      <c r="H57" s="147">
        <v>223.6</v>
      </c>
      <c r="I57" s="29"/>
      <c r="J57" s="29"/>
      <c r="K57" s="29"/>
      <c r="L57" s="29"/>
    </row>
    <row r="58" spans="2:12">
      <c r="B58" s="29"/>
      <c r="C58" s="25" t="s">
        <v>139</v>
      </c>
      <c r="D58" s="156"/>
      <c r="E58" s="147"/>
      <c r="F58" s="138">
        <f>F57</f>
        <v>0</v>
      </c>
      <c r="G58" s="138">
        <f>G57</f>
        <v>223.6</v>
      </c>
      <c r="H58" s="138">
        <f>H57</f>
        <v>223.6</v>
      </c>
      <c r="I58" s="29"/>
      <c r="J58" s="29"/>
      <c r="K58" s="29"/>
      <c r="L58" s="29"/>
    </row>
    <row r="59" spans="2:12">
      <c r="B59" s="23"/>
      <c r="C59" s="33" t="s">
        <v>280</v>
      </c>
      <c r="D59" s="156" t="s">
        <v>496</v>
      </c>
      <c r="E59" s="147"/>
      <c r="F59" s="147"/>
      <c r="G59" s="147"/>
      <c r="H59" s="147"/>
      <c r="I59" s="29"/>
      <c r="J59" s="29"/>
      <c r="K59" s="29"/>
      <c r="L59" s="29"/>
    </row>
    <row r="60" spans="2:12">
      <c r="B60" s="23">
        <v>1</v>
      </c>
      <c r="C60" s="23"/>
      <c r="D60" s="156"/>
      <c r="E60" s="147"/>
      <c r="F60" s="147"/>
      <c r="G60" s="147"/>
      <c r="H60" s="147"/>
      <c r="I60" s="29"/>
      <c r="J60" s="29"/>
      <c r="K60" s="29"/>
      <c r="L60" s="29"/>
    </row>
    <row r="61" spans="2:12">
      <c r="B61" s="23">
        <v>2</v>
      </c>
      <c r="C61" s="23"/>
      <c r="D61" s="156"/>
      <c r="E61" s="147"/>
      <c r="F61" s="147"/>
      <c r="G61" s="147"/>
      <c r="H61" s="147"/>
      <c r="I61" s="29"/>
      <c r="J61" s="29"/>
      <c r="K61" s="29"/>
      <c r="L61" s="29"/>
    </row>
    <row r="62" spans="2:12">
      <c r="B62" s="23">
        <v>3</v>
      </c>
      <c r="C62" s="23"/>
      <c r="D62" s="156"/>
      <c r="E62" s="147"/>
      <c r="F62" s="147"/>
      <c r="G62" s="147"/>
      <c r="H62" s="147"/>
      <c r="I62" s="29"/>
      <c r="J62" s="29"/>
      <c r="K62" s="29"/>
      <c r="L62" s="29"/>
    </row>
    <row r="63" spans="2:12">
      <c r="B63" s="29"/>
      <c r="C63" s="29" t="s">
        <v>9</v>
      </c>
      <c r="D63" s="156"/>
      <c r="E63" s="147"/>
      <c r="F63" s="147"/>
      <c r="G63" s="147">
        <v>30.04</v>
      </c>
      <c r="H63" s="147">
        <v>30.04</v>
      </c>
      <c r="I63" s="29"/>
      <c r="J63" s="29"/>
      <c r="K63" s="29"/>
      <c r="L63" s="29"/>
    </row>
    <row r="64" spans="2:12" ht="60">
      <c r="B64" s="29"/>
      <c r="C64" s="29"/>
      <c r="D64" s="156"/>
      <c r="E64" s="180" t="s">
        <v>557</v>
      </c>
      <c r="F64" s="147">
        <v>0</v>
      </c>
      <c r="G64" s="147">
        <v>30.04</v>
      </c>
      <c r="H64" s="147">
        <v>30.04</v>
      </c>
      <c r="I64" s="29"/>
      <c r="J64" s="29"/>
      <c r="K64" s="29"/>
      <c r="L64" s="29"/>
    </row>
    <row r="65" spans="2:12">
      <c r="B65" s="29"/>
      <c r="C65" s="25" t="s">
        <v>139</v>
      </c>
      <c r="D65" s="156"/>
      <c r="E65" s="147"/>
      <c r="F65" s="138">
        <f>F64</f>
        <v>0</v>
      </c>
      <c r="G65" s="138">
        <f>G64</f>
        <v>30.04</v>
      </c>
      <c r="H65" s="138">
        <f>H64</f>
        <v>30.04</v>
      </c>
      <c r="I65" s="29"/>
      <c r="J65" s="29"/>
      <c r="K65" s="29"/>
      <c r="L65" s="29"/>
    </row>
    <row r="66" spans="2:12">
      <c r="B66" s="23"/>
      <c r="C66" s="33" t="s">
        <v>281</v>
      </c>
      <c r="D66" s="156" t="s">
        <v>497</v>
      </c>
      <c r="E66" s="147"/>
      <c r="F66" s="147"/>
      <c r="G66" s="147"/>
      <c r="H66" s="147"/>
      <c r="I66" s="29"/>
      <c r="J66" s="29"/>
      <c r="K66" s="29"/>
      <c r="L66" s="29"/>
    </row>
    <row r="67" spans="2:12">
      <c r="B67" s="23">
        <v>1</v>
      </c>
      <c r="C67" s="23"/>
      <c r="D67" s="156"/>
      <c r="E67" s="147"/>
      <c r="F67" s="147"/>
      <c r="G67" s="147"/>
      <c r="H67" s="147"/>
      <c r="I67" s="29"/>
      <c r="J67" s="29"/>
      <c r="K67" s="29"/>
      <c r="L67" s="29"/>
    </row>
    <row r="68" spans="2:12">
      <c r="B68" s="23">
        <v>2</v>
      </c>
      <c r="C68" s="23"/>
      <c r="D68" s="156"/>
      <c r="E68" s="147"/>
      <c r="F68" s="147"/>
      <c r="G68" s="147"/>
      <c r="H68" s="147"/>
      <c r="I68" s="29"/>
      <c r="J68" s="29"/>
      <c r="K68" s="29"/>
      <c r="L68" s="29"/>
    </row>
    <row r="69" spans="2:12">
      <c r="B69" s="23">
        <v>3</v>
      </c>
      <c r="C69" s="23"/>
      <c r="D69" s="156"/>
      <c r="E69" s="147"/>
      <c r="F69" s="147"/>
      <c r="G69" s="147"/>
      <c r="H69" s="147"/>
      <c r="I69" s="29"/>
      <c r="J69" s="29"/>
      <c r="K69" s="29"/>
      <c r="L69" s="29"/>
    </row>
    <row r="70" spans="2:12">
      <c r="B70" s="29"/>
      <c r="C70" s="29" t="s">
        <v>9</v>
      </c>
      <c r="D70" s="156"/>
      <c r="E70" s="147"/>
      <c r="F70" s="147">
        <v>0</v>
      </c>
      <c r="G70" s="147">
        <v>0</v>
      </c>
      <c r="H70" s="147">
        <v>0</v>
      </c>
      <c r="I70" s="29"/>
      <c r="J70" s="29"/>
      <c r="K70" s="29"/>
      <c r="L70" s="29"/>
    </row>
    <row r="71" spans="2:12">
      <c r="B71" s="29"/>
      <c r="C71" s="25" t="s">
        <v>139</v>
      </c>
      <c r="D71" s="138">
        <f>SUM(D67:D70)</f>
        <v>0</v>
      </c>
      <c r="E71" s="147"/>
      <c r="F71" s="138">
        <f>F70</f>
        <v>0</v>
      </c>
      <c r="G71" s="138">
        <f>G70</f>
        <v>0</v>
      </c>
      <c r="H71" s="138">
        <f>H70</f>
        <v>0</v>
      </c>
      <c r="I71" s="29"/>
      <c r="J71" s="29"/>
      <c r="K71" s="29"/>
      <c r="L71" s="29"/>
    </row>
    <row r="72" spans="2:12">
      <c r="B72" s="65" t="s">
        <v>283</v>
      </c>
      <c r="C72" s="53" t="s">
        <v>284</v>
      </c>
    </row>
  </sheetData>
  <mergeCells count="1">
    <mergeCell ref="G14:G16"/>
  </mergeCells>
  <pageMargins left="0" right="0" top="0" bottom="0" header="0.25" footer="0.25"/>
  <pageSetup paperSize="9" scale="49" fitToHeight="0" orientation="landscape" r:id="rId1"/>
  <headerFooter alignWithMargins="0">
    <oddHeader>&amp;F</oddHeader>
  </headerFooter>
  <rowBreaks count="1" manualBreakCount="1">
    <brk id="51" min="1" max="11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B2:J21"/>
  <sheetViews>
    <sheetView showGridLines="0" zoomScale="80" zoomScaleNormal="80" workbookViewId="0">
      <selection activeCell="H23" sqref="H23"/>
    </sheetView>
  </sheetViews>
  <sheetFormatPr defaultColWidth="9.28515625" defaultRowHeight="14.25"/>
  <cols>
    <col min="1" max="1" width="4.28515625" style="110" customWidth="1"/>
    <col min="2" max="2" width="9.28515625" style="110"/>
    <col min="3" max="3" width="27.140625" style="110" customWidth="1"/>
    <col min="4" max="4" width="12.28515625" style="110" customWidth="1"/>
    <col min="5" max="5" width="12.5703125" style="110" customWidth="1"/>
    <col min="6" max="6" width="13.5703125" style="110" customWidth="1"/>
    <col min="7" max="7" width="13.42578125" style="110" customWidth="1"/>
    <col min="8" max="8" width="13.85546875" style="110" customWidth="1"/>
    <col min="9" max="9" width="13.42578125" style="110" customWidth="1"/>
    <col min="10" max="10" width="14" style="110" customWidth="1"/>
    <col min="11" max="16384" width="9.28515625" style="110"/>
  </cols>
  <sheetData>
    <row r="2" spans="2:10" ht="14.25" customHeight="1">
      <c r="B2" s="313" t="s">
        <v>542</v>
      </c>
      <c r="C2" s="313"/>
      <c r="D2" s="313"/>
      <c r="E2" s="313"/>
      <c r="F2" s="313"/>
      <c r="G2" s="313"/>
      <c r="H2" s="313"/>
      <c r="I2" s="313"/>
      <c r="J2" s="313"/>
    </row>
    <row r="3" spans="2:10" ht="14.25" customHeight="1">
      <c r="B3" s="313" t="s">
        <v>511</v>
      </c>
      <c r="C3" s="313"/>
      <c r="D3" s="313"/>
      <c r="E3" s="313"/>
      <c r="F3" s="313"/>
      <c r="G3" s="313"/>
      <c r="H3" s="313"/>
      <c r="I3" s="313"/>
      <c r="J3" s="313"/>
    </row>
    <row r="4" spans="2:10" ht="14.25" customHeight="1">
      <c r="B4" s="315" t="s">
        <v>333</v>
      </c>
      <c r="C4" s="315"/>
      <c r="D4" s="315"/>
      <c r="E4" s="315"/>
      <c r="F4" s="315"/>
      <c r="G4" s="315"/>
      <c r="H4" s="315"/>
      <c r="I4" s="315"/>
      <c r="J4" s="315"/>
    </row>
    <row r="6" spans="2:10" ht="15" customHeight="1">
      <c r="B6" s="314" t="s">
        <v>210</v>
      </c>
      <c r="C6" s="304" t="s">
        <v>18</v>
      </c>
      <c r="D6" s="314" t="s">
        <v>482</v>
      </c>
      <c r="E6" s="314" t="s">
        <v>483</v>
      </c>
      <c r="F6" s="314" t="s">
        <v>252</v>
      </c>
      <c r="G6" s="314"/>
      <c r="H6" s="314"/>
      <c r="I6" s="314"/>
      <c r="J6" s="314"/>
    </row>
    <row r="7" spans="2:10" ht="15">
      <c r="B7" s="314"/>
      <c r="C7" s="304"/>
      <c r="D7" s="314"/>
      <c r="E7" s="314"/>
      <c r="F7" s="21" t="s">
        <v>484</v>
      </c>
      <c r="G7" s="21" t="s">
        <v>485</v>
      </c>
      <c r="H7" s="21" t="s">
        <v>486</v>
      </c>
      <c r="I7" s="21" t="s">
        <v>487</v>
      </c>
      <c r="J7" s="21" t="s">
        <v>488</v>
      </c>
    </row>
    <row r="8" spans="2:10" ht="15">
      <c r="B8" s="314"/>
      <c r="C8" s="304"/>
      <c r="D8" s="113" t="s">
        <v>3</v>
      </c>
      <c r="E8" s="21" t="s">
        <v>547</v>
      </c>
      <c r="F8" s="21" t="s">
        <v>8</v>
      </c>
      <c r="G8" s="21" t="s">
        <v>8</v>
      </c>
      <c r="H8" s="21" t="s">
        <v>8</v>
      </c>
      <c r="I8" s="21" t="s">
        <v>8</v>
      </c>
      <c r="J8" s="21" t="s">
        <v>8</v>
      </c>
    </row>
    <row r="9" spans="2:10" ht="15">
      <c r="B9" s="114">
        <v>1</v>
      </c>
      <c r="C9" s="30" t="s">
        <v>334</v>
      </c>
      <c r="D9" s="132">
        <f>F3.1!H21</f>
        <v>72.328482421000004</v>
      </c>
      <c r="E9" s="132">
        <f>F3.1!H37</f>
        <v>14.732769767000001</v>
      </c>
      <c r="F9" s="132">
        <f>F3.1!H43</f>
        <v>156.67000000000002</v>
      </c>
      <c r="G9" s="132">
        <f>F3.1!H49</f>
        <v>651.92999999999995</v>
      </c>
      <c r="H9" s="132">
        <f>F3.1!H55</f>
        <v>0</v>
      </c>
      <c r="I9" s="132">
        <f>F3.1!H61</f>
        <v>0</v>
      </c>
      <c r="J9" s="132">
        <f>F3.1!H67</f>
        <v>0</v>
      </c>
    </row>
    <row r="10" spans="2:10">
      <c r="B10" s="30"/>
      <c r="C10" s="30"/>
      <c r="D10" s="124"/>
      <c r="E10" s="124"/>
      <c r="F10" s="124"/>
      <c r="G10" s="124"/>
      <c r="H10" s="124"/>
      <c r="I10" s="124"/>
      <c r="J10" s="124"/>
    </row>
    <row r="11" spans="2:10" ht="15">
      <c r="B11" s="114">
        <v>2</v>
      </c>
      <c r="C11" s="115" t="s">
        <v>199</v>
      </c>
      <c r="D11" s="124"/>
      <c r="E11" s="124"/>
      <c r="F11" s="124"/>
      <c r="G11" s="124"/>
      <c r="H11" s="124"/>
      <c r="I11" s="124"/>
      <c r="J11" s="124"/>
    </row>
    <row r="12" spans="2:10">
      <c r="B12" s="30"/>
      <c r="C12" s="30" t="s">
        <v>209</v>
      </c>
      <c r="D12" s="124">
        <f>D9*0.7</f>
        <v>50.629937694699997</v>
      </c>
      <c r="E12" s="124">
        <f t="shared" ref="E12:H12" si="0">E9*0.7</f>
        <v>10.312938836899999</v>
      </c>
      <c r="F12" s="124">
        <f>F9*0.7</f>
        <v>109.66900000000001</v>
      </c>
      <c r="G12" s="124">
        <f t="shared" si="0"/>
        <v>456.35099999999994</v>
      </c>
      <c r="H12" s="124">
        <f t="shared" si="0"/>
        <v>0</v>
      </c>
      <c r="I12" s="124">
        <f>I9*0.7</f>
        <v>0</v>
      </c>
      <c r="J12" s="124">
        <f>J9*0.7</f>
        <v>0</v>
      </c>
    </row>
    <row r="13" spans="2:10">
      <c r="B13" s="30"/>
      <c r="C13" s="30" t="s">
        <v>208</v>
      </c>
      <c r="D13" s="124"/>
      <c r="E13" s="124"/>
      <c r="F13" s="124"/>
      <c r="G13" s="124"/>
      <c r="H13" s="124"/>
      <c r="I13" s="124"/>
      <c r="J13" s="124"/>
    </row>
    <row r="14" spans="2:10">
      <c r="B14" s="30"/>
      <c r="C14" s="30" t="s">
        <v>9</v>
      </c>
      <c r="D14" s="124"/>
      <c r="E14" s="124"/>
      <c r="F14" s="124"/>
      <c r="G14" s="124"/>
      <c r="H14" s="124"/>
      <c r="I14" s="124"/>
      <c r="J14" s="124"/>
    </row>
    <row r="15" spans="2:10" ht="15">
      <c r="B15" s="30"/>
      <c r="C15" s="115" t="s">
        <v>197</v>
      </c>
      <c r="D15" s="132">
        <f>SUM(D12:D14)</f>
        <v>50.629937694699997</v>
      </c>
      <c r="E15" s="132">
        <f>SUM(E12:E14)</f>
        <v>10.312938836899999</v>
      </c>
      <c r="F15" s="132">
        <f t="shared" ref="F15:J15" si="1">SUM(F12:F14)</f>
        <v>109.66900000000001</v>
      </c>
      <c r="G15" s="132">
        <f t="shared" si="1"/>
        <v>456.35099999999994</v>
      </c>
      <c r="H15" s="132">
        <f t="shared" si="1"/>
        <v>0</v>
      </c>
      <c r="I15" s="132">
        <f t="shared" si="1"/>
        <v>0</v>
      </c>
      <c r="J15" s="132">
        <f t="shared" si="1"/>
        <v>0</v>
      </c>
    </row>
    <row r="16" spans="2:10">
      <c r="B16" s="30"/>
      <c r="C16" s="30"/>
      <c r="D16" s="124"/>
      <c r="E16" s="124"/>
      <c r="F16" s="124"/>
      <c r="G16" s="124"/>
      <c r="H16" s="124"/>
      <c r="I16" s="124"/>
      <c r="J16" s="124"/>
    </row>
    <row r="17" spans="2:10">
      <c r="B17" s="114">
        <v>3</v>
      </c>
      <c r="C17" s="30" t="s">
        <v>0</v>
      </c>
      <c r="D17" s="124">
        <f>D9*0.3</f>
        <v>21.6985447263</v>
      </c>
      <c r="E17" s="124">
        <f t="shared" ref="E17:J17" si="2">E9*0.3</f>
        <v>4.4198309300999998</v>
      </c>
      <c r="F17" s="124">
        <f t="shared" si="2"/>
        <v>47.001000000000005</v>
      </c>
      <c r="G17" s="124">
        <f t="shared" si="2"/>
        <v>195.57899999999998</v>
      </c>
      <c r="H17" s="124">
        <f t="shared" si="2"/>
        <v>0</v>
      </c>
      <c r="I17" s="124">
        <f t="shared" si="2"/>
        <v>0</v>
      </c>
      <c r="J17" s="124">
        <f t="shared" si="2"/>
        <v>0</v>
      </c>
    </row>
    <row r="18" spans="2:10">
      <c r="B18" s="114">
        <v>4</v>
      </c>
      <c r="C18" s="30" t="s">
        <v>200</v>
      </c>
      <c r="D18" s="124"/>
      <c r="E18" s="124"/>
      <c r="F18" s="124"/>
      <c r="G18" s="124"/>
      <c r="H18" s="124"/>
      <c r="I18" s="124"/>
      <c r="J18" s="124"/>
    </row>
    <row r="19" spans="2:10">
      <c r="B19" s="114">
        <v>5</v>
      </c>
      <c r="C19" s="30" t="s">
        <v>335</v>
      </c>
      <c r="D19" s="124"/>
      <c r="E19" s="124"/>
      <c r="F19" s="124"/>
      <c r="G19" s="124"/>
      <c r="H19" s="124"/>
      <c r="I19" s="124"/>
      <c r="J19" s="124"/>
    </row>
    <row r="20" spans="2:10" ht="15">
      <c r="B20" s="30"/>
      <c r="C20" s="30"/>
      <c r="D20" s="128"/>
      <c r="E20" s="128"/>
      <c r="F20" s="128"/>
      <c r="G20" s="128"/>
      <c r="H20" s="128"/>
      <c r="I20" s="128"/>
      <c r="J20" s="128"/>
    </row>
    <row r="21" spans="2:10" ht="15">
      <c r="B21" s="114">
        <v>6</v>
      </c>
      <c r="C21" s="115" t="s">
        <v>336</v>
      </c>
      <c r="D21" s="132">
        <f>D15+D17+D18+D19</f>
        <v>72.32848242099999</v>
      </c>
      <c r="E21" s="132">
        <f>E15+E17+E18+E19</f>
        <v>14.732769766999999</v>
      </c>
      <c r="F21" s="132">
        <f t="shared" ref="F21:J21" si="3">F15+F17+F18+F19</f>
        <v>156.67000000000002</v>
      </c>
      <c r="G21" s="132">
        <f t="shared" si="3"/>
        <v>651.92999999999995</v>
      </c>
      <c r="H21" s="132">
        <f t="shared" si="3"/>
        <v>0</v>
      </c>
      <c r="I21" s="132">
        <f t="shared" si="3"/>
        <v>0</v>
      </c>
      <c r="J21" s="132">
        <f t="shared" si="3"/>
        <v>0</v>
      </c>
    </row>
  </sheetData>
  <mergeCells count="8">
    <mergeCell ref="B2:J2"/>
    <mergeCell ref="B3:J3"/>
    <mergeCell ref="B4:J4"/>
    <mergeCell ref="F6:J6"/>
    <mergeCell ref="D6:D7"/>
    <mergeCell ref="B6:B8"/>
    <mergeCell ref="C6:C8"/>
    <mergeCell ref="E6:E7"/>
  </mergeCells>
  <pageMargins left="0" right="0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6</vt:i4>
      </vt:variant>
    </vt:vector>
  </HeadingPairs>
  <TitlesOfParts>
    <vt:vector size="28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F10</vt:lpstr>
      <vt:lpstr>F11</vt:lpstr>
      <vt:lpstr>F11.1</vt:lpstr>
      <vt:lpstr>F12</vt:lpstr>
      <vt:lpstr>F13</vt:lpstr>
      <vt:lpstr>F14</vt:lpstr>
      <vt:lpstr>F15</vt:lpstr>
      <vt:lpstr>Checklist!Print_Area</vt:lpstr>
      <vt:lpstr>F2.1!Print_Area</vt:lpstr>
      <vt:lpstr>F2.2!Print_Area</vt:lpstr>
      <vt:lpstr>'F3'!Print_Area</vt:lpstr>
      <vt:lpstr>F3.1!Print_Area</vt:lpstr>
      <vt:lpstr>'F4'!Print_Area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acer</cp:lastModifiedBy>
  <cp:lastPrinted>2024-09-22T11:20:31Z</cp:lastPrinted>
  <dcterms:created xsi:type="dcterms:W3CDTF">2004-07-28T05:30:50Z</dcterms:created>
  <dcterms:modified xsi:type="dcterms:W3CDTF">2024-09-22T11:21:18Z</dcterms:modified>
</cp:coreProperties>
</file>