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165" yWindow="-60" windowWidth="10455" windowHeight="10905" tabRatio="717" activeTab="8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15" r:id="rId17"/>
    <sheet name="F11.1" sheetId="107" r:id="rId18"/>
    <sheet name="F12" sheetId="110" r:id="rId19"/>
    <sheet name="F13" sheetId="71" r:id="rId20"/>
    <sheet name="F14" sheetId="72" r:id="rId21"/>
    <sheet name="F15" sheetId="91" r:id="rId22"/>
  </sheets>
  <externalReferences>
    <externalReference r:id="rId23"/>
    <externalReference r:id="rId24"/>
    <externalReference r:id="rId25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Checklist!$A$1:$E$41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09"/>
  <c r="E15"/>
  <c r="M14" i="103"/>
  <c r="L14"/>
  <c r="K14"/>
  <c r="J14"/>
  <c r="H50" i="101"/>
  <c r="G50"/>
  <c r="F50"/>
  <c r="D50"/>
  <c r="H44"/>
  <c r="G44"/>
  <c r="F44"/>
  <c r="H38"/>
  <c r="G38"/>
  <c r="F38"/>
  <c r="H32"/>
  <c r="G32"/>
  <c r="F32"/>
  <c r="F26"/>
  <c r="H25"/>
  <c r="G25"/>
  <c r="G26" s="1"/>
  <c r="H19"/>
  <c r="G19"/>
  <c r="F19"/>
  <c r="H16"/>
  <c r="G16"/>
  <c r="H12"/>
  <c r="G12"/>
  <c r="F12"/>
  <c r="I16" i="110"/>
  <c r="H16"/>
  <c r="F16"/>
  <c r="E16"/>
  <c r="G10"/>
  <c r="G11"/>
  <c r="G12"/>
  <c r="G14"/>
  <c r="G9"/>
  <c r="K15"/>
  <c r="L15" s="1"/>
  <c r="M15" s="1"/>
  <c r="N15" s="1"/>
  <c r="K13"/>
  <c r="L13" s="1"/>
  <c r="M13" s="1"/>
  <c r="N13" s="1"/>
  <c r="I14" i="103" l="1"/>
  <c r="H26" i="101"/>
  <c r="G16" i="110"/>
  <c r="L124" i="102"/>
  <c r="K124"/>
  <c r="H124"/>
  <c r="G124"/>
  <c r="K123"/>
  <c r="L107"/>
  <c r="K107"/>
  <c r="H107"/>
  <c r="G107"/>
  <c r="K106"/>
  <c r="L90"/>
  <c r="K90"/>
  <c r="H90"/>
  <c r="G90"/>
  <c r="K89"/>
  <c r="L73"/>
  <c r="K73"/>
  <c r="H73"/>
  <c r="G73"/>
  <c r="K55"/>
  <c r="K72"/>
  <c r="H56"/>
  <c r="K56"/>
  <c r="L56"/>
  <c r="G39"/>
  <c r="H39"/>
  <c r="K39"/>
  <c r="L39"/>
  <c r="N20"/>
  <c r="G22"/>
  <c r="H22"/>
  <c r="L22"/>
  <c r="D72" i="71" l="1"/>
  <c r="E72"/>
  <c r="F72"/>
  <c r="G72"/>
  <c r="H72"/>
  <c r="I72"/>
  <c r="J72"/>
  <c r="K72"/>
  <c r="L72"/>
  <c r="M72"/>
  <c r="N72"/>
  <c r="C72"/>
  <c r="D62"/>
  <c r="E62"/>
  <c r="F62"/>
  <c r="G62"/>
  <c r="H62"/>
  <c r="I62"/>
  <c r="J62"/>
  <c r="K62"/>
  <c r="L62"/>
  <c r="M62"/>
  <c r="N62"/>
  <c r="C62"/>
  <c r="D52"/>
  <c r="E52"/>
  <c r="F52"/>
  <c r="G52"/>
  <c r="H52"/>
  <c r="I52"/>
  <c r="J52"/>
  <c r="K52"/>
  <c r="L52"/>
  <c r="M52"/>
  <c r="N52"/>
  <c r="C52"/>
  <c r="D42"/>
  <c r="E42"/>
  <c r="F42"/>
  <c r="G42"/>
  <c r="H42"/>
  <c r="I42"/>
  <c r="J42"/>
  <c r="K42"/>
  <c r="L42"/>
  <c r="M42"/>
  <c r="N42"/>
  <c r="C42"/>
  <c r="D32"/>
  <c r="E32"/>
  <c r="F32"/>
  <c r="G32"/>
  <c r="H32"/>
  <c r="I32"/>
  <c r="J32"/>
  <c r="K32"/>
  <c r="L32"/>
  <c r="M32"/>
  <c r="N32"/>
  <c r="C32"/>
  <c r="D22"/>
  <c r="E22"/>
  <c r="F22"/>
  <c r="G22"/>
  <c r="H22"/>
  <c r="I22"/>
  <c r="J22"/>
  <c r="K22"/>
  <c r="C22"/>
  <c r="D12"/>
  <c r="E12"/>
  <c r="F12"/>
  <c r="G12"/>
  <c r="H12"/>
  <c r="I12"/>
  <c r="J12"/>
  <c r="K12"/>
  <c r="L12"/>
  <c r="M12"/>
  <c r="N12"/>
  <c r="C12"/>
  <c r="K16" i="110"/>
  <c r="L16"/>
  <c r="M16"/>
  <c r="N16"/>
  <c r="J16"/>
  <c r="B27" i="102" l="1"/>
  <c r="B28" s="1"/>
  <c r="B29" s="1"/>
  <c r="B30" s="1"/>
  <c r="B31" s="1"/>
  <c r="B32" s="1"/>
  <c r="B33" s="1"/>
  <c r="B34" s="1"/>
  <c r="B35" s="1"/>
  <c r="B36" s="1"/>
  <c r="B37" s="1"/>
  <c r="I15" i="110"/>
  <c r="I13"/>
  <c r="F15"/>
  <c r="G15" s="1"/>
  <c r="F13"/>
  <c r="G13" s="1"/>
  <c r="I38" i="81"/>
  <c r="N20" i="71"/>
  <c r="N18"/>
  <c r="M20"/>
  <c r="M18"/>
  <c r="L20"/>
  <c r="L18"/>
  <c r="M22" l="1"/>
  <c r="L22"/>
  <c r="N22"/>
  <c r="E23" i="81"/>
  <c r="H18" i="110"/>
  <c r="G18"/>
  <c r="F18"/>
  <c r="E12" i="104" s="1"/>
  <c r="F12" s="1"/>
  <c r="E18" i="110"/>
  <c r="H17"/>
  <c r="G17"/>
  <c r="F17"/>
  <c r="E10" i="104" s="1"/>
  <c r="F10" s="1"/>
  <c r="E17" i="110"/>
  <c r="F19" i="104"/>
  <c r="O70" i="71"/>
  <c r="O68"/>
  <c r="O60"/>
  <c r="O58"/>
  <c r="O50"/>
  <c r="O48"/>
  <c r="O40"/>
  <c r="O38"/>
  <c r="O30"/>
  <c r="O28"/>
  <c r="O20"/>
  <c r="O18"/>
  <c r="O22" s="1"/>
  <c r="O10"/>
  <c r="O8"/>
  <c r="B41" i="81"/>
  <c r="B42" s="1"/>
  <c r="G38"/>
  <c r="G37"/>
  <c r="B37"/>
  <c r="B38" s="1"/>
  <c r="G34"/>
  <c r="G33"/>
  <c r="B33"/>
  <c r="B34" s="1"/>
  <c r="N30"/>
  <c r="N23" s="1"/>
  <c r="M30"/>
  <c r="M23" s="1"/>
  <c r="L30"/>
  <c r="L23" s="1"/>
  <c r="K30"/>
  <c r="K23" s="1"/>
  <c r="J30"/>
  <c r="J23" s="1"/>
  <c r="G30"/>
  <c r="G29"/>
  <c r="G28"/>
  <c r="G27"/>
  <c r="B27"/>
  <c r="B28" s="1"/>
  <c r="B29" s="1"/>
  <c r="B30" s="1"/>
  <c r="F24"/>
  <c r="G24" s="1"/>
  <c r="G23"/>
  <c r="B23"/>
  <c r="B24" s="1"/>
  <c r="G20"/>
  <c r="G19"/>
  <c r="B19"/>
  <c r="B20" s="1"/>
  <c r="G16"/>
  <c r="G15"/>
  <c r="B15"/>
  <c r="B16" s="1"/>
  <c r="N18" i="110"/>
  <c r="M12" i="104" s="1"/>
  <c r="M18" i="110"/>
  <c r="L12" i="104" s="1"/>
  <c r="L18" i="110"/>
  <c r="K12" i="104" s="1"/>
  <c r="K18" i="110"/>
  <c r="J12" i="104" s="1"/>
  <c r="J18" i="110"/>
  <c r="I12" i="104" s="1"/>
  <c r="N17" i="110"/>
  <c r="M17"/>
  <c r="L17"/>
  <c r="K17"/>
  <c r="J17"/>
  <c r="I18"/>
  <c r="I17"/>
  <c r="F20" i="58"/>
  <c r="J13" i="102"/>
  <c r="L21"/>
  <c r="H21"/>
  <c r="G21"/>
  <c r="F13"/>
  <c r="F22" s="1"/>
  <c r="O42" i="71" l="1"/>
  <c r="O72"/>
  <c r="O62"/>
  <c r="J21" i="102"/>
  <c r="J22"/>
  <c r="O52" i="71"/>
  <c r="O32"/>
  <c r="O12"/>
  <c r="M10" i="104"/>
  <c r="M11"/>
  <c r="L10"/>
  <c r="L11"/>
  <c r="K10"/>
  <c r="K11"/>
  <c r="J11"/>
  <c r="J10"/>
  <c r="I11"/>
  <c r="I10"/>
  <c r="F21" i="102"/>
  <c r="D12" i="104"/>
  <c r="D11"/>
  <c r="D10"/>
  <c r="E11"/>
  <c r="F11" s="1"/>
  <c r="H14" i="66"/>
  <c r="E14"/>
  <c r="H12" i="104" l="1"/>
  <c r="H11"/>
  <c r="H10"/>
  <c r="H23" i="81"/>
  <c r="N21" i="102"/>
  <c r="D10" i="105"/>
  <c r="E10" s="1"/>
  <c r="D10" i="103"/>
  <c r="E10" s="1"/>
  <c r="F10" s="1"/>
  <c r="L38" i="102"/>
  <c r="G38"/>
  <c r="H38"/>
  <c r="M38" i="68"/>
  <c r="M40" s="1"/>
  <c r="I38"/>
  <c r="I40" s="1"/>
  <c r="J38"/>
  <c r="J40" s="1"/>
  <c r="K38"/>
  <c r="K40" s="1"/>
  <c r="L38"/>
  <c r="L40" s="1"/>
  <c r="E38"/>
  <c r="E40" s="1"/>
  <c r="F38"/>
  <c r="F40" s="1"/>
  <c r="G38"/>
  <c r="G40" s="1"/>
  <c r="D38"/>
  <c r="D40" s="1"/>
  <c r="G12" i="104" l="1"/>
  <c r="G11"/>
  <c r="G10"/>
  <c r="H38" i="68"/>
  <c r="H40" s="1"/>
  <c r="F10" i="105" l="1"/>
  <c r="N19" i="110" l="1"/>
  <c r="M17" i="104" s="1"/>
  <c r="M19" i="110"/>
  <c r="L17" i="104" s="1"/>
  <c r="L19" i="110"/>
  <c r="K17" i="104" s="1"/>
  <c r="K19" i="110"/>
  <c r="J17" i="104" s="1"/>
  <c r="J19" i="110"/>
  <c r="I17" i="104" s="1"/>
  <c r="I19" i="110"/>
  <c r="H19"/>
  <c r="G17" i="104" l="1"/>
  <c r="H17"/>
  <c r="G19" i="110"/>
  <c r="N12" i="102" l="1"/>
  <c r="I12"/>
  <c r="K12" s="1"/>
  <c r="N11"/>
  <c r="I11"/>
  <c r="K11" s="1"/>
  <c r="N10"/>
  <c r="I10"/>
  <c r="K10" s="1"/>
  <c r="N9"/>
  <c r="I9"/>
  <c r="N16"/>
  <c r="I16"/>
  <c r="N15"/>
  <c r="I15"/>
  <c r="N14"/>
  <c r="I14"/>
  <c r="N13"/>
  <c r="I13"/>
  <c r="F30" l="1"/>
  <c r="K13"/>
  <c r="M13" s="1"/>
  <c r="J30" s="1"/>
  <c r="F31"/>
  <c r="K14"/>
  <c r="M14" s="1"/>
  <c r="J31" s="1"/>
  <c r="F32"/>
  <c r="K15"/>
  <c r="M15" s="1"/>
  <c r="F33"/>
  <c r="K16"/>
  <c r="K9"/>
  <c r="M9" s="1"/>
  <c r="O9" s="1"/>
  <c r="M10"/>
  <c r="J27" s="1"/>
  <c r="F27"/>
  <c r="M12"/>
  <c r="J29" s="1"/>
  <c r="M29" s="1"/>
  <c r="J46" s="1"/>
  <c r="F29"/>
  <c r="F26"/>
  <c r="M11"/>
  <c r="F28"/>
  <c r="M16"/>
  <c r="O13"/>
  <c r="J26" l="1"/>
  <c r="N26" s="1"/>
  <c r="O10"/>
  <c r="O12"/>
  <c r="O15"/>
  <c r="J32"/>
  <c r="N32" s="1"/>
  <c r="O14"/>
  <c r="O16"/>
  <c r="J33"/>
  <c r="N33" s="1"/>
  <c r="O11"/>
  <c r="J28"/>
  <c r="N28" s="1"/>
  <c r="N30"/>
  <c r="I30"/>
  <c r="F47" s="1"/>
  <c r="I27"/>
  <c r="F44" s="1"/>
  <c r="I44" s="1"/>
  <c r="N27"/>
  <c r="I32"/>
  <c r="F49" s="1"/>
  <c r="I49" s="1"/>
  <c r="I26"/>
  <c r="I28"/>
  <c r="I33"/>
  <c r="N29"/>
  <c r="I29"/>
  <c r="I31"/>
  <c r="M31" s="1"/>
  <c r="J48" s="1"/>
  <c r="N31"/>
  <c r="E19" i="110"/>
  <c r="F19"/>
  <c r="Q19" i="91"/>
  <c r="Q15"/>
  <c r="Q14"/>
  <c r="D17" i="104" l="1"/>
  <c r="E17"/>
  <c r="F17" s="1"/>
  <c r="M28" i="102"/>
  <c r="M33"/>
  <c r="M32"/>
  <c r="M27"/>
  <c r="O29"/>
  <c r="F46"/>
  <c r="I46" s="1"/>
  <c r="F50"/>
  <c r="I50" s="1"/>
  <c r="M30"/>
  <c r="F48"/>
  <c r="I48" s="1"/>
  <c r="O31"/>
  <c r="F45"/>
  <c r="I45" s="1"/>
  <c r="F43"/>
  <c r="F61"/>
  <c r="H34" i="67"/>
  <c r="E34"/>
  <c r="F34"/>
  <c r="G34"/>
  <c r="D34"/>
  <c r="O30" i="102" l="1"/>
  <c r="J47"/>
  <c r="N47" s="1"/>
  <c r="O27"/>
  <c r="J44"/>
  <c r="N44" s="1"/>
  <c r="O32"/>
  <c r="J49"/>
  <c r="N49" s="1"/>
  <c r="O33"/>
  <c r="J50"/>
  <c r="N50" s="1"/>
  <c r="O28"/>
  <c r="J45"/>
  <c r="M26"/>
  <c r="J43" s="1"/>
  <c r="N43" s="1"/>
  <c r="M44"/>
  <c r="F66"/>
  <c r="I43"/>
  <c r="M48"/>
  <c r="J65" s="1"/>
  <c r="M65" s="1"/>
  <c r="J82" s="1"/>
  <c r="N48"/>
  <c r="N46"/>
  <c r="F63"/>
  <c r="I61"/>
  <c r="F62"/>
  <c r="N45"/>
  <c r="M47"/>
  <c r="G20" i="58"/>
  <c r="H20"/>
  <c r="J20"/>
  <c r="I20" s="1"/>
  <c r="K20"/>
  <c r="L20"/>
  <c r="M20"/>
  <c r="N20"/>
  <c r="O20"/>
  <c r="M50" i="102" l="1"/>
  <c r="J67" s="1"/>
  <c r="M67" s="1"/>
  <c r="J84" s="1"/>
  <c r="M49"/>
  <c r="O49" s="1"/>
  <c r="F60"/>
  <c r="I60" s="1"/>
  <c r="O44"/>
  <c r="J61"/>
  <c r="J64"/>
  <c r="O26"/>
  <c r="M43"/>
  <c r="J60" s="1"/>
  <c r="I66"/>
  <c r="I62"/>
  <c r="F79" s="1"/>
  <c r="I63"/>
  <c r="F67"/>
  <c r="O50"/>
  <c r="F65"/>
  <c r="O48"/>
  <c r="M46"/>
  <c r="F78"/>
  <c r="M45"/>
  <c r="J66" l="1"/>
  <c r="N60"/>
  <c r="O45"/>
  <c r="J62"/>
  <c r="O46"/>
  <c r="J63"/>
  <c r="F77"/>
  <c r="I77" s="1"/>
  <c r="M61"/>
  <c r="N61"/>
  <c r="M64"/>
  <c r="O43"/>
  <c r="I79"/>
  <c r="F96" s="1"/>
  <c r="N67"/>
  <c r="I67"/>
  <c r="F84" s="1"/>
  <c r="F83"/>
  <c r="I78"/>
  <c r="F95" s="1"/>
  <c r="N65"/>
  <c r="I65"/>
  <c r="F82" s="1"/>
  <c r="F80"/>
  <c r="M60"/>
  <c r="M66" l="1"/>
  <c r="N66"/>
  <c r="O60"/>
  <c r="J77"/>
  <c r="M77" s="1"/>
  <c r="J94" s="1"/>
  <c r="F94"/>
  <c r="J81"/>
  <c r="M81" s="1"/>
  <c r="J78"/>
  <c r="N78" s="1"/>
  <c r="O61"/>
  <c r="M63"/>
  <c r="N63"/>
  <c r="M62"/>
  <c r="N62"/>
  <c r="O67"/>
  <c r="O65"/>
  <c r="I80"/>
  <c r="I95"/>
  <c r="I83"/>
  <c r="F100" s="1"/>
  <c r="M78"/>
  <c r="I82"/>
  <c r="M82" s="1"/>
  <c r="J99" s="1"/>
  <c r="N82"/>
  <c r="I84"/>
  <c r="M84" s="1"/>
  <c r="J101" s="1"/>
  <c r="N84"/>
  <c r="I96"/>
  <c r="F113" s="1"/>
  <c r="Q22" i="91"/>
  <c r="Q23"/>
  <c r="Q24"/>
  <c r="Q21"/>
  <c r="F25"/>
  <c r="G25"/>
  <c r="H25"/>
  <c r="I25"/>
  <c r="J25"/>
  <c r="K25"/>
  <c r="L25"/>
  <c r="M25"/>
  <c r="N25"/>
  <c r="O25"/>
  <c r="P25"/>
  <c r="E25"/>
  <c r="J83" i="102" l="1"/>
  <c r="N83" s="1"/>
  <c r="O66"/>
  <c r="N94"/>
  <c r="I94"/>
  <c r="F111"/>
  <c r="I111" s="1"/>
  <c r="O78"/>
  <c r="J95"/>
  <c r="N95" s="1"/>
  <c r="F97"/>
  <c r="I97" s="1"/>
  <c r="J79"/>
  <c r="O62"/>
  <c r="J80"/>
  <c r="N80" s="1"/>
  <c r="O63"/>
  <c r="J98"/>
  <c r="M98" s="1"/>
  <c r="N77"/>
  <c r="O77"/>
  <c r="I100"/>
  <c r="F117" s="1"/>
  <c r="F112"/>
  <c r="I113"/>
  <c r="F101"/>
  <c r="O84"/>
  <c r="F99"/>
  <c r="O82"/>
  <c r="M94"/>
  <c r="M95"/>
  <c r="Q25" i="91"/>
  <c r="Q30" s="1"/>
  <c r="B51" i="115"/>
  <c r="B52" s="1"/>
  <c r="B53" s="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M83" i="102" l="1"/>
  <c r="J100" s="1"/>
  <c r="M80"/>
  <c r="J97" s="1"/>
  <c r="N97" s="1"/>
  <c r="M32" i="115"/>
  <c r="Q32"/>
  <c r="Q34" s="1"/>
  <c r="I32"/>
  <c r="I34" s="1"/>
  <c r="U32"/>
  <c r="O95" i="102"/>
  <c r="J112"/>
  <c r="N112" s="1"/>
  <c r="O94"/>
  <c r="J111"/>
  <c r="M111" s="1"/>
  <c r="J115"/>
  <c r="M115" s="1"/>
  <c r="N79"/>
  <c r="M79"/>
  <c r="M34" i="115"/>
  <c r="U34"/>
  <c r="I117" i="102"/>
  <c r="I99"/>
  <c r="M99" s="1"/>
  <c r="J116" s="1"/>
  <c r="N99"/>
  <c r="F114"/>
  <c r="I101"/>
  <c r="N101"/>
  <c r="I112"/>
  <c r="O32" i="115"/>
  <c r="O34" s="1"/>
  <c r="S32"/>
  <c r="S34" s="1"/>
  <c r="E32"/>
  <c r="E34" s="1"/>
  <c r="G32"/>
  <c r="G34" s="1"/>
  <c r="K32"/>
  <c r="K34" s="1"/>
  <c r="H32"/>
  <c r="H34" s="1"/>
  <c r="L32"/>
  <c r="L34" s="1"/>
  <c r="P32"/>
  <c r="P34" s="1"/>
  <c r="T32"/>
  <c r="T34" s="1"/>
  <c r="F32"/>
  <c r="F34" s="1"/>
  <c r="J32"/>
  <c r="J34" s="1"/>
  <c r="N32"/>
  <c r="N34" s="1"/>
  <c r="R32"/>
  <c r="R34" s="1"/>
  <c r="V32"/>
  <c r="V34" s="1"/>
  <c r="N100" i="102" l="1"/>
  <c r="M100"/>
  <c r="J117" s="1"/>
  <c r="N117" s="1"/>
  <c r="O83"/>
  <c r="O80"/>
  <c r="M97"/>
  <c r="O100"/>
  <c r="O79"/>
  <c r="J96"/>
  <c r="O111"/>
  <c r="N111"/>
  <c r="I114"/>
  <c r="M112"/>
  <c r="F118"/>
  <c r="F116"/>
  <c r="O99"/>
  <c r="M101"/>
  <c r="G12" i="105"/>
  <c r="D12"/>
  <c r="J114" i="102" l="1"/>
  <c r="N114" s="1"/>
  <c r="O97"/>
  <c r="M117"/>
  <c r="O117" s="1"/>
  <c r="O101"/>
  <c r="J118"/>
  <c r="N118" s="1"/>
  <c r="O112"/>
  <c r="N96"/>
  <c r="M96"/>
  <c r="M116"/>
  <c r="I116"/>
  <c r="N116"/>
  <c r="I118"/>
  <c r="M118" s="1"/>
  <c r="M114" l="1"/>
  <c r="O114" s="1"/>
  <c r="O96"/>
  <c r="J113"/>
  <c r="O118"/>
  <c r="O116"/>
  <c r="D18" i="69"/>
  <c r="D21" s="1"/>
  <c r="G15" i="103"/>
  <c r="D15"/>
  <c r="D17" s="1"/>
  <c r="D14" i="105"/>
  <c r="I12" i="103"/>
  <c r="G12"/>
  <c r="D12"/>
  <c r="N17" i="102"/>
  <c r="I17"/>
  <c r="E31" i="107"/>
  <c r="E21"/>
  <c r="E14"/>
  <c r="E16" s="1"/>
  <c r="N18" i="72"/>
  <c r="J18"/>
  <c r="G18"/>
  <c r="C18"/>
  <c r="E30" i="91"/>
  <c r="E16"/>
  <c r="E17" s="1"/>
  <c r="N113" i="102" l="1"/>
  <c r="M113"/>
  <c r="F34"/>
  <c r="K17"/>
  <c r="E32" i="107"/>
  <c r="E34" s="1"/>
  <c r="D18" i="103"/>
  <c r="D20" s="1"/>
  <c r="O113" i="102" l="1"/>
  <c r="M17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4" i="67"/>
  <c r="I36" s="1"/>
  <c r="J11" i="66" s="1"/>
  <c r="H36" i="67"/>
  <c r="I11" i="66" s="1"/>
  <c r="G36" i="67"/>
  <c r="F11" i="66" s="1"/>
  <c r="G11" s="1"/>
  <c r="N12"/>
  <c r="L12"/>
  <c r="K12"/>
  <c r="J12"/>
  <c r="I12"/>
  <c r="F12"/>
  <c r="G12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4" i="103"/>
  <c r="E11" i="93"/>
  <c r="M11"/>
  <c r="K11"/>
  <c r="J11"/>
  <c r="I11"/>
  <c r="H11"/>
  <c r="J46" i="103"/>
  <c r="J47" s="1"/>
  <c r="J49" s="1"/>
  <c r="J51" s="1"/>
  <c r="I46"/>
  <c r="I47" s="1"/>
  <c r="I49" s="1"/>
  <c r="I51" s="1"/>
  <c r="H46"/>
  <c r="H47" s="1"/>
  <c r="H49" s="1"/>
  <c r="H51" s="1"/>
  <c r="G46"/>
  <c r="G47" s="1"/>
  <c r="G49" s="1"/>
  <c r="G51" s="1"/>
  <c r="F46"/>
  <c r="F47" s="1"/>
  <c r="F49" s="1"/>
  <c r="F51" s="1"/>
  <c r="E46"/>
  <c r="E47" s="1"/>
  <c r="E49" s="1"/>
  <c r="E51" s="1"/>
  <c r="J36"/>
  <c r="J37" s="1"/>
  <c r="J39" s="1"/>
  <c r="I36"/>
  <c r="I37" s="1"/>
  <c r="I39" s="1"/>
  <c r="H36"/>
  <c r="H37" s="1"/>
  <c r="H39" s="1"/>
  <c r="G36"/>
  <c r="G37" s="1"/>
  <c r="G39" s="1"/>
  <c r="F36"/>
  <c r="F37" s="1"/>
  <c r="F39" s="1"/>
  <c r="E36"/>
  <c r="E37" s="1"/>
  <c r="E39" s="1"/>
  <c r="G17"/>
  <c r="M12"/>
  <c r="L12"/>
  <c r="K12"/>
  <c r="J12"/>
  <c r="H12"/>
  <c r="F12"/>
  <c r="E12"/>
  <c r="D18" i="105"/>
  <c r="M18"/>
  <c r="L18"/>
  <c r="K18"/>
  <c r="J18"/>
  <c r="I18"/>
  <c r="H18"/>
  <c r="G18"/>
  <c r="F18"/>
  <c r="E18"/>
  <c r="G14"/>
  <c r="L123" i="102"/>
  <c r="H123"/>
  <c r="L106"/>
  <c r="H106"/>
  <c r="L89"/>
  <c r="H89"/>
  <c r="L72"/>
  <c r="H72"/>
  <c r="L55"/>
  <c r="H55"/>
  <c r="I20"/>
  <c r="K20" s="1"/>
  <c r="M20" s="1"/>
  <c r="J37" s="1"/>
  <c r="M37" s="1"/>
  <c r="J54" s="1"/>
  <c r="N19"/>
  <c r="I19"/>
  <c r="N18"/>
  <c r="N22" s="1"/>
  <c r="I18"/>
  <c r="I22" l="1"/>
  <c r="F35"/>
  <c r="I35" s="1"/>
  <c r="K18"/>
  <c r="I21"/>
  <c r="F36"/>
  <c r="K19"/>
  <c r="J34"/>
  <c r="F37"/>
  <c r="O17"/>
  <c r="L14" i="66"/>
  <c r="M11" i="58" s="1"/>
  <c r="K13" i="104" s="1"/>
  <c r="I14" i="66"/>
  <c r="G9" i="109"/>
  <c r="J12" i="93"/>
  <c r="G72" i="102" s="1"/>
  <c r="J11" i="105"/>
  <c r="J12" s="1"/>
  <c r="D9" i="109"/>
  <c r="D18" s="1"/>
  <c r="E12" i="93"/>
  <c r="F12" s="1"/>
  <c r="E11" i="105"/>
  <c r="E12" s="1"/>
  <c r="F14" i="66"/>
  <c r="F9" i="109"/>
  <c r="I11" i="105"/>
  <c r="I12" s="1"/>
  <c r="I12" i="93"/>
  <c r="J9" i="109"/>
  <c r="M11" i="105"/>
  <c r="M12" s="1"/>
  <c r="M12" i="93"/>
  <c r="G123" i="102" s="1"/>
  <c r="D20" i="105"/>
  <c r="D21" s="1"/>
  <c r="H14" i="103"/>
  <c r="E9" i="109"/>
  <c r="E18" s="1"/>
  <c r="H12" i="93"/>
  <c r="H13" s="1"/>
  <c r="H11" i="105"/>
  <c r="H12" s="1"/>
  <c r="I9" i="109"/>
  <c r="L12" i="93"/>
  <c r="G106" i="102" s="1"/>
  <c r="L11" i="105"/>
  <c r="L12" s="1"/>
  <c r="M12" i="66"/>
  <c r="M14" s="1"/>
  <c r="G14"/>
  <c r="H9" i="109"/>
  <c r="K11" i="105"/>
  <c r="K12" s="1"/>
  <c r="K12" i="93"/>
  <c r="G89" i="102" s="1"/>
  <c r="F11" i="93"/>
  <c r="J14" i="66"/>
  <c r="N14"/>
  <c r="K14"/>
  <c r="I11" i="58"/>
  <c r="G13" i="104" s="1"/>
  <c r="I36" i="102"/>
  <c r="F53" s="1"/>
  <c r="M19"/>
  <c r="G20" i="69"/>
  <c r="F11" i="58"/>
  <c r="H41" i="103"/>
  <c r="G41"/>
  <c r="I41"/>
  <c r="J41"/>
  <c r="F41"/>
  <c r="E41"/>
  <c r="F13" i="58"/>
  <c r="G16" i="103"/>
  <c r="G18" s="1"/>
  <c r="G20" s="1"/>
  <c r="I13" i="58" s="1"/>
  <c r="E20" i="105"/>
  <c r="F20"/>
  <c r="G20"/>
  <c r="I34" i="102"/>
  <c r="O20"/>
  <c r="F38" l="1"/>
  <c r="H10" i="105" s="1"/>
  <c r="I53" i="102"/>
  <c r="F70" s="1"/>
  <c r="I70" s="1"/>
  <c r="F87" s="1"/>
  <c r="I87" s="1"/>
  <c r="F104" s="1"/>
  <c r="G47"/>
  <c r="G55"/>
  <c r="I37"/>
  <c r="N37"/>
  <c r="N34"/>
  <c r="K22"/>
  <c r="F39"/>
  <c r="D13" i="104"/>
  <c r="D14"/>
  <c r="K21" i="102"/>
  <c r="H17" i="109"/>
  <c r="H18"/>
  <c r="J17"/>
  <c r="J18"/>
  <c r="I17"/>
  <c r="I18"/>
  <c r="G17"/>
  <c r="G18"/>
  <c r="F18"/>
  <c r="F17"/>
  <c r="O19" i="102"/>
  <c r="J36"/>
  <c r="I38"/>
  <c r="F55" s="1"/>
  <c r="M18"/>
  <c r="M22" s="1"/>
  <c r="F13" i="93"/>
  <c r="I13"/>
  <c r="J13" s="1"/>
  <c r="K13" s="1"/>
  <c r="I15" i="109"/>
  <c r="E17"/>
  <c r="H15"/>
  <c r="J15"/>
  <c r="F15"/>
  <c r="D15"/>
  <c r="D17"/>
  <c r="G15"/>
  <c r="J11" i="58"/>
  <c r="H11"/>
  <c r="F13" i="104" s="1"/>
  <c r="N11" i="58"/>
  <c r="L13" i="104" s="1"/>
  <c r="F14" i="103"/>
  <c r="G11" i="58"/>
  <c r="E13" i="93"/>
  <c r="E14" i="105"/>
  <c r="E21" s="1"/>
  <c r="E22" s="1"/>
  <c r="G15" i="58" s="1"/>
  <c r="F11" i="105"/>
  <c r="G21" i="69"/>
  <c r="L11" i="58"/>
  <c r="J13" i="104" s="1"/>
  <c r="K11" i="58"/>
  <c r="I13" i="104" s="1"/>
  <c r="F51" i="102"/>
  <c r="F52"/>
  <c r="I52" s="1"/>
  <c r="O11" i="58"/>
  <c r="M13" i="104" s="1"/>
  <c r="G21" i="105"/>
  <c r="I15" i="58" s="1"/>
  <c r="F15"/>
  <c r="H20" i="105" l="1"/>
  <c r="H14"/>
  <c r="I51" i="102"/>
  <c r="O37"/>
  <c r="I39"/>
  <c r="G56"/>
  <c r="I47"/>
  <c r="I10" i="105"/>
  <c r="I14" s="1"/>
  <c r="E13" i="104"/>
  <c r="E14"/>
  <c r="F14" s="1"/>
  <c r="G14" s="1"/>
  <c r="H13"/>
  <c r="H14"/>
  <c r="I55" i="102"/>
  <c r="M21"/>
  <c r="M36"/>
  <c r="J35"/>
  <c r="N36"/>
  <c r="M34"/>
  <c r="J51" s="1"/>
  <c r="O18"/>
  <c r="O22" s="1"/>
  <c r="F12" i="105"/>
  <c r="F14" s="1"/>
  <c r="F21" s="1"/>
  <c r="F22" s="1"/>
  <c r="H15" i="58" s="1"/>
  <c r="I21" i="109"/>
  <c r="G21"/>
  <c r="F21"/>
  <c r="H21"/>
  <c r="D21"/>
  <c r="J21"/>
  <c r="H20" i="69"/>
  <c r="H21" s="1"/>
  <c r="L13" i="93"/>
  <c r="H12" i="58"/>
  <c r="I104" i="102"/>
  <c r="F121" s="1"/>
  <c r="F69"/>
  <c r="N51"/>
  <c r="F54"/>
  <c r="H21" i="105" l="1"/>
  <c r="H22" s="1"/>
  <c r="J15" i="58" s="1"/>
  <c r="I54" i="102"/>
  <c r="I56" s="1"/>
  <c r="F56"/>
  <c r="N35"/>
  <c r="N39" s="1"/>
  <c r="J39"/>
  <c r="O36"/>
  <c r="J53"/>
  <c r="F64"/>
  <c r="O47"/>
  <c r="J10" i="105"/>
  <c r="J14" s="1"/>
  <c r="I20"/>
  <c r="I21" s="1"/>
  <c r="I22" s="1"/>
  <c r="K15" i="58" s="1"/>
  <c r="J38" i="102"/>
  <c r="O21"/>
  <c r="F72"/>
  <c r="M35"/>
  <c r="J52" s="1"/>
  <c r="M52" s="1"/>
  <c r="F15" i="103"/>
  <c r="F18" s="1"/>
  <c r="F20" s="1"/>
  <c r="H13" i="58" s="1"/>
  <c r="G12"/>
  <c r="E15" i="103" s="1"/>
  <c r="O34" i="102"/>
  <c r="M13" i="93"/>
  <c r="J12" i="58"/>
  <c r="H15" i="103" s="1"/>
  <c r="F68" i="102"/>
  <c r="I69"/>
  <c r="F86" s="1"/>
  <c r="N54"/>
  <c r="I14" i="104"/>
  <c r="I121" i="102"/>
  <c r="O52" l="1"/>
  <c r="J69"/>
  <c r="N52"/>
  <c r="J56"/>
  <c r="I64"/>
  <c r="N64"/>
  <c r="M53"/>
  <c r="N53"/>
  <c r="O35"/>
  <c r="O39" s="1"/>
  <c r="M39"/>
  <c r="K10" i="105"/>
  <c r="K20" s="1"/>
  <c r="J20"/>
  <c r="J21" s="1"/>
  <c r="J22" s="1"/>
  <c r="L15" i="58" s="1"/>
  <c r="F17" i="103"/>
  <c r="J14" i="104"/>
  <c r="I72" i="102"/>
  <c r="N38"/>
  <c r="M38"/>
  <c r="E17" i="103"/>
  <c r="E18"/>
  <c r="E20" s="1"/>
  <c r="G13" i="58" s="1"/>
  <c r="I20" i="69"/>
  <c r="I21" s="1"/>
  <c r="H16" i="103"/>
  <c r="H18" s="1"/>
  <c r="H20" s="1"/>
  <c r="J13" i="58" s="1"/>
  <c r="H17" i="103"/>
  <c r="M51" i="102"/>
  <c r="J68" s="1"/>
  <c r="I86"/>
  <c r="N68"/>
  <c r="I68"/>
  <c r="F71"/>
  <c r="F73" s="1"/>
  <c r="M54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V31" i="107"/>
  <c r="U31"/>
  <c r="T31"/>
  <c r="S31"/>
  <c r="R31"/>
  <c r="Q31"/>
  <c r="P31"/>
  <c r="O31"/>
  <c r="N31"/>
  <c r="M31"/>
  <c r="L31"/>
  <c r="K31"/>
  <c r="J31"/>
  <c r="I31"/>
  <c r="H31"/>
  <c r="G31"/>
  <c r="F31"/>
  <c r="V21"/>
  <c r="U21"/>
  <c r="T21"/>
  <c r="S21"/>
  <c r="S32" s="1"/>
  <c r="R21"/>
  <c r="Q21"/>
  <c r="P21"/>
  <c r="O21"/>
  <c r="O32" s="1"/>
  <c r="N21"/>
  <c r="M21"/>
  <c r="L21"/>
  <c r="K21"/>
  <c r="K32" s="1"/>
  <c r="J21"/>
  <c r="I21"/>
  <c r="H21"/>
  <c r="G21"/>
  <c r="G32" s="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O19" i="58"/>
  <c r="O21" s="1"/>
  <c r="N19"/>
  <c r="N21" s="1"/>
  <c r="M19"/>
  <c r="M21" s="1"/>
  <c r="L19"/>
  <c r="L21" s="1"/>
  <c r="K19"/>
  <c r="K21" s="1"/>
  <c r="J19"/>
  <c r="J21" s="1"/>
  <c r="I19"/>
  <c r="I21" s="1"/>
  <c r="H19"/>
  <c r="G19"/>
  <c r="G21" s="1"/>
  <c r="F19"/>
  <c r="M18" i="72"/>
  <c r="L18"/>
  <c r="K18"/>
  <c r="F18"/>
  <c r="E18"/>
  <c r="D18"/>
  <c r="Q16" i="91"/>
  <c r="P16"/>
  <c r="P17" s="1"/>
  <c r="O16"/>
  <c r="O17" s="1"/>
  <c r="N16"/>
  <c r="N17" s="1"/>
  <c r="M16"/>
  <c r="M17" s="1"/>
  <c r="L16"/>
  <c r="L17" s="1"/>
  <c r="K16"/>
  <c r="K17" s="1"/>
  <c r="J16"/>
  <c r="J17" s="1"/>
  <c r="I16"/>
  <c r="I17" s="1"/>
  <c r="H16"/>
  <c r="H17" s="1"/>
  <c r="G16"/>
  <c r="G17" s="1"/>
  <c r="F16"/>
  <c r="F17" s="1"/>
  <c r="P30"/>
  <c r="O30"/>
  <c r="N30"/>
  <c r="M30"/>
  <c r="L30"/>
  <c r="K30"/>
  <c r="J30"/>
  <c r="I30"/>
  <c r="H30"/>
  <c r="G30"/>
  <c r="F30"/>
  <c r="K14" i="105" l="1"/>
  <c r="K21" s="1"/>
  <c r="K22" s="1"/>
  <c r="M15" i="58" s="1"/>
  <c r="H21"/>
  <c r="M68" i="102"/>
  <c r="O68" s="1"/>
  <c r="O53"/>
  <c r="J70"/>
  <c r="F81"/>
  <c r="O64"/>
  <c r="N56"/>
  <c r="M69"/>
  <c r="N69"/>
  <c r="O54"/>
  <c r="J71"/>
  <c r="M71" s="1"/>
  <c r="J88" s="1"/>
  <c r="M56"/>
  <c r="L10" i="105"/>
  <c r="L20" s="1"/>
  <c r="J55" i="102"/>
  <c r="O38"/>
  <c r="F89"/>
  <c r="Q17" i="91"/>
  <c r="G34" i="107"/>
  <c r="K34"/>
  <c r="O34"/>
  <c r="S34"/>
  <c r="T32"/>
  <c r="T34" s="1"/>
  <c r="J20" i="69"/>
  <c r="J21" s="1"/>
  <c r="F21" i="58"/>
  <c r="H32" i="107"/>
  <c r="H34" s="1"/>
  <c r="L32"/>
  <c r="L34" s="1"/>
  <c r="P32"/>
  <c r="P34" s="1"/>
  <c r="O51" i="102"/>
  <c r="O56" s="1"/>
  <c r="F103"/>
  <c r="N71"/>
  <c r="I71"/>
  <c r="F32" i="107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F85" i="102"/>
  <c r="L14" i="105" l="1"/>
  <c r="L21" s="1"/>
  <c r="L22" s="1"/>
  <c r="N15" i="58" s="1"/>
  <c r="F88" i="102"/>
  <c r="F90" s="1"/>
  <c r="I73"/>
  <c r="J86"/>
  <c r="O69"/>
  <c r="N81"/>
  <c r="I81"/>
  <c r="M70"/>
  <c r="M73" s="1"/>
  <c r="N70"/>
  <c r="N73" s="1"/>
  <c r="J73"/>
  <c r="J85"/>
  <c r="M10" i="105"/>
  <c r="M14" s="1"/>
  <c r="I89" i="102"/>
  <c r="K14" i="104"/>
  <c r="M55" i="102"/>
  <c r="N55"/>
  <c r="E55"/>
  <c r="K12" i="58"/>
  <c r="I15" i="103" s="1"/>
  <c r="O71" i="102"/>
  <c r="I85"/>
  <c r="N85"/>
  <c r="I103"/>
  <c r="F120" s="1"/>
  <c r="N88" l="1"/>
  <c r="I88"/>
  <c r="F105" s="1"/>
  <c r="I105" s="1"/>
  <c r="J87"/>
  <c r="O70"/>
  <c r="O73" s="1"/>
  <c r="F98"/>
  <c r="O81"/>
  <c r="N86"/>
  <c r="M86"/>
  <c r="M20" i="105"/>
  <c r="M21" s="1"/>
  <c r="M22" s="1"/>
  <c r="O15" i="58" s="1"/>
  <c r="J72" i="102"/>
  <c r="O55"/>
  <c r="F106"/>
  <c r="L12" i="58"/>
  <c r="J15" i="103" s="1"/>
  <c r="I16"/>
  <c r="I18" s="1"/>
  <c r="I20" s="1"/>
  <c r="K13" i="58" s="1"/>
  <c r="I17" i="103"/>
  <c r="K20" i="69"/>
  <c r="K21" s="1"/>
  <c r="F102" i="102"/>
  <c r="I120"/>
  <c r="M88"/>
  <c r="B20" i="58"/>
  <c r="B21" s="1"/>
  <c r="I90" i="102" l="1"/>
  <c r="O88"/>
  <c r="J105"/>
  <c r="N105" s="1"/>
  <c r="O86"/>
  <c r="J103"/>
  <c r="N98"/>
  <c r="I98"/>
  <c r="F107"/>
  <c r="N87"/>
  <c r="N90" s="1"/>
  <c r="M87"/>
  <c r="J90"/>
  <c r="I106"/>
  <c r="L14" i="104"/>
  <c r="M72" i="102"/>
  <c r="N72"/>
  <c r="E72"/>
  <c r="J16" i="103"/>
  <c r="J18" s="1"/>
  <c r="J20" s="1"/>
  <c r="L13" i="58" s="1"/>
  <c r="J17" i="103"/>
  <c r="M85" i="102"/>
  <c r="F122"/>
  <c r="I102"/>
  <c r="M105" l="1"/>
  <c r="O105" s="1"/>
  <c r="M90"/>
  <c r="J102"/>
  <c r="M102" s="1"/>
  <c r="O87"/>
  <c r="J104"/>
  <c r="F115"/>
  <c r="I107"/>
  <c r="O98"/>
  <c r="N103"/>
  <c r="M103"/>
  <c r="J89"/>
  <c r="O72"/>
  <c r="F123"/>
  <c r="L20" i="69"/>
  <c r="L21" s="1"/>
  <c r="E89" i="102"/>
  <c r="M12" i="58"/>
  <c r="K15" i="103" s="1"/>
  <c r="F119" i="102"/>
  <c r="I122"/>
  <c r="O85"/>
  <c r="O90" s="1"/>
  <c r="B51" i="107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J122" i="102" l="1"/>
  <c r="N122" s="1"/>
  <c r="J119"/>
  <c r="O103"/>
  <c r="J120"/>
  <c r="N115"/>
  <c r="I115"/>
  <c r="F124"/>
  <c r="N104"/>
  <c r="M104"/>
  <c r="J107"/>
  <c r="N102"/>
  <c r="I123"/>
  <c r="M14" i="104"/>
  <c r="M89" i="102"/>
  <c r="N89"/>
  <c r="K17" i="103"/>
  <c r="K16"/>
  <c r="K18" s="1"/>
  <c r="K20" s="1"/>
  <c r="M13" i="58" s="1"/>
  <c r="N12"/>
  <c r="L15" i="103" s="1"/>
  <c r="E106" i="102"/>
  <c r="N119"/>
  <c r="I119"/>
  <c r="O102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M122" i="102" l="1"/>
  <c r="O122" s="1"/>
  <c r="N107"/>
  <c r="O104"/>
  <c r="O107" s="1"/>
  <c r="J121"/>
  <c r="M107"/>
  <c r="O115"/>
  <c r="I124"/>
  <c r="N120"/>
  <c r="M120"/>
  <c r="O120" s="1"/>
  <c r="J124"/>
  <c r="J106"/>
  <c r="O89"/>
  <c r="L16" i="103"/>
  <c r="L18" s="1"/>
  <c r="L20" s="1"/>
  <c r="N13" i="58" s="1"/>
  <c r="L17" i="103"/>
  <c r="M20" i="69"/>
  <c r="M21" s="1"/>
  <c r="B21" i="105"/>
  <c r="B22" s="1"/>
  <c r="B12" i="58"/>
  <c r="B13" s="1"/>
  <c r="B14" s="1"/>
  <c r="B15" s="1"/>
  <c r="B16" s="1"/>
  <c r="B17" s="1"/>
  <c r="N121" i="102" l="1"/>
  <c r="N124" s="1"/>
  <c r="M121"/>
  <c r="O121" s="1"/>
  <c r="M106"/>
  <c r="N106"/>
  <c r="M119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M124" i="102" l="1"/>
  <c r="J123"/>
  <c r="O106"/>
  <c r="E123"/>
  <c r="O12" i="58"/>
  <c r="M15" i="103" s="1"/>
  <c r="O119" i="102"/>
  <c r="O124" s="1"/>
  <c r="B9" i="57"/>
  <c r="B10" s="1"/>
  <c r="B11" s="1"/>
  <c r="B12" s="1"/>
  <c r="M123" i="102" l="1"/>
  <c r="O123" s="1"/>
  <c r="N123"/>
  <c r="M16" i="103"/>
  <c r="M18" s="1"/>
  <c r="M20" s="1"/>
  <c r="O13" i="58" s="1"/>
  <c r="M17" i="103"/>
  <c r="B13" i="57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I14" i="58"/>
  <c r="I17" s="1"/>
  <c r="I22" l="1"/>
  <c r="G15" i="104" s="1"/>
  <c r="G18" s="1"/>
  <c r="I23" i="58"/>
  <c r="F14" l="1"/>
  <c r="F17" l="1"/>
  <c r="F22" l="1"/>
  <c r="D15" i="104" s="1"/>
  <c r="D18" s="1"/>
  <c r="F23" i="58"/>
  <c r="G14"/>
  <c r="H14"/>
  <c r="J14"/>
  <c r="K14"/>
  <c r="L14"/>
  <c r="M14"/>
  <c r="N14"/>
  <c r="O14"/>
  <c r="G17"/>
  <c r="H17"/>
  <c r="J17"/>
  <c r="K17"/>
  <c r="L17"/>
  <c r="M17"/>
  <c r="N17"/>
  <c r="O17"/>
  <c r="G22"/>
  <c r="H22"/>
  <c r="J22"/>
  <c r="K22"/>
  <c r="L22"/>
  <c r="M22"/>
  <c r="N22"/>
  <c r="O22"/>
  <c r="G23"/>
  <c r="H23"/>
  <c r="J23"/>
  <c r="K23"/>
  <c r="L23"/>
  <c r="M23"/>
  <c r="N23"/>
  <c r="O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<sst xmlns="http://schemas.openxmlformats.org/spreadsheetml/2006/main" count="1536" uniqueCount="552">
  <si>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</si>
  <si>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</si>
  <si>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</si>
  <si>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</si>
  <si>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</si>
  <si>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</si>
  <si>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</si>
  <si>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</si>
  <si>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</si>
  <si>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</si>
  <si>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</si>
  <si>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</si>
  <si>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</si>
  <si>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</si>
  <si>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</si>
  <si>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</si>
  <si>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</si>
  <si>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</si>
  <si>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</si>
  <si>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</si>
  <si>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</si>
  <si>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</si>
  <si>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</si>
  <si>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</si>
  <si>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</si>
  <si>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</si>
  <si>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</si>
  <si>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</si>
  <si>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</si>
  <si>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</si>
  <si>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</si>
  <si>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</si>
  <si>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</si>
  <si>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</si>
  <si>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</si>
  <si>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</si>
  <si>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</si>
  <si>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</si>
  <si>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</si>
  <si>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</si>
  <si>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</si>
  <si>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</si>
  <si>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</si>
  <si>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</si>
  <si>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</si>
  <si>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</si>
  <si>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</si>
  <si>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</si>
  <si>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</si>
  <si>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</si>
  <si>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</si>
  <si>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</si>
  <si>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</si>
  <si>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</si>
  <si>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</si>
  <si>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</si>
  <si>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</si>
  <si>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</si>
  <si>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</si>
  <si>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</si>
  <si>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</si>
  <si>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</si>
  <si>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</si>
  <si>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</si>
  <si>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</si>
  <si>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</si>
  <si>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</si>
  <si>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</si>
  <si>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</si>
  <si>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</si>
  <si>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</si>
  <si>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</si>
  <si>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</si>
  <si>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</si>
  <si>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</si>
  <si>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</si>
  <si>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</si>
  <si>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</si>
  <si>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</si>
  <si>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</si>
  <si>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</si>
  <si>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</si>
  <si>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</si>
  <si>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</si>
  <si>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</si>
  <si>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</si>
  <si>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</si>
  <si>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</si>
  <si>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</si>
  <si>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</si>
  <si>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</si>
  <si>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</si>
  <si>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</si>
  <si>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</si>
  <si>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</si>
  <si>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</si>
  <si>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</si>
  <si>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</si>
  <si>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</si>
  <si>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</si>
  <si>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</si>
  <si>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</si>
  <si>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</si>
  <si>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</si>
  <si>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</si>
  <si>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</si>
  <si>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</si>
  <si>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</si>
  <si>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</si>
  <si>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</si>
  <si>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</si>
  <si>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</si>
  <si>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</si>
  <si>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</si>
  <si>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</si>
  <si>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</si>
  <si>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</si>
  <si>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</si>
  <si>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</si>
  <si>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</si>
  <si>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</si>
  <si>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</si>
  <si>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</si>
  <si>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</si>
  <si>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</si>
  <si>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</si>
  <si>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</si>
  <si>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</si>
  <si>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</si>
  <si>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</si>
  <si>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</si>
  <si>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</si>
  <si>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</si>
  <si>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</si>
  <si>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</si>
  <si>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</si>
  <si>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</si>
  <si>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</si>
  <si>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</si>
  <si>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</si>
  <si>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</si>
  <si>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</si>
  <si>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</si>
  <si>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</si>
  <si>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</si>
  <si>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</si>
  <si>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</si>
  <si>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</si>
  <si>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</si>
  <si>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</si>
  <si>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</si>
  <si>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</si>
  <si>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</si>
  <si>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</si>
  <si>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</si>
  <si>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</si>
  <si>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</si>
  <si>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</si>
  <si>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</si>
  <si>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</si>
  <si>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</si>
  <si>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</si>
  <si>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</si>
  <si>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</si>
  <si>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</si>
  <si>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</si>
  <si>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</si>
  <si>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</si>
  <si>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</si>
  <si>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</si>
  <si>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</si>
  <si>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</si>
  <si>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</si>
  <si>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</si>
  <si>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</si>
  <si>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</si>
  <si>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</si>
  <si>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</si>
  <si>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</si>
  <si>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</si>
  <si>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</si>
  <si>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</si>
  <si>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</si>
  <si>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</si>
  <si>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</si>
  <si>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</si>
  <si>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</si>
  <si>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</si>
  <si>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</si>
  <si>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</si>
  <si>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</si>
  <si>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</si>
  <si>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</si>
  <si>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</si>
  <si>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</si>
  <si>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</si>
  <si>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</si>
  <si>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</si>
  <si>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</si>
  <si>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</si>
  <si>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</si>
  <si>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</si>
  <si>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</si>
  <si>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</si>
  <si>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</si>
  <si>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</si>
  <si>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</si>
  <si>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</si>
  <si>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</si>
  <si>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</si>
  <si>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</si>
  <si>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</si>
  <si>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</si>
  <si>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</si>
  <si>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</si>
  <si>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</si>
  <si>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</si>
  <si>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</si>
  <si>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</si>
  <si>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</si>
  <si>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</si>
  <si>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</si>
  <si>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</si>
  <si>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</si>
  <si>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</si>
  <si>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</si>
  <si>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</si>
  <si>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</si>
  <si>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</si>
  <si>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</si>
  <si>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</si>
  <si>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</si>
  <si>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</si>
  <si>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</si>
  <si>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</si>
  <si>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</si>
  <si>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</si>
  <si>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</si>
  <si>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</si>
  <si>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</si>
  <si>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</si>
  <si>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</si>
  <si>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</si>
  <si>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</si>
  <si>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</si>
  <si>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</si>
  <si>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</si>
  <si>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</si>
  <si>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</si>
  <si>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</si>
  <si>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</si>
  <si>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</si>
  <si>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</si>
  <si>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</si>
  <si>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</si>
  <si>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</si>
  <si>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</si>
  <si>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</si>
  <si>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</si>
  <si>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</si>
  <si>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</si>
  <si>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</si>
  <si>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</si>
  <si>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</si>
  <si>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</si>
  <si>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</si>
  <si>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</si>
  <si>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</si>
  <si>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</si>
  <si>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</si>
  <si>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</si>
  <si>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</si>
  <si>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</si>
  <si>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</si>
  <si>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</si>
  <si>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</si>
  <si>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</si>
  <si>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</si>
  <si>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</si>
  <si>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</si>
  <si>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Year (n+1)</t>
  </si>
  <si>
    <t>Year (n+2)</t>
  </si>
  <si>
    <t>Year (n+3)</t>
  </si>
  <si>
    <t>Year (n+4)</t>
  </si>
  <si>
    <t>Year (n+5)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</si>
  <si>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</si>
  <si>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</si>
  <si>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</si>
  <si>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</si>
  <si>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</si>
  <si>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</si>
  <si>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</si>
  <si>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</si>
  <si>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</si>
  <si>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</si>
  <si>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</si>
  <si>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</si>
  <si>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</si>
  <si>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</si>
  <si>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</si>
  <si>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</si>
  <si>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</si>
  <si>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</si>
  <si>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</si>
  <si>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</si>
  <si>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</si>
  <si>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</si>
  <si>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</si>
  <si>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</si>
  <si>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</si>
  <si>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</si>
  <si>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</si>
  <si>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</si>
  <si>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</si>
  <si>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</si>
  <si>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</si>
  <si>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</si>
  <si>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</si>
  <si>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</si>
  <si>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</si>
  <si>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</si>
  <si>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</si>
  <si>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</si>
  <si>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</si>
  <si>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</si>
  <si>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</si>
  <si>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</si>
  <si>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</si>
  <si>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</si>
  <si>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</si>
  <si>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</si>
  <si>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</si>
  <si>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</si>
  <si>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</si>
  <si>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</si>
  <si>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</si>
  <si>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</si>
  <si>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</si>
  <si>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</si>
  <si>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</si>
  <si>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</si>
  <si>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</si>
  <si>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Value ot stock</t>
  </si>
  <si>
    <t>MT</t>
  </si>
  <si>
    <t>Procurement</t>
  </si>
  <si>
    <t>Normative transit and handling loss</t>
  </si>
  <si>
    <t>Price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</si>
  <si>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</si>
  <si>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</si>
  <si>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</si>
  <si>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</si>
  <si>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</si>
  <si>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</si>
  <si>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</si>
  <si>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</si>
  <si>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Demurrage charges, if any</t>
  </si>
  <si>
    <t>Total Transportation charges (12+13+14+15)</t>
  </si>
  <si>
    <t>E</t>
  </si>
  <si>
    <t>Rs./MT</t>
  </si>
  <si>
    <t>Blending Ratio (Domestic/Imported)</t>
  </si>
  <si>
    <t>F</t>
  </si>
  <si>
    <t>Quality</t>
  </si>
  <si>
    <t>kcal/kg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</si>
  <si>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</si>
  <si>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</si>
  <si>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</si>
  <si>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</si>
  <si>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</si>
  <si>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</si>
  <si>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</si>
  <si>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</si>
  <si>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</si>
  <si>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</si>
  <si>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</si>
  <si>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</si>
  <si>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</si>
  <si>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</si>
  <si>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</si>
  <si>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</si>
  <si>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</si>
  <si>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</si>
  <si>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</si>
  <si>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</si>
  <si>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</si>
  <si>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</si>
  <si>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</si>
  <si>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</si>
  <si>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</si>
  <si>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</si>
  <si>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</si>
  <si>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</si>
  <si>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</si>
  <si>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</si>
  <si>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</si>
  <si>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</si>
  <si>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</si>
  <si>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</si>
  <si>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</si>
  <si>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</si>
  <si>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</si>
  <si>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</si>
  <si>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</si>
  <si>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</si>
  <si>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</si>
  <si>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</si>
  <si>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</si>
  <si>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</si>
  <si>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</si>
  <si>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</si>
  <si>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</si>
  <si>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</si>
  <si>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</si>
  <si>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</si>
  <si>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</si>
  <si>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</si>
  <si>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</si>
  <si>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</si>
  <si>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</si>
  <si>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</si>
  <si>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</si>
  <si>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</si>
  <si>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</si>
  <si>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</si>
  <si>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</si>
  <si>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</si>
  <si>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</si>
  <si>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</si>
  <si>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</si>
  <si>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</si>
  <si>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</si>
  <si>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</si>
  <si>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</si>
  <si>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</si>
  <si>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t>MYT/ Tariff Order</t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</si>
  <si>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</si>
  <si>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</si>
  <si>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</si>
  <si>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Opening quantity of oil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</si>
  <si>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</si>
  <si>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</si>
  <si>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</si>
  <si>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</si>
  <si>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</si>
  <si>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</si>
  <si>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</si>
  <si>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Total amount charged for oil supplied including transportation (11+16)</t>
  </si>
  <si>
    <t>Landed cost of oil (2+17)/(1+7)</t>
  </si>
  <si>
    <t>Weighted average cost of oil for preceding three months</t>
  </si>
  <si>
    <t>GCV of Domestic oil supplied as per bill of oil Company</t>
  </si>
  <si>
    <t>GCV of Imported oil supplied as per bill oil Company</t>
  </si>
  <si>
    <t>Weighted average GCV of oil as Billed</t>
  </si>
  <si>
    <t>GCV of Domestic oil of the opening stock as received at
Station</t>
  </si>
  <si>
    <t>GCV of Domestic oil supplied as received at Station</t>
  </si>
  <si>
    <t>GCV of Imported oil of opening stock as received at Station</t>
  </si>
  <si>
    <t>Weighted average GCV of oil as Received</t>
  </si>
  <si>
    <t>Opening quantity of coal</t>
  </si>
  <si>
    <t>Quantity of coal suppllied by the coal company</t>
  </si>
  <si>
    <t>Adjustment in coal quantity supplied by the coal company (-/+)</t>
  </si>
  <si>
    <t>Coal supplied by coal company (3+4)</t>
  </si>
  <si>
    <t>Net coal supplied</t>
  </si>
  <si>
    <t>Amount charged by coal company</t>
  </si>
  <si>
    <t>Adjustment in amount charged by the coal company</t>
  </si>
  <si>
    <t>Adjustment in amount charged by the coal transporter</t>
  </si>
  <si>
    <t>Cost of diesel in transporting coal through MGR system, if applicable</t>
  </si>
  <si>
    <t>Total amount charged for coal supplied including transportation (11+16)</t>
  </si>
  <si>
    <t>Landed cost of coal (2+17)/(1+7)</t>
  </si>
  <si>
    <t>Weighted average cost of coal for preceding three months</t>
  </si>
  <si>
    <t>GCV of Domestic Coal of the opening coal stock as per bill of Coal Company</t>
  </si>
  <si>
    <t>GCV of Domestic Coal supplied as per bill of Coal Company</t>
  </si>
  <si>
    <t>GCV of Imported Coal of the opening stock as per bill Coal Company</t>
  </si>
  <si>
    <t>GCV of Imported Coal supplied as per bill Coal Company</t>
  </si>
  <si>
    <t>Weighted average GCV of coal as Billed</t>
  </si>
  <si>
    <t>GCV of Domestic Coal of the opening stock as received at Station</t>
  </si>
  <si>
    <t>GCV of Domestic Coal supplied as received at Station</t>
  </si>
  <si>
    <t>GCV of Imported Coal of opening stock as received at Station</t>
  </si>
  <si>
    <t>Weighted average GCV of coal as Received</t>
  </si>
  <si>
    <t>Water Charges</t>
  </si>
  <si>
    <t>Fuel (savings)/charge year end adjustment</t>
  </si>
  <si>
    <t>Difference bill issued after MTR order</t>
  </si>
  <si>
    <t>TSSPDCL (70.55%)</t>
  </si>
  <si>
    <t>TSNPDCL (29.45%)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</si>
  <si>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</si>
  <si>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</si>
  <si>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</si>
  <si>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</si>
  <si>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</si>
  <si>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</si>
  <si>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</si>
  <si>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Rs.in Crs</t>
  </si>
  <si>
    <t>Year (2022-23)</t>
  </si>
  <si>
    <t>2023-24</t>
  </si>
  <si>
    <t>2024-25</t>
  </si>
  <si>
    <t>2025-26</t>
  </si>
  <si>
    <t>2026-27</t>
  </si>
  <si>
    <t>2027-28</t>
  </si>
  <si>
    <t>2028-29</t>
  </si>
  <si>
    <t>Land &amp; Land Rights</t>
  </si>
  <si>
    <t>Lines and Cable Network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</si>
  <si>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</si>
  <si>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</si>
  <si>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</si>
  <si>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</si>
  <si>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</si>
  <si>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</si>
  <si>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FY 2019-20</t>
  </si>
  <si>
    <t>FY 2020-21</t>
  </si>
  <si>
    <t>FY 2021-22</t>
  </si>
  <si>
    <t>14.09.2010</t>
  </si>
  <si>
    <t>Non-Pit head</t>
  </si>
  <si>
    <t>KL</t>
  </si>
  <si>
    <t>Rs./KL</t>
  </si>
  <si>
    <t>&lt;KTPP-I&gt;</t>
  </si>
  <si>
    <t>KTPP-I</t>
  </si>
  <si>
    <t>Year (n-1) (FY 2022-23)</t>
  </si>
  <si>
    <t>Current Year 'n' (FY 2023-24)</t>
  </si>
  <si>
    <t xml:space="preserve"> (FY 2022-23)</t>
  </si>
  <si>
    <t>Current Year 'n' ( FY 2023-24)</t>
  </si>
  <si>
    <t>Previous Year (n-1)  FY 2022-23</t>
  </si>
  <si>
    <t>FURNITURE&amp; FIXTURES</t>
  </si>
  <si>
    <t>COMPUTERS</t>
  </si>
  <si>
    <t>OFFICE EQUIPMENT</t>
  </si>
  <si>
    <t>LAND DEPOSITS FOR ACQUISATION OF LAND AT KTPP</t>
  </si>
  <si>
    <t>Lines &amp; Cable Network</t>
  </si>
  <si>
    <t>TOTAL</t>
  </si>
  <si>
    <t>Cosl Cost/kwh</t>
  </si>
  <si>
    <t>Rs/kwh</t>
  </si>
  <si>
    <t>Oil Cost/kwh</t>
  </si>
  <si>
    <t>Receivables1</t>
  </si>
  <si>
    <t>Payables for Fuels2</t>
  </si>
  <si>
    <t>&lt;TGGENCO&gt;</t>
  </si>
  <si>
    <t>TGGENCO</t>
  </si>
  <si>
    <t>Land Deposits</t>
  </si>
  <si>
    <t>Flexibilisation of Thermal Units to 40% TML</t>
  </si>
  <si>
    <t>Form 2.3: Repair &amp; Maintenance Expenses</t>
  </si>
  <si>
    <t>Form 3:  Summary of Capital Expenditure and Capitalisation</t>
  </si>
  <si>
    <t>IT Initiaives</t>
  </si>
  <si>
    <t>The deitals are attached as Annexure</t>
  </si>
  <si>
    <t>Raising of existing Ash pond bund including three wells from EL (+) 182.70 M to EL (+) 187.70 M.</t>
  </si>
  <si>
    <t>* Energy Charges provisionally computed for next control period FY 2024-25 to FY 2028-29 based on actual weighted average cost of primary fuel and secondary fuel during January-24, February-24 and March-24 with 2% escalation year on year. However, actual energy charges shall be claimed as per TGERC regulation 2 of 2023.</t>
  </si>
  <si>
    <t>Form 1: Summary Sheet</t>
  </si>
  <si>
    <t>Form 2.1:  Employee Expenses</t>
  </si>
  <si>
    <t>Form 2.2 : Administration &amp; General Expenses</t>
  </si>
  <si>
    <t xml:space="preserve"> Form 5:Interest and finance charges on loan</t>
  </si>
  <si>
    <t>Form 6:Interest on working capital</t>
  </si>
  <si>
    <t>Form 7: Return on Equity</t>
  </si>
  <si>
    <t>Form  8: Non-Tariff Income</t>
  </si>
  <si>
    <t>Form  10: Operational parameters</t>
  </si>
  <si>
    <t>Form 11.1 : Fuel Details for computation of Energy Charge Rate</t>
  </si>
  <si>
    <t>Cost of diesel in transporting oil through MGR system, if applicable</t>
  </si>
  <si>
    <t>GCV of Domestic oil of the opening oil stock as per bill of oil Company</t>
  </si>
  <si>
    <t>GCV of Imported oil of the opening stock as per bill oil Company</t>
  </si>
  <si>
    <t>p</t>
  </si>
</sst>
</file>

<file path=xl/styles.xml><?xml version="1.0" encoding="utf-8"?>
<styleSheet xmlns="http://schemas.openxmlformats.org/spreadsheetml/2006/main">
  <numFmts count="11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"/>
    <numFmt numFmtId="169" formatCode="0.000%"/>
    <numFmt numFmtId="170" formatCode="0.0000"/>
    <numFmt numFmtId="171" formatCode="0.000000"/>
    <numFmt numFmtId="172" formatCode="0.0000000"/>
    <numFmt numFmtId="173" formatCode="0.0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3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30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4" fillId="0" borderId="0" applyFont="0" applyFill="0" applyBorder="0" applyAlignment="0" applyProtection="0"/>
  </cellStyleXfs>
  <cellXfs count="333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6" borderId="4" xfId="14" applyFont="1" applyFill="1" applyBorder="1" applyAlignment="1">
      <alignment horizontal="center" vertical="center"/>
    </xf>
    <xf numFmtId="0" fontId="13" fillId="6" borderId="4" xfId="14" applyFont="1" applyFill="1" applyBorder="1">
      <alignment vertical="center"/>
    </xf>
    <xf numFmtId="0" fontId="8" fillId="6" borderId="4" xfId="14" applyFont="1" applyFill="1" applyBorder="1" applyAlignment="1">
      <alignment horizontal="left" vertical="center"/>
    </xf>
    <xf numFmtId="0" fontId="8" fillId="0" borderId="0" xfId="10" applyFont="1"/>
    <xf numFmtId="0" fontId="8" fillId="5" borderId="0" xfId="14" applyFont="1" applyFill="1">
      <alignment vertical="center"/>
    </xf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21" fillId="0" borderId="0" xfId="14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0" xfId="14" applyFont="1" applyAlignment="1">
      <alignment horizontal="center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21" fillId="0" borderId="0" xfId="10" applyFont="1" applyAlignment="1">
      <alignment horizontal="center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16" fillId="4" borderId="4" xfId="68" applyFont="1" applyFill="1" applyBorder="1" applyAlignment="1">
      <alignment horizontal="left" vertical="center" wrapText="1"/>
    </xf>
    <xf numFmtId="0" fontId="21" fillId="4" borderId="4" xfId="68" applyFont="1" applyFill="1" applyBorder="1" applyAlignment="1">
      <alignment horizontal="center" vertical="center"/>
    </xf>
    <xf numFmtId="10" fontId="16" fillId="4" borderId="4" xfId="39" applyNumberFormat="1" applyFont="1" applyFill="1" applyBorder="1" applyAlignment="1">
      <alignment horizontal="center" vertical="center"/>
    </xf>
    <xf numFmtId="2" fontId="16" fillId="4" borderId="4" xfId="68" applyNumberFormat="1" applyFont="1" applyFill="1" applyBorder="1" applyAlignment="1">
      <alignment horizontal="center" vertical="center"/>
    </xf>
    <xf numFmtId="2" fontId="16" fillId="0" borderId="4" xfId="68" applyNumberFormat="1" applyFont="1" applyBorder="1" applyAlignment="1">
      <alignment horizontal="center" vertical="center"/>
    </xf>
    <xf numFmtId="2" fontId="16" fillId="4" borderId="4" xfId="19" applyNumberFormat="1" applyFont="1" applyFill="1" applyBorder="1" applyAlignment="1">
      <alignment horizontal="center" vertical="center"/>
    </xf>
    <xf numFmtId="0" fontId="16" fillId="4" borderId="4" xfId="68" applyFont="1" applyFill="1" applyBorder="1" applyAlignment="1">
      <alignment horizontal="left" vertical="center"/>
    </xf>
    <xf numFmtId="10" fontId="23" fillId="0" borderId="4" xfId="39" applyNumberFormat="1" applyFont="1" applyFill="1" applyBorder="1" applyAlignment="1">
      <alignment horizontal="center" vertical="center"/>
    </xf>
    <xf numFmtId="0" fontId="16" fillId="4" borderId="12" xfId="68" applyFont="1" applyFill="1" applyBorder="1" applyAlignment="1">
      <alignment horizontal="center" vertical="center"/>
    </xf>
    <xf numFmtId="0" fontId="21" fillId="4" borderId="13" xfId="68" applyFont="1" applyFill="1" applyBorder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21" fillId="0" borderId="6" xfId="14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5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16" fillId="4" borderId="0" xfId="10" applyFont="1" applyFill="1" applyAlignment="1">
      <alignment vertical="center" wrapText="1"/>
    </xf>
    <xf numFmtId="0" fontId="16" fillId="0" borderId="0" xfId="14" applyFont="1" applyAlignment="1">
      <alignment horizontal="centerContinuous" vertical="center"/>
    </xf>
    <xf numFmtId="0" fontId="21" fillId="0" borderId="4" xfId="14" applyFont="1" applyBorder="1" applyAlignment="1">
      <alignment horizontal="left" vertical="center" wrapText="1"/>
    </xf>
    <xf numFmtId="0" fontId="16" fillId="0" borderId="4" xfId="14" quotePrefix="1" applyFont="1" applyBorder="1" applyAlignment="1">
      <alignment horizontal="center" vertical="center" wrapText="1"/>
    </xf>
    <xf numFmtId="0" fontId="16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 wrapText="1"/>
    </xf>
    <xf numFmtId="0" fontId="24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vertical="center" wrapText="1"/>
    </xf>
    <xf numFmtId="0" fontId="21" fillId="0" borderId="4" xfId="14" applyFont="1" applyBorder="1" applyAlignment="1">
      <alignment vertical="center" wrapText="1"/>
    </xf>
    <xf numFmtId="0" fontId="21" fillId="0" borderId="0" xfId="14" applyFont="1" applyAlignment="1">
      <alignment horizontal="left" vertical="center" wrapText="1"/>
    </xf>
    <xf numFmtId="0" fontId="16" fillId="0" borderId="0" xfId="14" quotePrefix="1" applyFont="1" applyAlignment="1">
      <alignment horizontal="center" vertical="center" wrapText="1"/>
    </xf>
    <xf numFmtId="0" fontId="16" fillId="0" borderId="0" xfId="10" applyFont="1" applyAlignment="1">
      <alignment horizontal="center" vertical="center" wrapText="1"/>
    </xf>
    <xf numFmtId="0" fontId="25" fillId="0" borderId="0" xfId="10" applyFont="1" applyAlignment="1">
      <alignment horizontal="left" vertical="center"/>
    </xf>
    <xf numFmtId="0" fontId="16" fillId="0" borderId="0" xfId="10" applyFont="1" applyAlignment="1">
      <alignment horizontal="justify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7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0" fontId="21" fillId="6" borderId="4" xfId="0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vertical="center"/>
    </xf>
    <xf numFmtId="2" fontId="21" fillId="0" borderId="4" xfId="10" applyNumberFormat="1" applyFont="1" applyBorder="1" applyAlignment="1">
      <alignment horizontal="center" vertical="center" wrapText="1"/>
    </xf>
    <xf numFmtId="2" fontId="16" fillId="0" borderId="4" xfId="10" applyNumberFormat="1" applyFont="1" applyBorder="1" applyAlignment="1">
      <alignment horizontal="center" vertical="center" wrapText="1"/>
    </xf>
    <xf numFmtId="2" fontId="21" fillId="6" borderId="4" xfId="10" applyNumberFormat="1" applyFont="1" applyFill="1" applyBorder="1" applyAlignment="1">
      <alignment horizontal="center"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2" fontId="21" fillId="6" borderId="4" xfId="68" applyNumberFormat="1" applyFont="1" applyFill="1" applyBorder="1" applyAlignment="1">
      <alignment horizontal="center" vertical="center"/>
    </xf>
    <xf numFmtId="2" fontId="21" fillId="6" borderId="4" xfId="19" applyNumberFormat="1" applyFont="1" applyFill="1" applyBorder="1" applyAlignment="1">
      <alignment horizontal="center" vertical="center"/>
    </xf>
    <xf numFmtId="10" fontId="21" fillId="6" borderId="13" xfId="68" applyNumberFormat="1" applyFont="1" applyFill="1" applyBorder="1" applyAlignment="1">
      <alignment horizontal="center" vertical="center"/>
    </xf>
    <xf numFmtId="2" fontId="21" fillId="6" borderId="13" xfId="19" applyNumberFormat="1" applyFont="1" applyFill="1" applyBorder="1" applyAlignment="1">
      <alignment horizontal="center" vertical="center"/>
    </xf>
    <xf numFmtId="2" fontId="21" fillId="6" borderId="18" xfId="19" applyNumberFormat="1" applyFont="1" applyFill="1" applyBorder="1" applyAlignment="1">
      <alignment horizontal="center" vertical="center"/>
    </xf>
    <xf numFmtId="2" fontId="21" fillId="6" borderId="17" xfId="19" applyNumberFormat="1" applyFont="1" applyFill="1" applyBorder="1" applyAlignment="1">
      <alignment horizontal="center"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10" fontId="16" fillId="0" borderId="4" xfId="10" applyNumberFormat="1" applyFont="1" applyBorder="1" applyAlignment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0" fontId="16" fillId="0" borderId="4" xfId="10" applyFont="1" applyBorder="1" applyAlignment="1">
      <alignment horizontal="right" vertical="center" wrapText="1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2" fontId="16" fillId="6" borderId="4" xfId="10" applyNumberFormat="1" applyFont="1" applyFill="1" applyBorder="1" applyAlignment="1">
      <alignment horizontal="center" vertical="center"/>
    </xf>
    <xf numFmtId="2" fontId="16" fillId="6" borderId="4" xfId="10" applyNumberFormat="1" applyFont="1" applyFill="1" applyBorder="1" applyAlignment="1">
      <alignment horizontal="center" vertical="center" wrapText="1"/>
    </xf>
    <xf numFmtId="0" fontId="16" fillId="0" borderId="4" xfId="0" applyFont="1" applyBorder="1"/>
    <xf numFmtId="0" fontId="26" fillId="0" borderId="4" xfId="0" applyFont="1" applyBorder="1"/>
    <xf numFmtId="2" fontId="16" fillId="0" borderId="4" xfId="10" applyNumberFormat="1" applyFont="1" applyBorder="1" applyAlignment="1">
      <alignment vertical="top" wrapText="1"/>
    </xf>
    <xf numFmtId="2" fontId="28" fillId="0" borderId="4" xfId="10" applyNumberFormat="1" applyFont="1" applyBorder="1" applyAlignment="1">
      <alignment horizontal="center" vertical="center"/>
    </xf>
    <xf numFmtId="168" fontId="28" fillId="0" borderId="4" xfId="10" applyNumberFormat="1" applyFont="1" applyBorder="1" applyAlignment="1">
      <alignment horizontal="right" vertical="center"/>
    </xf>
    <xf numFmtId="2" fontId="28" fillId="0" borderId="4" xfId="10" applyNumberFormat="1" applyFont="1" applyBorder="1" applyAlignment="1">
      <alignment horizontal="right" vertical="center"/>
    </xf>
    <xf numFmtId="2" fontId="21" fillId="0" borderId="4" xfId="10" applyNumberFormat="1" applyFont="1" applyBorder="1" applyAlignment="1">
      <alignment horizontal="right" vertical="center"/>
    </xf>
    <xf numFmtId="1" fontId="9" fillId="0" borderId="4" xfId="0" applyNumberFormat="1" applyFont="1" applyBorder="1" applyAlignment="1">
      <alignment vertical="center"/>
    </xf>
    <xf numFmtId="2" fontId="9" fillId="0" borderId="4" xfId="0" applyNumberFormat="1" applyFont="1" applyBorder="1" applyAlignment="1">
      <alignment vertical="center"/>
    </xf>
    <xf numFmtId="2" fontId="16" fillId="0" borderId="0" xfId="14" applyNumberFormat="1" applyFont="1">
      <alignment vertical="center"/>
    </xf>
    <xf numFmtId="0" fontId="9" fillId="0" borderId="4" xfId="0" applyFont="1" applyBorder="1" applyAlignment="1">
      <alignment horizontal="center" vertical="center"/>
    </xf>
    <xf numFmtId="168" fontId="16" fillId="0" borderId="4" xfId="0" applyNumberFormat="1" applyFont="1" applyBorder="1" applyAlignment="1">
      <alignment vertical="center"/>
    </xf>
    <xf numFmtId="0" fontId="16" fillId="7" borderId="0" xfId="14" applyFont="1" applyFill="1">
      <alignment vertical="center"/>
    </xf>
    <xf numFmtId="0" fontId="0" fillId="0" borderId="4" xfId="0" applyBorder="1" applyAlignment="1">
      <alignment wrapText="1"/>
    </xf>
    <xf numFmtId="2" fontId="16" fillId="0" borderId="0" xfId="10" applyNumberFormat="1" applyFont="1" applyAlignment="1">
      <alignment vertical="center"/>
    </xf>
    <xf numFmtId="169" fontId="16" fillId="0" borderId="9" xfId="14" applyNumberFormat="1" applyFont="1" applyBorder="1">
      <alignment vertical="center"/>
    </xf>
    <xf numFmtId="43" fontId="16" fillId="0" borderId="4" xfId="110" applyFont="1" applyBorder="1" applyAlignment="1">
      <alignment vertical="center"/>
    </xf>
    <xf numFmtId="43" fontId="16" fillId="0" borderId="4" xfId="111" applyFont="1" applyBorder="1" applyAlignment="1">
      <alignment vertical="center"/>
    </xf>
    <xf numFmtId="43" fontId="16" fillId="0" borderId="4" xfId="111" applyFont="1" applyBorder="1" applyAlignment="1">
      <alignment horizontal="right" vertical="center"/>
    </xf>
    <xf numFmtId="43" fontId="16" fillId="0" borderId="4" xfId="110" applyFont="1" applyBorder="1" applyAlignment="1">
      <alignment horizontal="center" vertical="center" wrapText="1"/>
    </xf>
    <xf numFmtId="43" fontId="16" fillId="0" borderId="4" xfId="110" applyFont="1" applyBorder="1" applyAlignment="1">
      <alignment horizontal="left" vertical="center"/>
    </xf>
    <xf numFmtId="2" fontId="16" fillId="0" borderId="4" xfId="14" applyNumberFormat="1" applyFont="1" applyBorder="1" applyAlignment="1">
      <alignment horizontal="center" vertical="center" wrapText="1"/>
    </xf>
    <xf numFmtId="0" fontId="13" fillId="0" borderId="4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2" fontId="21" fillId="0" borderId="4" xfId="19" applyNumberFormat="1" applyFont="1" applyFill="1" applyBorder="1" applyAlignment="1">
      <alignment horizontal="center" vertical="center"/>
    </xf>
    <xf numFmtId="2" fontId="16" fillId="0" borderId="4" xfId="14" applyNumberFormat="1" applyFont="1" applyBorder="1" applyAlignment="1">
      <alignment horizontal="right" vertical="center"/>
    </xf>
    <xf numFmtId="0" fontId="21" fillId="4" borderId="8" xfId="68" applyFont="1" applyFill="1" applyBorder="1" applyAlignment="1">
      <alignment horizontal="center" vertical="center" wrapText="1"/>
    </xf>
    <xf numFmtId="0" fontId="21" fillId="4" borderId="20" xfId="68" applyFont="1" applyFill="1" applyBorder="1" applyAlignment="1">
      <alignment horizontal="center" vertical="center" wrapText="1"/>
    </xf>
    <xf numFmtId="0" fontId="16" fillId="4" borderId="4" xfId="68" applyFont="1" applyFill="1" applyBorder="1" applyAlignment="1">
      <alignment horizontal="center" vertical="center"/>
    </xf>
    <xf numFmtId="10" fontId="16" fillId="4" borderId="4" xfId="68" applyNumberFormat="1" applyFont="1" applyFill="1" applyBorder="1" applyAlignment="1">
      <alignment horizontal="center" vertical="center"/>
    </xf>
    <xf numFmtId="2" fontId="21" fillId="0" borderId="4" xfId="68" applyNumberFormat="1" applyFont="1" applyBorder="1" applyAlignment="1">
      <alignment horizontal="center" vertical="center"/>
    </xf>
    <xf numFmtId="0" fontId="13" fillId="0" borderId="0" xfId="10" applyFont="1" applyAlignment="1">
      <alignment horizontal="left" vertical="center"/>
    </xf>
    <xf numFmtId="0" fontId="8" fillId="0" borderId="0" xfId="10" applyFont="1" applyAlignment="1">
      <alignment vertical="center"/>
    </xf>
    <xf numFmtId="0" fontId="13" fillId="0" borderId="0" xfId="10" applyFont="1" applyAlignment="1">
      <alignment horizontal="right" vertical="center"/>
    </xf>
    <xf numFmtId="0" fontId="8" fillId="0" borderId="7" xfId="10" applyFont="1" applyBorder="1" applyAlignment="1">
      <alignment horizontal="center" vertical="center"/>
    </xf>
    <xf numFmtId="0" fontId="8" fillId="0" borderId="4" xfId="10" applyFont="1" applyBorder="1" applyAlignment="1">
      <alignment vertical="center"/>
    </xf>
    <xf numFmtId="2" fontId="8" fillId="0" borderId="4" xfId="10" applyNumberFormat="1" applyFont="1" applyBorder="1" applyAlignment="1">
      <alignment vertical="center"/>
    </xf>
    <xf numFmtId="0" fontId="8" fillId="0" borderId="4" xfId="10" applyFont="1" applyBorder="1" applyAlignment="1">
      <alignment horizontal="center" vertical="center"/>
    </xf>
    <xf numFmtId="0" fontId="8" fillId="0" borderId="4" xfId="10" applyFont="1" applyBorder="1" applyAlignment="1">
      <alignment horizontal="left" vertical="center"/>
    </xf>
    <xf numFmtId="0" fontId="8" fillId="0" borderId="4" xfId="10" applyFont="1" applyBorder="1" applyAlignment="1">
      <alignment vertical="center" wrapText="1"/>
    </xf>
    <xf numFmtId="0" fontId="8" fillId="0" borderId="4" xfId="10" applyFont="1" applyBorder="1" applyAlignment="1">
      <alignment horizontal="left" vertical="center" wrapText="1"/>
    </xf>
    <xf numFmtId="0" fontId="13" fillId="0" borderId="0" xfId="10" applyFont="1" applyAlignment="1">
      <alignment vertical="center"/>
    </xf>
    <xf numFmtId="2" fontId="13" fillId="6" borderId="9" xfId="14" applyNumberFormat="1" applyFont="1" applyFill="1" applyBorder="1">
      <alignment vertical="center"/>
    </xf>
    <xf numFmtId="10" fontId="8" fillId="0" borderId="9" xfId="14" applyNumberFormat="1" applyFont="1" applyBorder="1">
      <alignment vertical="center"/>
    </xf>
    <xf numFmtId="0" fontId="29" fillId="0" borderId="0" xfId="0" applyFont="1" applyAlignment="1">
      <alignment vertical="center"/>
    </xf>
    <xf numFmtId="0" fontId="30" fillId="0" borderId="4" xfId="14" applyFont="1" applyBorder="1" applyAlignment="1">
      <alignment horizontal="center" vertical="center" wrapText="1"/>
    </xf>
    <xf numFmtId="0" fontId="31" fillId="0" borderId="4" xfId="0" applyFont="1" applyBorder="1" applyAlignment="1">
      <alignment vertical="center"/>
    </xf>
    <xf numFmtId="0" fontId="31" fillId="0" borderId="4" xfId="0" applyFont="1" applyBorder="1" applyAlignment="1">
      <alignment horizontal="center" vertical="center"/>
    </xf>
    <xf numFmtId="0" fontId="31" fillId="0" borderId="7" xfId="0" applyFont="1" applyBorder="1" applyAlignment="1">
      <alignment vertical="center"/>
    </xf>
    <xf numFmtId="0" fontId="31" fillId="0" borderId="7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168" fontId="29" fillId="0" borderId="0" xfId="0" applyNumberFormat="1" applyFont="1" applyAlignment="1">
      <alignment vertical="center"/>
    </xf>
    <xf numFmtId="2" fontId="8" fillId="0" borderId="4" xfId="14" applyNumberFormat="1" applyFont="1" applyBorder="1">
      <alignment vertical="center"/>
    </xf>
    <xf numFmtId="2" fontId="8" fillId="0" borderId="4" xfId="10" applyNumberFormat="1" applyFont="1" applyBorder="1" applyAlignment="1">
      <alignment vertical="center" wrapText="1"/>
    </xf>
    <xf numFmtId="2" fontId="8" fillId="0" borderId="9" xfId="14" applyNumberFormat="1" applyFont="1" applyBorder="1">
      <alignment vertical="center"/>
    </xf>
    <xf numFmtId="168" fontId="16" fillId="0" borderId="4" xfId="14" applyNumberFormat="1" applyFont="1" applyBorder="1" applyAlignment="1">
      <alignment horizontal="center" vertical="center" wrapText="1"/>
    </xf>
    <xf numFmtId="43" fontId="16" fillId="5" borderId="4" xfId="10" applyNumberFormat="1" applyFont="1" applyFill="1" applyBorder="1"/>
    <xf numFmtId="43" fontId="21" fillId="5" borderId="4" xfId="10" applyNumberFormat="1" applyFont="1" applyFill="1" applyBorder="1"/>
    <xf numFmtId="43" fontId="16" fillId="5" borderId="4" xfId="14" applyNumberFormat="1" applyFont="1" applyFill="1" applyBorder="1">
      <alignment vertical="center"/>
    </xf>
    <xf numFmtId="43" fontId="26" fillId="0" borderId="4" xfId="129" applyFont="1" applyBorder="1"/>
    <xf numFmtId="10" fontId="16" fillId="0" borderId="4" xfId="10" applyNumberFormat="1" applyFont="1" applyBorder="1"/>
    <xf numFmtId="9" fontId="16" fillId="0" borderId="4" xfId="10" applyNumberFormat="1" applyFont="1" applyBorder="1"/>
    <xf numFmtId="170" fontId="29" fillId="0" borderId="0" xfId="0" applyNumberFormat="1" applyFont="1" applyAlignment="1">
      <alignment vertical="center"/>
    </xf>
    <xf numFmtId="1" fontId="8" fillId="0" borderId="4" xfId="0" applyNumberFormat="1" applyFont="1" applyBorder="1" applyAlignment="1">
      <alignment horizontal="right" vertical="center"/>
    </xf>
    <xf numFmtId="2" fontId="33" fillId="0" borderId="4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2" fontId="33" fillId="0" borderId="4" xfId="0" applyNumberFormat="1" applyFont="1" applyBorder="1" applyAlignment="1">
      <alignment horizontal="right" vertical="center"/>
    </xf>
    <xf numFmtId="168" fontId="8" fillId="0" borderId="4" xfId="0" applyNumberFormat="1" applyFont="1" applyBorder="1" applyAlignment="1">
      <alignment horizontal="right" vertical="center"/>
    </xf>
    <xf numFmtId="168" fontId="13" fillId="0" borderId="4" xfId="0" applyNumberFormat="1" applyFont="1" applyBorder="1" applyAlignment="1">
      <alignment horizontal="right" vertical="center"/>
    </xf>
    <xf numFmtId="1" fontId="33" fillId="0" borderId="4" xfId="0" applyNumberFormat="1" applyFont="1" applyBorder="1" applyAlignment="1">
      <alignment horizontal="right"/>
    </xf>
    <xf numFmtId="1" fontId="33" fillId="0" borderId="4" xfId="0" applyNumberFormat="1" applyFont="1" applyBorder="1" applyAlignment="1">
      <alignment horizontal="right" vertical="center"/>
    </xf>
    <xf numFmtId="171" fontId="8" fillId="0" borderId="0" xfId="10" applyNumberFormat="1" applyFont="1" applyAlignment="1">
      <alignment vertical="center"/>
    </xf>
    <xf numFmtId="172" fontId="8" fillId="0" borderId="0" xfId="10" applyNumberFormat="1" applyFont="1" applyAlignment="1">
      <alignment vertical="center"/>
    </xf>
    <xf numFmtId="172" fontId="13" fillId="0" borderId="0" xfId="10" applyNumberFormat="1" applyFont="1" applyAlignment="1">
      <alignment vertical="center"/>
    </xf>
    <xf numFmtId="171" fontId="21" fillId="0" borderId="4" xfId="14" applyNumberFormat="1" applyFont="1" applyBorder="1" applyAlignment="1">
      <alignment horizontal="center" vertical="center"/>
    </xf>
    <xf numFmtId="172" fontId="21" fillId="0" borderId="4" xfId="14" applyNumberFormat="1" applyFont="1" applyBorder="1" applyAlignment="1">
      <alignment horizontal="center" vertical="center"/>
    </xf>
    <xf numFmtId="172" fontId="16" fillId="0" borderId="4" xfId="14" applyNumberFormat="1" applyFont="1" applyBorder="1">
      <alignment vertical="center"/>
    </xf>
    <xf numFmtId="173" fontId="8" fillId="0" borderId="4" xfId="0" applyNumberFormat="1" applyFont="1" applyBorder="1" applyAlignment="1">
      <alignment horizontal="right" vertical="center"/>
    </xf>
    <xf numFmtId="2" fontId="8" fillId="7" borderId="4" xfId="0" applyNumberFormat="1" applyFont="1" applyFill="1" applyBorder="1" applyAlignment="1">
      <alignment horizontal="right" vertical="center"/>
    </xf>
    <xf numFmtId="168" fontId="33" fillId="0" borderId="4" xfId="0" applyNumberFormat="1" applyFont="1" applyBorder="1" applyAlignment="1">
      <alignment horizontal="right" vertical="center"/>
    </xf>
    <xf numFmtId="0" fontId="1" fillId="0" borderId="4" xfId="93" applyFont="1" applyBorder="1"/>
    <xf numFmtId="0" fontId="1" fillId="0" borderId="0" xfId="93" applyFont="1"/>
    <xf numFmtId="2" fontId="21" fillId="0" borderId="4" xfId="10" applyNumberFormat="1" applyFont="1" applyBorder="1" applyAlignment="1">
      <alignment vertical="center" wrapText="1"/>
    </xf>
    <xf numFmtId="4" fontId="0" fillId="0" borderId="4" xfId="0" applyNumberFormat="1" applyBorder="1"/>
    <xf numFmtId="43" fontId="21" fillId="0" borderId="4" xfId="10" applyNumberFormat="1" applyFont="1" applyBorder="1" applyAlignment="1">
      <alignment vertical="center"/>
    </xf>
    <xf numFmtId="172" fontId="16" fillId="0" borderId="0" xfId="14" applyNumberFormat="1" applyFont="1">
      <alignment vertical="center"/>
    </xf>
    <xf numFmtId="0" fontId="21" fillId="0" borderId="0" xfId="10" applyFont="1" applyAlignment="1">
      <alignment horizontal="center" vertical="center"/>
    </xf>
    <xf numFmtId="167" fontId="16" fillId="0" borderId="0" xfId="15" applyFont="1" applyAlignment="1">
      <alignment vertical="center"/>
    </xf>
    <xf numFmtId="167" fontId="21" fillId="0" borderId="0" xfId="15" applyFont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0" xfId="14" applyFont="1" applyAlignment="1">
      <alignment horizontal="center" vertical="center"/>
    </xf>
    <xf numFmtId="0" fontId="13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0" applyFont="1" applyAlignment="1">
      <alignment horizontal="center"/>
    </xf>
    <xf numFmtId="0" fontId="21" fillId="0" borderId="8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4" borderId="14" xfId="68" applyFont="1" applyFill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9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8" xfId="68" quotePrefix="1" applyFont="1" applyFill="1" applyBorder="1" applyAlignment="1">
      <alignment horizontal="center" vertical="center" wrapText="1"/>
    </xf>
    <xf numFmtId="0" fontId="21" fillId="4" borderId="8" xfId="68" applyFont="1" applyFill="1" applyBorder="1" applyAlignment="1">
      <alignment horizontal="center" vertical="center" wrapText="1"/>
    </xf>
    <xf numFmtId="0" fontId="21" fillId="0" borderId="3" xfId="10" applyFont="1" applyBorder="1" applyAlignment="1">
      <alignment horizontal="center" vertical="center"/>
    </xf>
    <xf numFmtId="0" fontId="21" fillId="0" borderId="9" xfId="10" applyFont="1" applyBorder="1" applyAlignment="1">
      <alignment horizontal="center" vertical="center"/>
    </xf>
    <xf numFmtId="0" fontId="13" fillId="0" borderId="0" xfId="14" applyFont="1" applyAlignment="1">
      <alignment horizontal="center" vertical="top"/>
    </xf>
    <xf numFmtId="0" fontId="13" fillId="0" borderId="8" xfId="14" applyFont="1" applyBorder="1" applyAlignment="1">
      <alignment horizontal="center" vertical="center" wrapText="1"/>
    </xf>
    <xf numFmtId="0" fontId="13" fillId="0" borderId="10" xfId="14" applyFont="1" applyBorder="1" applyAlignment="1">
      <alignment horizontal="center" vertical="center" wrapText="1"/>
    </xf>
    <xf numFmtId="0" fontId="8" fillId="0" borderId="7" xfId="10" applyFont="1" applyBorder="1" applyAlignment="1">
      <alignment horizontal="center" vertical="center" wrapText="1"/>
    </xf>
    <xf numFmtId="0" fontId="13" fillId="0" borderId="4" xfId="14" applyFont="1" applyBorder="1" applyAlignment="1">
      <alignment horizontal="center" vertical="center"/>
    </xf>
    <xf numFmtId="0" fontId="8" fillId="0" borderId="4" xfId="10" applyFont="1" applyBorder="1" applyAlignment="1">
      <alignment horizontal="center" vertical="center"/>
    </xf>
    <xf numFmtId="0" fontId="13" fillId="0" borderId="6" xfId="14" applyFont="1" applyBorder="1" applyAlignment="1">
      <alignment horizontal="center" vertical="center" wrapText="1"/>
    </xf>
    <xf numFmtId="0" fontId="13" fillId="0" borderId="3" xfId="14" applyFont="1" applyBorder="1" applyAlignment="1">
      <alignment horizontal="center" vertical="center" wrapText="1"/>
    </xf>
    <xf numFmtId="0" fontId="13" fillId="0" borderId="9" xfId="14" applyFont="1" applyBorder="1" applyAlignment="1">
      <alignment horizontal="center" vertical="center" wrapText="1"/>
    </xf>
    <xf numFmtId="0" fontId="13" fillId="0" borderId="4" xfId="10" applyFont="1" applyBorder="1" applyAlignment="1">
      <alignment horizontal="center" vertical="center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21" fillId="0" borderId="4" xfId="14" quotePrefix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35" fillId="0" borderId="6" xfId="0" applyFont="1" applyBorder="1" applyAlignment="1">
      <alignment vertical="center" wrapText="1"/>
    </xf>
    <xf numFmtId="0" fontId="35" fillId="0" borderId="3" xfId="0" applyFont="1" applyBorder="1" applyAlignment="1">
      <alignment vertical="center" wrapText="1"/>
    </xf>
    <xf numFmtId="0" fontId="35" fillId="0" borderId="9" xfId="0" applyFont="1" applyBorder="1" applyAlignment="1">
      <alignment vertical="center" wrapText="1"/>
    </xf>
    <xf numFmtId="0" fontId="30" fillId="0" borderId="6" xfId="14" applyFont="1" applyBorder="1" applyAlignment="1">
      <alignment horizontal="center" vertical="center" wrapText="1"/>
    </xf>
    <xf numFmtId="0" fontId="30" fillId="0" borderId="3" xfId="14" applyFont="1" applyBorder="1" applyAlignment="1">
      <alignment horizontal="center" vertical="center" wrapText="1"/>
    </xf>
    <xf numFmtId="0" fontId="30" fillId="0" borderId="9" xfId="14" applyFont="1" applyBorder="1" applyAlignment="1">
      <alignment horizontal="center" vertical="center" wrapText="1"/>
    </xf>
    <xf numFmtId="0" fontId="30" fillId="0" borderId="4" xfId="1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21" fillId="0" borderId="6" xfId="10" applyFont="1" applyBorder="1" applyAlignment="1">
      <alignment horizontal="center" vertical="center"/>
    </xf>
  </cellXfs>
  <cellStyles count="130">
    <cellStyle name="Body" xfId="1"/>
    <cellStyle name="Comma" xfId="129" builtinId="3"/>
    <cellStyle name="Comma  - Style1" xfId="2"/>
    <cellStyle name="Comma 10" xfId="112"/>
    <cellStyle name="Comma 10 2" xfId="113"/>
    <cellStyle name="Comma 11" xfId="110"/>
    <cellStyle name="Comma 11 2" xfId="19"/>
    <cellStyle name="Comma 11 2 2" xfId="96"/>
    <cellStyle name="Comma 11 2 3" xfId="72"/>
    <cellStyle name="Comma 2" xfId="24"/>
    <cellStyle name="Comma 2 2" xfId="25"/>
    <cellStyle name="Comma 2 2 2" xfId="63"/>
    <cellStyle name="Comma 2 2 3" xfId="76"/>
    <cellStyle name="Comma 2 3" xfId="26"/>
    <cellStyle name="Comma 2 3 2" xfId="77"/>
    <cellStyle name="Comma 2 4" xfId="56"/>
    <cellStyle name="Comma 2 5" xfId="75"/>
    <cellStyle name="Comma 3" xfId="27"/>
    <cellStyle name="Comma 3 2" xfId="62"/>
    <cellStyle name="Comma 3 2 2" xfId="103"/>
    <cellStyle name="Comma 3 2 3" xfId="85"/>
    <cellStyle name="Comma 3 3" xfId="78"/>
    <cellStyle name="Comma 4" xfId="28"/>
    <cellStyle name="Comma 4 2" xfId="64"/>
    <cellStyle name="Comma 4 2 2" xfId="104"/>
    <cellStyle name="Comma 4 2 3" xfId="86"/>
    <cellStyle name="Comma 4 3" xfId="79"/>
    <cellStyle name="Comma 5" xfId="29"/>
    <cellStyle name="Comma 5 2" xfId="80"/>
    <cellStyle name="Comma 6" xfId="48"/>
    <cellStyle name="Comma 6 2" xfId="49"/>
    <cellStyle name="Comma 6 3" xfId="50"/>
    <cellStyle name="Comma 6 4" xfId="51"/>
    <cellStyle name="Comma 6 5" xfId="101"/>
    <cellStyle name="Comma 6 6" xfId="83"/>
    <cellStyle name="Comma 7" xfId="21"/>
    <cellStyle name="Comma 8" xfId="65"/>
    <cellStyle name="Comma 8 2" xfId="105"/>
    <cellStyle name="Comma 8 3" xfId="87"/>
    <cellStyle name="Comma 9" xfId="111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0 2" xfId="107"/>
    <cellStyle name="Normal 10 3" xfId="89"/>
    <cellStyle name="Normal 11" xfId="69"/>
    <cellStyle name="Normal 11 2" xfId="109"/>
    <cellStyle name="Normal 11 3" xfId="91"/>
    <cellStyle name="Normal 12" xfId="70"/>
    <cellStyle name="Normal 12 2" xfId="92"/>
    <cellStyle name="Normal 13" xfId="93"/>
    <cellStyle name="Normal 13 2" xfId="94"/>
    <cellStyle name="Normal 14" xfId="115"/>
    <cellStyle name="Normal 14 2" xfId="68"/>
    <cellStyle name="Normal 14 2 2" xfId="108"/>
    <cellStyle name="Normal 14 2 3" xfId="90"/>
    <cellStyle name="Normal 15" xfId="18"/>
    <cellStyle name="Normal 15 2" xfId="95"/>
    <cellStyle name="Normal 15 3" xfId="71"/>
    <cellStyle name="Normal 16" xfId="116"/>
    <cellStyle name="Normal 17" xfId="117"/>
    <cellStyle name="Normal 18" xfId="61"/>
    <cellStyle name="Normal 18 2" xfId="102"/>
    <cellStyle name="Normal 18 3" xfId="84"/>
    <cellStyle name="Normal 19" xfId="118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20" xfId="119"/>
    <cellStyle name="Normal 21" xfId="120"/>
    <cellStyle name="Normal 22" xfId="114"/>
    <cellStyle name="Normal 24" xfId="122"/>
    <cellStyle name="Normal 25" xfId="123"/>
    <cellStyle name="Normal 26" xfId="124"/>
    <cellStyle name="Normal 27" xfId="125"/>
    <cellStyle name="Normal 28" xfId="126"/>
    <cellStyle name="Normal 29" xfId="127"/>
    <cellStyle name="Normal 3" xfId="13"/>
    <cellStyle name="Normal 3 2" xfId="33"/>
    <cellStyle name="Normal 3 2 2" xfId="58"/>
    <cellStyle name="Normal 30" xfId="128"/>
    <cellStyle name="Normal 39" xfId="22"/>
    <cellStyle name="Normal 4" xfId="34"/>
    <cellStyle name="Normal 4 2" xfId="59"/>
    <cellStyle name="Normal 5" xfId="35"/>
    <cellStyle name="Normal 5 2" xfId="36"/>
    <cellStyle name="Normal 5 3" xfId="99"/>
    <cellStyle name="Normal 5 4" xfId="81"/>
    <cellStyle name="Normal 6" xfId="37"/>
    <cellStyle name="Normal 7" xfId="38"/>
    <cellStyle name="Normal 7 2" xfId="100"/>
    <cellStyle name="Normal 7 3" xfId="82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10" xfId="74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7"/>
    <cellStyle name="Percent 41 3" xfId="73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106"/>
    <cellStyle name="Percent 7 3" xfId="88"/>
    <cellStyle name="Percent 8" xfId="121"/>
    <cellStyle name="Percent 9" xfId="98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G15" sqref="G15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268" t="s">
        <v>530</v>
      </c>
      <c r="C2" s="268"/>
      <c r="D2" s="269"/>
      <c r="E2" s="269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268" t="s">
        <v>512</v>
      </c>
      <c r="C3" s="268"/>
      <c r="D3" s="269"/>
      <c r="E3" s="269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70" t="s">
        <v>398</v>
      </c>
      <c r="C4" s="270"/>
      <c r="D4" s="271"/>
      <c r="E4" s="27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82" t="s">
        <v>400</v>
      </c>
    </row>
    <row r="6" spans="2:15" ht="15.75">
      <c r="N6" s="7"/>
    </row>
    <row r="7" spans="2:15" ht="15.75">
      <c r="B7" s="17" t="s">
        <v>210</v>
      </c>
      <c r="C7" s="17" t="s">
        <v>399</v>
      </c>
      <c r="D7" s="18" t="s">
        <v>7</v>
      </c>
      <c r="E7" s="18" t="s">
        <v>401</v>
      </c>
    </row>
    <row r="8" spans="2:15">
      <c r="B8" s="8">
        <v>1</v>
      </c>
      <c r="C8" s="8" t="s">
        <v>6</v>
      </c>
      <c r="D8" s="9" t="s">
        <v>403</v>
      </c>
      <c r="E8" s="10"/>
    </row>
    <row r="9" spans="2:15">
      <c r="B9" s="8">
        <f>B8+1</f>
        <v>2</v>
      </c>
      <c r="C9" s="8" t="s">
        <v>304</v>
      </c>
      <c r="D9" s="9" t="s">
        <v>405</v>
      </c>
      <c r="E9" s="10"/>
    </row>
    <row r="10" spans="2:15">
      <c r="B10" s="8">
        <f>B9+1</f>
        <v>3</v>
      </c>
      <c r="C10" s="8" t="s">
        <v>24</v>
      </c>
      <c r="D10" s="9" t="s">
        <v>406</v>
      </c>
      <c r="E10" s="10"/>
    </row>
    <row r="11" spans="2:15">
      <c r="B11" s="8">
        <f>B10+1</f>
        <v>4</v>
      </c>
      <c r="C11" s="8" t="s">
        <v>25</v>
      </c>
      <c r="D11" s="9" t="s">
        <v>407</v>
      </c>
      <c r="E11" s="10"/>
    </row>
    <row r="12" spans="2:15">
      <c r="B12" s="8">
        <f>B11+1</f>
        <v>5</v>
      </c>
      <c r="C12" s="8" t="s">
        <v>305</v>
      </c>
      <c r="D12" s="9" t="s">
        <v>408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238</v>
      </c>
      <c r="E13" s="10"/>
    </row>
    <row r="14" spans="2:15">
      <c r="B14" s="8">
        <f t="shared" si="0"/>
        <v>7</v>
      </c>
      <c r="C14" s="8" t="s">
        <v>27</v>
      </c>
      <c r="D14" s="9" t="s">
        <v>409</v>
      </c>
      <c r="E14" s="10"/>
    </row>
    <row r="15" spans="2:15">
      <c r="B15" s="8">
        <f t="shared" si="0"/>
        <v>8</v>
      </c>
      <c r="C15" s="8" t="s">
        <v>28</v>
      </c>
      <c r="D15" s="11" t="s">
        <v>207</v>
      </c>
      <c r="E15" s="10"/>
    </row>
    <row r="16" spans="2:15">
      <c r="B16" s="8">
        <f t="shared" si="0"/>
        <v>9</v>
      </c>
      <c r="C16" s="8" t="s">
        <v>23</v>
      </c>
      <c r="D16" s="11" t="s">
        <v>410</v>
      </c>
      <c r="E16" s="10"/>
    </row>
    <row r="17" spans="2:5">
      <c r="B17" s="8">
        <f t="shared" si="0"/>
        <v>10</v>
      </c>
      <c r="C17" s="8" t="s">
        <v>29</v>
      </c>
      <c r="D17" s="9" t="s">
        <v>263</v>
      </c>
      <c r="E17" s="10"/>
    </row>
    <row r="18" spans="2:5">
      <c r="B18" s="8">
        <f t="shared" si="0"/>
        <v>11</v>
      </c>
      <c r="C18" s="8" t="s">
        <v>30</v>
      </c>
      <c r="D18" s="11" t="s">
        <v>322</v>
      </c>
      <c r="E18" s="10"/>
    </row>
    <row r="19" spans="2:5">
      <c r="B19" s="8">
        <f t="shared" si="0"/>
        <v>12</v>
      </c>
      <c r="C19" s="8" t="s">
        <v>31</v>
      </c>
      <c r="D19" s="11" t="s">
        <v>264</v>
      </c>
      <c r="E19" s="10"/>
    </row>
    <row r="20" spans="2:5">
      <c r="B20" s="8">
        <f t="shared" si="0"/>
        <v>13</v>
      </c>
      <c r="C20" s="8" t="s">
        <v>32</v>
      </c>
      <c r="D20" s="11" t="s">
        <v>164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411</v>
      </c>
      <c r="E22" s="10"/>
    </row>
    <row r="23" spans="2:5">
      <c r="B23" s="8">
        <f t="shared" si="0"/>
        <v>16</v>
      </c>
      <c r="C23" s="8" t="s">
        <v>35</v>
      </c>
      <c r="D23" s="9" t="s">
        <v>412</v>
      </c>
      <c r="E23" s="10"/>
    </row>
    <row r="24" spans="2:5">
      <c r="B24" s="8">
        <f t="shared" si="0"/>
        <v>17</v>
      </c>
      <c r="C24" s="8" t="s">
        <v>172</v>
      </c>
      <c r="D24" s="9" t="s">
        <v>267</v>
      </c>
      <c r="E24" s="10"/>
    </row>
    <row r="25" spans="2:5">
      <c r="B25" s="8">
        <f t="shared" si="0"/>
        <v>18</v>
      </c>
      <c r="C25" s="8" t="s">
        <v>181</v>
      </c>
      <c r="D25" s="9" t="s">
        <v>413</v>
      </c>
      <c r="E25" s="10"/>
    </row>
    <row r="26" spans="2:5">
      <c r="B26" s="8">
        <f t="shared" si="0"/>
        <v>19</v>
      </c>
      <c r="C26" s="8" t="s">
        <v>402</v>
      </c>
      <c r="D26" s="9" t="s">
        <v>247</v>
      </c>
      <c r="E26" s="10"/>
    </row>
    <row r="27" spans="2:5">
      <c r="B27" s="8">
        <f t="shared" si="0"/>
        <v>20</v>
      </c>
      <c r="C27" s="8" t="s">
        <v>240</v>
      </c>
      <c r="D27" s="9" t="s">
        <v>414</v>
      </c>
      <c r="E27" s="10"/>
    </row>
    <row r="28" spans="2:5">
      <c r="B28" s="8">
        <f t="shared" si="0"/>
        <v>21</v>
      </c>
      <c r="C28" s="8" t="s">
        <v>241</v>
      </c>
      <c r="D28" s="11" t="s">
        <v>415</v>
      </c>
      <c r="E28" s="10"/>
    </row>
    <row r="29" spans="2:5" ht="15.75">
      <c r="B29" s="12"/>
      <c r="C29" s="12"/>
      <c r="D29" s="13" t="s">
        <v>246</v>
      </c>
      <c r="E29" s="14"/>
    </row>
    <row r="30" spans="2:5">
      <c r="B30" s="8">
        <f>B28+1</f>
        <v>22</v>
      </c>
      <c r="C30" s="8" t="s">
        <v>421</v>
      </c>
      <c r="D30" s="9" t="s">
        <v>429</v>
      </c>
      <c r="E30" s="10"/>
    </row>
    <row r="31" spans="2:5">
      <c r="B31" s="8">
        <f>B30+1</f>
        <v>23</v>
      </c>
      <c r="C31" s="8" t="s">
        <v>422</v>
      </c>
      <c r="D31" s="9" t="s">
        <v>430</v>
      </c>
      <c r="E31" s="10"/>
    </row>
    <row r="32" spans="2:5">
      <c r="B32" s="8">
        <f>B31+1</f>
        <v>24</v>
      </c>
      <c r="C32" s="8" t="s">
        <v>419</v>
      </c>
      <c r="D32" s="9" t="s">
        <v>202</v>
      </c>
      <c r="E32" s="10"/>
    </row>
    <row r="33" spans="2:5">
      <c r="B33" s="8">
        <f t="shared" si="0"/>
        <v>25</v>
      </c>
      <c r="C33" s="8" t="s">
        <v>420</v>
      </c>
      <c r="D33" s="9" t="s">
        <v>203</v>
      </c>
      <c r="E33" s="10"/>
    </row>
    <row r="34" spans="2:5">
      <c r="B34" s="8">
        <f t="shared" si="0"/>
        <v>26</v>
      </c>
      <c r="C34" s="8" t="s">
        <v>423</v>
      </c>
      <c r="D34" s="9" t="s">
        <v>204</v>
      </c>
      <c r="E34" s="10"/>
    </row>
    <row r="35" spans="2:5">
      <c r="B35" s="8">
        <f t="shared" si="0"/>
        <v>27</v>
      </c>
      <c r="C35" s="8" t="s">
        <v>424</v>
      </c>
      <c r="D35" s="9" t="s">
        <v>205</v>
      </c>
      <c r="E35" s="10"/>
    </row>
    <row r="36" spans="2:5">
      <c r="B36" s="8">
        <f t="shared" si="0"/>
        <v>28</v>
      </c>
      <c r="C36" s="8" t="s">
        <v>425</v>
      </c>
      <c r="D36" s="9" t="s">
        <v>224</v>
      </c>
      <c r="E36" s="10"/>
    </row>
    <row r="37" spans="2:5">
      <c r="B37" s="8">
        <f t="shared" si="0"/>
        <v>29</v>
      </c>
      <c r="C37" s="8" t="s">
        <v>426</v>
      </c>
      <c r="D37" s="9" t="s">
        <v>206</v>
      </c>
      <c r="E37" s="10"/>
    </row>
    <row r="38" spans="2:5">
      <c r="B38" s="8">
        <f t="shared" si="0"/>
        <v>30</v>
      </c>
      <c r="C38" s="8" t="s">
        <v>427</v>
      </c>
      <c r="D38" s="9" t="s">
        <v>416</v>
      </c>
      <c r="E38" s="10"/>
    </row>
    <row r="39" spans="2:5">
      <c r="B39" s="8">
        <f t="shared" si="0"/>
        <v>31</v>
      </c>
      <c r="C39" s="8" t="s">
        <v>428</v>
      </c>
      <c r="D39" s="9" t="s">
        <v>417</v>
      </c>
      <c r="E39" s="10"/>
    </row>
    <row r="41" spans="2:5" ht="15.75">
      <c r="B41" s="16" t="s">
        <v>418</v>
      </c>
      <c r="C41" s="16"/>
    </row>
  </sheetData>
  <mergeCells count="3">
    <mergeCell ref="B2:E2"/>
    <mergeCell ref="B4:E4"/>
    <mergeCell ref="B3:E3"/>
  </mergeCells>
  <phoneticPr fontId="12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U124"/>
  <sheetViews>
    <sheetView showGridLines="0" view="pageBreakPreview" topLeftCell="A16" zoomScale="90" zoomScaleSheetLayoutView="90" workbookViewId="0">
      <selection activeCell="J77" sqref="J77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30"/>
    </row>
    <row r="2" spans="2:15" ht="15">
      <c r="H2" s="40" t="s">
        <v>529</v>
      </c>
      <c r="I2" s="40"/>
    </row>
    <row r="3" spans="2:15" ht="15">
      <c r="H3" s="40" t="s">
        <v>511</v>
      </c>
      <c r="I3" s="40"/>
    </row>
    <row r="4" spans="2:15" ht="15">
      <c r="H4" s="42" t="s">
        <v>307</v>
      </c>
      <c r="I4" s="42"/>
    </row>
    <row r="5" spans="2:15" ht="15.75" thickBot="1">
      <c r="K5" s="42"/>
      <c r="O5" s="39" t="s">
        <v>4</v>
      </c>
    </row>
    <row r="6" spans="2:15" ht="15">
      <c r="B6" s="298" t="s">
        <v>481</v>
      </c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300"/>
    </row>
    <row r="7" spans="2:15" ht="14.25" customHeight="1">
      <c r="B7" s="303" t="s">
        <v>2</v>
      </c>
      <c r="C7" s="305" t="s">
        <v>303</v>
      </c>
      <c r="D7" s="301" t="s">
        <v>291</v>
      </c>
      <c r="E7" s="301" t="s">
        <v>292</v>
      </c>
      <c r="F7" s="301" t="s">
        <v>293</v>
      </c>
      <c r="G7" s="301"/>
      <c r="H7" s="301"/>
      <c r="I7" s="301"/>
      <c r="J7" s="301" t="s">
        <v>294</v>
      </c>
      <c r="K7" s="301"/>
      <c r="L7" s="301"/>
      <c r="M7" s="301"/>
      <c r="N7" s="301" t="s">
        <v>295</v>
      </c>
      <c r="O7" s="302"/>
    </row>
    <row r="8" spans="2:15" ht="60">
      <c r="B8" s="304"/>
      <c r="C8" s="306"/>
      <c r="D8" s="307"/>
      <c r="E8" s="307"/>
      <c r="F8" s="204" t="s">
        <v>296</v>
      </c>
      <c r="G8" s="204" t="s">
        <v>138</v>
      </c>
      <c r="H8" s="204" t="s">
        <v>297</v>
      </c>
      <c r="I8" s="204" t="s">
        <v>298</v>
      </c>
      <c r="J8" s="204" t="s">
        <v>299</v>
      </c>
      <c r="K8" s="204" t="s">
        <v>138</v>
      </c>
      <c r="L8" s="204" t="s">
        <v>300</v>
      </c>
      <c r="M8" s="204" t="s">
        <v>301</v>
      </c>
      <c r="N8" s="204" t="s">
        <v>296</v>
      </c>
      <c r="O8" s="205" t="s">
        <v>298</v>
      </c>
    </row>
    <row r="9" spans="2:15" ht="15">
      <c r="B9" s="206">
        <v>1</v>
      </c>
      <c r="C9" s="78" t="s">
        <v>496</v>
      </c>
      <c r="D9" s="73">
        <v>1000</v>
      </c>
      <c r="E9" s="207">
        <v>0</v>
      </c>
      <c r="F9" s="75">
        <v>22.201953</v>
      </c>
      <c r="G9" s="76">
        <v>0</v>
      </c>
      <c r="H9" s="75">
        <v>0</v>
      </c>
      <c r="I9" s="148">
        <f>F9+G9-H9</f>
        <v>22.201953</v>
      </c>
      <c r="J9" s="75">
        <v>0</v>
      </c>
      <c r="K9" s="149">
        <f>AVERAGE(F9,I9)*E9</f>
        <v>0</v>
      </c>
      <c r="L9" s="75"/>
      <c r="M9" s="148">
        <f>J9+K9-L9</f>
        <v>0</v>
      </c>
      <c r="N9" s="148">
        <f>F9-J9</f>
        <v>22.201953</v>
      </c>
      <c r="O9" s="148">
        <f>I9-M9</f>
        <v>22.201953</v>
      </c>
    </row>
    <row r="10" spans="2:15" ht="42.75">
      <c r="B10" s="206">
        <v>2</v>
      </c>
      <c r="C10" s="72" t="s">
        <v>521</v>
      </c>
      <c r="D10" s="73">
        <v>1010</v>
      </c>
      <c r="E10" s="74">
        <v>0</v>
      </c>
      <c r="F10" s="75">
        <v>41.582841600000002</v>
      </c>
      <c r="G10" s="76">
        <v>0</v>
      </c>
      <c r="H10" s="75">
        <v>0</v>
      </c>
      <c r="I10" s="148">
        <f>F10+G10-H10</f>
        <v>41.582841600000002</v>
      </c>
      <c r="J10" s="75">
        <v>0</v>
      </c>
      <c r="K10" s="149">
        <f t="shared" ref="K10:K20" si="0">AVERAGE(F10,I10)*E10</f>
        <v>0</v>
      </c>
      <c r="L10" s="75"/>
      <c r="M10" s="148">
        <f t="shared" ref="M10:M12" si="1">J10+K10-L10</f>
        <v>0</v>
      </c>
      <c r="N10" s="148">
        <f t="shared" ref="N10:N12" si="2">F10-J10</f>
        <v>41.582841600000002</v>
      </c>
      <c r="O10" s="148">
        <f t="shared" ref="O10:O12" si="3">I10-M10</f>
        <v>41.582841600000002</v>
      </c>
    </row>
    <row r="11" spans="2:15" ht="15">
      <c r="B11" s="206">
        <v>3</v>
      </c>
      <c r="C11" s="78" t="s">
        <v>128</v>
      </c>
      <c r="D11" s="73">
        <v>1100</v>
      </c>
      <c r="E11" s="74">
        <v>3.3399999999999999E-2</v>
      </c>
      <c r="F11" s="75">
        <v>142.68600340200001</v>
      </c>
      <c r="G11" s="76">
        <v>0</v>
      </c>
      <c r="H11" s="75">
        <v>0</v>
      </c>
      <c r="I11" s="148">
        <f t="shared" ref="I11:I12" si="4">F11+G11-H11</f>
        <v>142.68600340200001</v>
      </c>
      <c r="J11" s="75">
        <v>90.755267902</v>
      </c>
      <c r="K11" s="149">
        <f t="shared" si="0"/>
        <v>4.7657125136268004</v>
      </c>
      <c r="L11" s="75"/>
      <c r="M11" s="148">
        <f t="shared" si="1"/>
        <v>95.520980415626795</v>
      </c>
      <c r="N11" s="148">
        <f t="shared" si="2"/>
        <v>51.930735500000011</v>
      </c>
      <c r="O11" s="148">
        <f t="shared" si="3"/>
        <v>47.165022986373216</v>
      </c>
    </row>
    <row r="12" spans="2:15" ht="15">
      <c r="B12" s="206">
        <v>4</v>
      </c>
      <c r="C12" s="191" t="s">
        <v>522</v>
      </c>
      <c r="D12" s="73">
        <v>1200</v>
      </c>
      <c r="E12" s="79">
        <v>5.28E-2</v>
      </c>
      <c r="F12" s="76">
        <v>165.50070170000001</v>
      </c>
      <c r="G12" s="76">
        <v>0</v>
      </c>
      <c r="H12" s="77">
        <v>0</v>
      </c>
      <c r="I12" s="148">
        <f t="shared" si="4"/>
        <v>165.50070170000001</v>
      </c>
      <c r="J12" s="75">
        <v>137.63145266800001</v>
      </c>
      <c r="K12" s="149">
        <f t="shared" si="0"/>
        <v>8.7384370497599999</v>
      </c>
      <c r="L12" s="75"/>
      <c r="M12" s="148">
        <f t="shared" si="1"/>
        <v>146.36988971776</v>
      </c>
      <c r="N12" s="148">
        <f t="shared" si="2"/>
        <v>27.869249031999999</v>
      </c>
      <c r="O12" s="148">
        <f t="shared" si="3"/>
        <v>19.130811982240004</v>
      </c>
    </row>
    <row r="13" spans="2:15" ht="15">
      <c r="B13" s="206">
        <v>5</v>
      </c>
      <c r="C13" s="191" t="s">
        <v>127</v>
      </c>
      <c r="D13" s="73">
        <v>1300</v>
      </c>
      <c r="E13" s="207">
        <v>5.28E-2</v>
      </c>
      <c r="F13" s="76">
        <f>2125.478679411-336.48</f>
        <v>1788.998679411</v>
      </c>
      <c r="G13" s="76">
        <v>0</v>
      </c>
      <c r="H13" s="75">
        <v>-2.2591999999999998E-3</v>
      </c>
      <c r="I13" s="148">
        <f>F13+G13-H13</f>
        <v>1789.000938611</v>
      </c>
      <c r="J13" s="75">
        <f>1653.960220536-133.72</f>
        <v>1520.2402205359999</v>
      </c>
      <c r="K13" s="149">
        <f t="shared" si="0"/>
        <v>94.459189915780797</v>
      </c>
      <c r="L13" s="75"/>
      <c r="M13" s="148">
        <f>J13+K13-L13</f>
        <v>1614.6994104517808</v>
      </c>
      <c r="N13" s="148">
        <f>F13-J13</f>
        <v>268.75845887500009</v>
      </c>
      <c r="O13" s="148">
        <f>I13-M13</f>
        <v>174.30152815921929</v>
      </c>
    </row>
    <row r="14" spans="2:15" ht="15">
      <c r="B14" s="206">
        <v>6</v>
      </c>
      <c r="C14" s="191" t="s">
        <v>498</v>
      </c>
      <c r="D14" s="73">
        <v>1400</v>
      </c>
      <c r="E14" s="74">
        <v>5.28E-2</v>
      </c>
      <c r="F14" s="76">
        <v>27.445761599000001</v>
      </c>
      <c r="G14" s="76">
        <v>0</v>
      </c>
      <c r="H14" s="75">
        <v>0</v>
      </c>
      <c r="I14" s="148">
        <f>F14+G14-H14</f>
        <v>27.445761599000001</v>
      </c>
      <c r="J14" s="75">
        <v>7.2333383290000004</v>
      </c>
      <c r="K14" s="149">
        <f t="shared" si="0"/>
        <v>1.4491362124272</v>
      </c>
      <c r="L14" s="75"/>
      <c r="M14" s="148">
        <f t="shared" ref="M14:M16" si="5">J14+K14-L14</f>
        <v>8.6824745414272009</v>
      </c>
      <c r="N14" s="148">
        <f t="shared" ref="N14:N16" si="6">F14-J14</f>
        <v>20.212423270000002</v>
      </c>
      <c r="O14" s="148">
        <f t="shared" ref="O14:O16" si="7">I14-M14</f>
        <v>18.7632870575728</v>
      </c>
    </row>
    <row r="15" spans="2:15" ht="15">
      <c r="B15" s="206">
        <v>7</v>
      </c>
      <c r="C15" s="191" t="s">
        <v>499</v>
      </c>
      <c r="D15" s="73">
        <v>1500</v>
      </c>
      <c r="E15" s="74">
        <v>5.28E-2</v>
      </c>
      <c r="F15" s="76">
        <v>247.11513890100002</v>
      </c>
      <c r="G15" s="76">
        <v>0</v>
      </c>
      <c r="H15" s="75">
        <v>0</v>
      </c>
      <c r="I15" s="148">
        <f t="shared" ref="I15:I16" si="8">F15+G15-H15</f>
        <v>247.11513890100002</v>
      </c>
      <c r="J15" s="75">
        <v>153.01895250999999</v>
      </c>
      <c r="K15" s="149">
        <f t="shared" si="0"/>
        <v>13.047679333972802</v>
      </c>
      <c r="L15" s="75"/>
      <c r="M15" s="148">
        <f t="shared" si="5"/>
        <v>166.0666318439728</v>
      </c>
      <c r="N15" s="148">
        <f t="shared" si="6"/>
        <v>94.096186391000032</v>
      </c>
      <c r="O15" s="148">
        <f t="shared" si="7"/>
        <v>81.048507057027223</v>
      </c>
    </row>
    <row r="16" spans="2:15" ht="15">
      <c r="B16" s="206">
        <v>8</v>
      </c>
      <c r="C16" s="191" t="s">
        <v>500</v>
      </c>
      <c r="D16" s="73">
        <v>1600</v>
      </c>
      <c r="E16" s="79">
        <v>3.3399999999999999E-2</v>
      </c>
      <c r="F16" s="76">
        <v>83.994568712000003</v>
      </c>
      <c r="G16" s="76">
        <v>0</v>
      </c>
      <c r="H16" s="77">
        <v>0</v>
      </c>
      <c r="I16" s="148">
        <f t="shared" si="8"/>
        <v>83.994568712000003</v>
      </c>
      <c r="J16" s="75">
        <v>26.990641561</v>
      </c>
      <c r="K16" s="149">
        <f t="shared" si="0"/>
        <v>2.8054185949808002</v>
      </c>
      <c r="L16" s="75"/>
      <c r="M16" s="148">
        <f t="shared" si="5"/>
        <v>29.7960601559808</v>
      </c>
      <c r="N16" s="148">
        <f t="shared" si="6"/>
        <v>57.003927150999999</v>
      </c>
      <c r="O16" s="148">
        <f t="shared" si="7"/>
        <v>54.198508556019206</v>
      </c>
    </row>
    <row r="17" spans="2:21" ht="15">
      <c r="B17" s="206">
        <v>9</v>
      </c>
      <c r="C17" s="191" t="s">
        <v>132</v>
      </c>
      <c r="D17" s="73">
        <v>1700</v>
      </c>
      <c r="E17" s="207">
        <v>9.5000000000000001E-2</v>
      </c>
      <c r="F17" s="76">
        <v>23.932888903999999</v>
      </c>
      <c r="G17" s="76">
        <v>0</v>
      </c>
      <c r="H17" s="75">
        <v>0</v>
      </c>
      <c r="I17" s="148">
        <f>F17+G17-H17</f>
        <v>23.932888903999999</v>
      </c>
      <c r="J17" s="75">
        <v>16.231103375</v>
      </c>
      <c r="K17" s="149">
        <f t="shared" si="0"/>
        <v>2.2736244458799999</v>
      </c>
      <c r="L17" s="75"/>
      <c r="M17" s="148">
        <f>J17+K17-L17</f>
        <v>18.504727820879999</v>
      </c>
      <c r="N17" s="148">
        <f>F17-J17</f>
        <v>7.7017855289999986</v>
      </c>
      <c r="O17" s="148">
        <f>I17-M17</f>
        <v>5.4281610831199991</v>
      </c>
    </row>
    <row r="18" spans="2:21" ht="15">
      <c r="B18" s="206">
        <v>10</v>
      </c>
      <c r="C18" s="191" t="s">
        <v>501</v>
      </c>
      <c r="D18" s="73">
        <v>1800</v>
      </c>
      <c r="E18" s="74">
        <v>6.3299999999999995E-2</v>
      </c>
      <c r="F18" s="76">
        <v>1.4981478159999999</v>
      </c>
      <c r="G18" s="76">
        <v>2.6044971E-2</v>
      </c>
      <c r="H18" s="75">
        <v>0</v>
      </c>
      <c r="I18" s="148">
        <f>F18+G18-H18</f>
        <v>1.5241927869999998</v>
      </c>
      <c r="J18" s="75">
        <v>1.221163183</v>
      </c>
      <c r="K18" s="149">
        <f t="shared" si="0"/>
        <v>9.5657080084949997E-2</v>
      </c>
      <c r="L18" s="75"/>
      <c r="M18" s="148">
        <f t="shared" ref="M18:M20" si="9">J18+K18-L18</f>
        <v>1.3168202630849501</v>
      </c>
      <c r="N18" s="148">
        <f t="shared" ref="N18:N20" si="10">F18-J18</f>
        <v>0.27698463299999987</v>
      </c>
      <c r="O18" s="148">
        <f t="shared" ref="O18:O20" si="11">I18-M18</f>
        <v>0.20737252391504968</v>
      </c>
    </row>
    <row r="19" spans="2:21" ht="15">
      <c r="B19" s="206">
        <v>11</v>
      </c>
      <c r="C19" s="191" t="s">
        <v>502</v>
      </c>
      <c r="D19" s="73">
        <v>1900</v>
      </c>
      <c r="E19" s="74">
        <v>0.15</v>
      </c>
      <c r="F19" s="76">
        <v>2.3321552079999996</v>
      </c>
      <c r="G19" s="76">
        <v>0.14640236399999998</v>
      </c>
      <c r="H19" s="75">
        <v>0</v>
      </c>
      <c r="I19" s="148">
        <f t="shared" ref="I19:I20" si="12">F19+G19-H19</f>
        <v>2.4785575719999997</v>
      </c>
      <c r="J19" s="75">
        <v>1.8026261289999999</v>
      </c>
      <c r="K19" s="149">
        <f t="shared" si="0"/>
        <v>0.36080345849999995</v>
      </c>
      <c r="L19" s="75"/>
      <c r="M19" s="148">
        <f t="shared" si="9"/>
        <v>2.1634295874999996</v>
      </c>
      <c r="N19" s="148">
        <f t="shared" si="10"/>
        <v>0.52952907899999979</v>
      </c>
      <c r="O19" s="148">
        <f t="shared" si="11"/>
        <v>0.31512798450000012</v>
      </c>
    </row>
    <row r="20" spans="2:21" ht="15">
      <c r="B20" s="206">
        <v>12</v>
      </c>
      <c r="C20" s="191" t="s">
        <v>134</v>
      </c>
      <c r="D20" s="73">
        <v>2100</v>
      </c>
      <c r="E20" s="79">
        <v>6.3299999999999995E-2</v>
      </c>
      <c r="F20" s="76">
        <v>1.5372011080000001</v>
      </c>
      <c r="G20" s="76">
        <v>0</v>
      </c>
      <c r="H20" s="77">
        <v>0</v>
      </c>
      <c r="I20" s="148">
        <f t="shared" si="12"/>
        <v>1.5372011080000001</v>
      </c>
      <c r="J20" s="75">
        <v>0.96845671799999999</v>
      </c>
      <c r="K20" s="149">
        <f t="shared" si="0"/>
        <v>9.7304830136399997E-2</v>
      </c>
      <c r="L20" s="75"/>
      <c r="M20" s="148">
        <f t="shared" si="9"/>
        <v>1.0657615481364</v>
      </c>
      <c r="N20" s="148">
        <f t="shared" si="10"/>
        <v>0.5687443900000001</v>
      </c>
      <c r="O20" s="148">
        <f t="shared" si="11"/>
        <v>0.47143955986360009</v>
      </c>
    </row>
    <row r="21" spans="2:21" ht="15.75" thickBot="1">
      <c r="B21" s="80"/>
      <c r="C21" s="81" t="s">
        <v>523</v>
      </c>
      <c r="D21" s="81"/>
      <c r="E21" s="150"/>
      <c r="F21" s="151">
        <f>SUM(F9:F20)</f>
        <v>2548.8260413609996</v>
      </c>
      <c r="G21" s="151">
        <f t="shared" ref="G21:L21" si="13">SUM(G9:G20)</f>
        <v>0.17244733499999998</v>
      </c>
      <c r="H21" s="151">
        <f t="shared" si="13"/>
        <v>-2.2591999999999998E-3</v>
      </c>
      <c r="I21" s="151">
        <f t="shared" si="13"/>
        <v>2549.0007478959997</v>
      </c>
      <c r="J21" s="151">
        <f t="shared" si="13"/>
        <v>1956.0932229109999</v>
      </c>
      <c r="K21" s="151">
        <f t="shared" si="13"/>
        <v>128.09296343514978</v>
      </c>
      <c r="L21" s="151">
        <f t="shared" si="13"/>
        <v>0</v>
      </c>
      <c r="M21" s="151">
        <f>J21+K21</f>
        <v>2084.1861863461495</v>
      </c>
      <c r="N21" s="151">
        <f>F21-J21</f>
        <v>592.73281844999974</v>
      </c>
      <c r="O21" s="151">
        <f>I21-M21</f>
        <v>464.81456154985017</v>
      </c>
      <c r="Q21" s="192"/>
      <c r="S21" s="192"/>
      <c r="U21" s="192"/>
    </row>
    <row r="22" spans="2:21" ht="15" thickBot="1">
      <c r="F22" s="192">
        <f>SUM(F9:F20)</f>
        <v>2548.8260413609996</v>
      </c>
      <c r="G22" s="192">
        <f t="shared" ref="G22:O22" si="14">SUM(G9:G20)</f>
        <v>0.17244733499999998</v>
      </c>
      <c r="H22" s="192">
        <f t="shared" si="14"/>
        <v>-2.2591999999999998E-3</v>
      </c>
      <c r="I22" s="192">
        <f t="shared" si="14"/>
        <v>2549.0007478959997</v>
      </c>
      <c r="J22" s="192">
        <f t="shared" si="14"/>
        <v>1956.0932229109999</v>
      </c>
      <c r="K22" s="192">
        <f t="shared" si="14"/>
        <v>128.09296343514978</v>
      </c>
      <c r="L22" s="192">
        <f t="shared" si="14"/>
        <v>0</v>
      </c>
      <c r="M22" s="192">
        <f t="shared" si="14"/>
        <v>2084.1861863461495</v>
      </c>
      <c r="N22" s="192">
        <f t="shared" si="14"/>
        <v>592.73281844999997</v>
      </c>
      <c r="O22" s="192">
        <f t="shared" si="14"/>
        <v>464.81456154985045</v>
      </c>
    </row>
    <row r="23" spans="2:21" ht="15">
      <c r="B23" s="298" t="s">
        <v>482</v>
      </c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300"/>
    </row>
    <row r="24" spans="2:21" ht="14.25" customHeight="1">
      <c r="B24" s="303" t="s">
        <v>2</v>
      </c>
      <c r="C24" s="305" t="s">
        <v>303</v>
      </c>
      <c r="D24" s="301" t="s">
        <v>291</v>
      </c>
      <c r="E24" s="301" t="s">
        <v>292</v>
      </c>
      <c r="F24" s="301" t="s">
        <v>293</v>
      </c>
      <c r="G24" s="301"/>
      <c r="H24" s="301"/>
      <c r="I24" s="301"/>
      <c r="J24" s="301" t="s">
        <v>294</v>
      </c>
      <c r="K24" s="301"/>
      <c r="L24" s="301"/>
      <c r="M24" s="301"/>
      <c r="N24" s="301" t="s">
        <v>295</v>
      </c>
      <c r="O24" s="302"/>
    </row>
    <row r="25" spans="2:21" ht="60">
      <c r="B25" s="304"/>
      <c r="C25" s="306"/>
      <c r="D25" s="307"/>
      <c r="E25" s="307"/>
      <c r="F25" s="204" t="s">
        <v>296</v>
      </c>
      <c r="G25" s="204" t="s">
        <v>138</v>
      </c>
      <c r="H25" s="204" t="s">
        <v>297</v>
      </c>
      <c r="I25" s="204" t="s">
        <v>298</v>
      </c>
      <c r="J25" s="204" t="s">
        <v>299</v>
      </c>
      <c r="K25" s="204" t="s">
        <v>138</v>
      </c>
      <c r="L25" s="204" t="s">
        <v>300</v>
      </c>
      <c r="M25" s="204" t="s">
        <v>301</v>
      </c>
      <c r="N25" s="204" t="s">
        <v>296</v>
      </c>
      <c r="O25" s="205" t="s">
        <v>298</v>
      </c>
    </row>
    <row r="26" spans="2:21" ht="15">
      <c r="B26" s="50">
        <v>1</v>
      </c>
      <c r="C26" s="54" t="s">
        <v>496</v>
      </c>
      <c r="D26" s="50">
        <v>1000</v>
      </c>
      <c r="E26" s="50">
        <v>0</v>
      </c>
      <c r="F26" s="148">
        <f>I9</f>
        <v>22.201953</v>
      </c>
      <c r="G26" s="237">
        <v>0</v>
      </c>
      <c r="H26" s="75"/>
      <c r="I26" s="148">
        <f>F26+G26-H26</f>
        <v>22.201953</v>
      </c>
      <c r="J26" s="75">
        <f>M9</f>
        <v>0</v>
      </c>
      <c r="K26" s="149">
        <v>0</v>
      </c>
      <c r="L26" s="75"/>
      <c r="M26" s="148">
        <f>J26+K26-L26</f>
        <v>0</v>
      </c>
      <c r="N26" s="148">
        <f>F26-J26</f>
        <v>22.201953</v>
      </c>
      <c r="O26" s="148">
        <f>I26-M26</f>
        <v>22.201953</v>
      </c>
    </row>
    <row r="27" spans="2:21" ht="15">
      <c r="B27" s="50">
        <f>+B26+1</f>
        <v>2</v>
      </c>
      <c r="C27" s="54" t="s">
        <v>531</v>
      </c>
      <c r="D27" s="50">
        <v>1010</v>
      </c>
      <c r="E27" s="50">
        <v>0</v>
      </c>
      <c r="F27" s="148">
        <f t="shared" ref="F27:F37" si="15">I10</f>
        <v>41.582841600000002</v>
      </c>
      <c r="G27" s="237">
        <v>0</v>
      </c>
      <c r="H27" s="75"/>
      <c r="I27" s="148">
        <f>F27+G27-H27</f>
        <v>41.582841600000002</v>
      </c>
      <c r="J27" s="75">
        <f t="shared" ref="J27:J37" si="16">M10</f>
        <v>0</v>
      </c>
      <c r="K27" s="149">
        <v>0</v>
      </c>
      <c r="L27" s="75"/>
      <c r="M27" s="148">
        <f t="shared" ref="M27:M28" si="17">J27+K27-L27</f>
        <v>0</v>
      </c>
      <c r="N27" s="148">
        <f t="shared" ref="N27:N29" si="18">F27-J27</f>
        <v>41.582841600000002</v>
      </c>
      <c r="O27" s="148">
        <f t="shared" ref="O27:O29" si="19">I27-M27</f>
        <v>41.582841600000002</v>
      </c>
    </row>
    <row r="28" spans="2:21" ht="15">
      <c r="B28" s="50">
        <f t="shared" ref="B28:B37" si="20">+B27+1</f>
        <v>3</v>
      </c>
      <c r="C28" s="54" t="s">
        <v>128</v>
      </c>
      <c r="D28" s="50">
        <v>1100</v>
      </c>
      <c r="E28" s="238">
        <v>3.3399999999999999E-2</v>
      </c>
      <c r="F28" s="148">
        <f t="shared" si="15"/>
        <v>142.68600340200001</v>
      </c>
      <c r="G28" s="237">
        <v>0</v>
      </c>
      <c r="H28" s="75"/>
      <c r="I28" s="148">
        <f t="shared" ref="I28:I29" si="21">F28+G28-H28</f>
        <v>142.68600340200001</v>
      </c>
      <c r="J28" s="75">
        <f t="shared" si="16"/>
        <v>95.520980415626795</v>
      </c>
      <c r="K28" s="149">
        <v>2.5304940510000002</v>
      </c>
      <c r="L28" s="75"/>
      <c r="M28" s="148">
        <f t="shared" si="17"/>
        <v>98.0514744666268</v>
      </c>
      <c r="N28" s="148">
        <f t="shared" si="18"/>
        <v>47.165022986373216</v>
      </c>
      <c r="O28" s="148">
        <f t="shared" si="19"/>
        <v>44.634528935373211</v>
      </c>
    </row>
    <row r="29" spans="2:21" ht="15">
      <c r="B29" s="50">
        <f t="shared" si="20"/>
        <v>4</v>
      </c>
      <c r="C29" s="54" t="s">
        <v>522</v>
      </c>
      <c r="D29" s="50">
        <v>1200</v>
      </c>
      <c r="E29" s="238">
        <v>5.28E-2</v>
      </c>
      <c r="F29" s="148">
        <f t="shared" si="15"/>
        <v>165.50070170000001</v>
      </c>
      <c r="G29" s="237">
        <v>0</v>
      </c>
      <c r="H29" s="77"/>
      <c r="I29" s="148">
        <f t="shared" si="21"/>
        <v>165.50070170000001</v>
      </c>
      <c r="J29" s="75">
        <f t="shared" si="16"/>
        <v>146.36988971776</v>
      </c>
      <c r="K29" s="202">
        <v>0.2</v>
      </c>
      <c r="L29" s="76"/>
      <c r="M29" s="208">
        <f>J29+K29-L29</f>
        <v>146.56988971775999</v>
      </c>
      <c r="N29" s="148">
        <f t="shared" si="18"/>
        <v>19.130811982240004</v>
      </c>
      <c r="O29" s="148">
        <f t="shared" si="19"/>
        <v>18.930811982240016</v>
      </c>
    </row>
    <row r="30" spans="2:21" ht="15">
      <c r="B30" s="50">
        <f t="shared" si="20"/>
        <v>5</v>
      </c>
      <c r="C30" s="54" t="s">
        <v>127</v>
      </c>
      <c r="D30" s="50">
        <v>1300</v>
      </c>
      <c r="E30" s="238">
        <v>5.28E-2</v>
      </c>
      <c r="F30" s="148">
        <f t="shared" si="15"/>
        <v>1789.000938611</v>
      </c>
      <c r="G30" s="237">
        <v>0.08</v>
      </c>
      <c r="H30" s="75"/>
      <c r="I30" s="148">
        <f>F30+G30-H30</f>
        <v>1789.080938611</v>
      </c>
      <c r="J30" s="75">
        <f t="shared" si="16"/>
        <v>1614.6994104517808</v>
      </c>
      <c r="K30" s="149">
        <v>7.75</v>
      </c>
      <c r="L30" s="75"/>
      <c r="M30" s="148">
        <f>J30+K30-L30</f>
        <v>1622.4494104517808</v>
      </c>
      <c r="N30" s="148">
        <f>F30-J30</f>
        <v>174.30152815921929</v>
      </c>
      <c r="O30" s="148">
        <f>I30-M30</f>
        <v>166.63152815921922</v>
      </c>
    </row>
    <row r="31" spans="2:21" ht="15">
      <c r="B31" s="50">
        <f t="shared" si="20"/>
        <v>6</v>
      </c>
      <c r="C31" s="54" t="s">
        <v>498</v>
      </c>
      <c r="D31" s="50">
        <v>1400</v>
      </c>
      <c r="E31" s="238">
        <v>5.28E-2</v>
      </c>
      <c r="F31" s="148">
        <f t="shared" si="15"/>
        <v>27.445761599000001</v>
      </c>
      <c r="G31" s="237">
        <v>0</v>
      </c>
      <c r="H31" s="75"/>
      <c r="I31" s="148">
        <f>F31+G31-H31</f>
        <v>27.445761599000001</v>
      </c>
      <c r="J31" s="75">
        <f t="shared" si="16"/>
        <v>8.6824745414272009</v>
      </c>
      <c r="K31" s="149">
        <v>1.443329772</v>
      </c>
      <c r="L31" s="75"/>
      <c r="M31" s="148">
        <f t="shared" ref="M31:M33" si="22">J31+K31-L31</f>
        <v>10.125804313427201</v>
      </c>
      <c r="N31" s="148">
        <f t="shared" ref="N31:N33" si="23">F31-J31</f>
        <v>18.7632870575728</v>
      </c>
      <c r="O31" s="148">
        <f t="shared" ref="O31:O33" si="24">I31-M31</f>
        <v>17.319957285572798</v>
      </c>
    </row>
    <row r="32" spans="2:21" ht="15">
      <c r="B32" s="50">
        <f t="shared" si="20"/>
        <v>7</v>
      </c>
      <c r="C32" s="54" t="s">
        <v>499</v>
      </c>
      <c r="D32" s="50">
        <v>1500</v>
      </c>
      <c r="E32" s="238">
        <v>5.28E-2</v>
      </c>
      <c r="F32" s="148">
        <f t="shared" si="15"/>
        <v>247.11513890100002</v>
      </c>
      <c r="G32" s="237">
        <v>0</v>
      </c>
      <c r="H32" s="75"/>
      <c r="I32" s="148">
        <f t="shared" ref="I32:I33" si="25">F32+G32-H32</f>
        <v>247.11513890100002</v>
      </c>
      <c r="J32" s="75">
        <f t="shared" si="16"/>
        <v>166.0666318439728</v>
      </c>
      <c r="K32" s="149">
        <v>2.8338257100000002</v>
      </c>
      <c r="L32" s="75"/>
      <c r="M32" s="148">
        <f t="shared" si="22"/>
        <v>168.90045755397281</v>
      </c>
      <c r="N32" s="148">
        <f t="shared" si="23"/>
        <v>81.048507057027223</v>
      </c>
      <c r="O32" s="148">
        <f t="shared" si="24"/>
        <v>78.214681347027209</v>
      </c>
    </row>
    <row r="33" spans="2:15" ht="15">
      <c r="B33" s="50">
        <f t="shared" si="20"/>
        <v>8</v>
      </c>
      <c r="C33" s="54" t="s">
        <v>500</v>
      </c>
      <c r="D33" s="50">
        <v>1600</v>
      </c>
      <c r="E33" s="238">
        <v>3.3399999999999999E-2</v>
      </c>
      <c r="F33" s="148">
        <f t="shared" si="15"/>
        <v>83.994568712000003</v>
      </c>
      <c r="G33" s="237">
        <v>0</v>
      </c>
      <c r="H33" s="77"/>
      <c r="I33" s="148">
        <f t="shared" si="25"/>
        <v>83.994568712000003</v>
      </c>
      <c r="J33" s="75">
        <f t="shared" si="16"/>
        <v>29.7960601559808</v>
      </c>
      <c r="K33" s="149">
        <v>2.0182797035292004</v>
      </c>
      <c r="L33" s="75"/>
      <c r="M33" s="148">
        <f t="shared" si="22"/>
        <v>31.81433985951</v>
      </c>
      <c r="N33" s="148">
        <f t="shared" si="23"/>
        <v>54.198508556019206</v>
      </c>
      <c r="O33" s="148">
        <f t="shared" si="24"/>
        <v>52.180228852490004</v>
      </c>
    </row>
    <row r="34" spans="2:15" ht="15">
      <c r="B34" s="50">
        <f t="shared" si="20"/>
        <v>9</v>
      </c>
      <c r="C34" s="54" t="s">
        <v>132</v>
      </c>
      <c r="D34" s="50">
        <v>1700</v>
      </c>
      <c r="E34" s="238">
        <v>9.5000000000000001E-2</v>
      </c>
      <c r="F34" s="148">
        <f t="shared" si="15"/>
        <v>23.932888903999999</v>
      </c>
      <c r="G34" s="237">
        <v>0</v>
      </c>
      <c r="H34" s="75"/>
      <c r="I34" s="148">
        <f>F34+G34-H34</f>
        <v>23.932888903999999</v>
      </c>
      <c r="J34" s="75">
        <f t="shared" si="16"/>
        <v>18.504727820879999</v>
      </c>
      <c r="K34" s="149">
        <v>0.56531408999999999</v>
      </c>
      <c r="L34" s="75"/>
      <c r="M34" s="148">
        <f>J34+K34-L34</f>
        <v>19.070041910880001</v>
      </c>
      <c r="N34" s="148">
        <f>F34-J34</f>
        <v>5.4281610831199991</v>
      </c>
      <c r="O34" s="148">
        <f>I34-M34</f>
        <v>4.862846993119998</v>
      </c>
    </row>
    <row r="35" spans="2:15" ht="15">
      <c r="B35" s="50">
        <f t="shared" si="20"/>
        <v>10</v>
      </c>
      <c r="C35" s="54" t="s">
        <v>501</v>
      </c>
      <c r="D35" s="50">
        <v>1800</v>
      </c>
      <c r="E35" s="238">
        <v>6.3299999999999995E-2</v>
      </c>
      <c r="F35" s="148">
        <f t="shared" si="15"/>
        <v>1.5241927869999998</v>
      </c>
      <c r="G35" s="237">
        <v>5.711888E-3</v>
      </c>
      <c r="H35" s="75"/>
      <c r="I35" s="148">
        <f>F35+G35-H35</f>
        <v>1.5299046749999998</v>
      </c>
      <c r="J35" s="75">
        <f>M18</f>
        <v>1.3168202630849501</v>
      </c>
      <c r="K35" s="149">
        <v>1.7149444E-2</v>
      </c>
      <c r="L35" s="75"/>
      <c r="M35" s="148">
        <f t="shared" ref="M35:M37" si="26">J35+K35-L35</f>
        <v>1.3339697070849501</v>
      </c>
      <c r="N35" s="148">
        <f t="shared" ref="N35:N36" si="27">F35-J35</f>
        <v>0.20737252391504968</v>
      </c>
      <c r="O35" s="148">
        <f t="shared" ref="O35:O36" si="28">I35-M35</f>
        <v>0.19593496791504972</v>
      </c>
    </row>
    <row r="36" spans="2:15" ht="15">
      <c r="B36" s="50">
        <f t="shared" si="20"/>
        <v>11</v>
      </c>
      <c r="C36" s="54" t="s">
        <v>502</v>
      </c>
      <c r="D36" s="50">
        <v>1900</v>
      </c>
      <c r="E36" s="239">
        <v>0.15</v>
      </c>
      <c r="F36" s="148">
        <f t="shared" si="15"/>
        <v>2.4785575719999997</v>
      </c>
      <c r="G36" s="237">
        <v>7.0875400000000002E-4</v>
      </c>
      <c r="H36" s="75"/>
      <c r="I36" s="148">
        <f t="shared" ref="I36:I37" si="29">F36+G36-H36</f>
        <v>2.4792663259999999</v>
      </c>
      <c r="J36" s="75">
        <f t="shared" si="16"/>
        <v>2.1634295874999996</v>
      </c>
      <c r="K36" s="149">
        <v>8.0491251999999999E-2</v>
      </c>
      <c r="L36" s="75"/>
      <c r="M36" s="148">
        <f t="shared" si="26"/>
        <v>2.2439208394999994</v>
      </c>
      <c r="N36" s="148">
        <f t="shared" si="27"/>
        <v>0.31512798450000012</v>
      </c>
      <c r="O36" s="148">
        <f t="shared" si="28"/>
        <v>0.23534548650000042</v>
      </c>
    </row>
    <row r="37" spans="2:15" ht="15">
      <c r="B37" s="50">
        <f t="shared" si="20"/>
        <v>12</v>
      </c>
      <c r="C37" s="54" t="s">
        <v>134</v>
      </c>
      <c r="D37" s="50">
        <v>2100</v>
      </c>
      <c r="E37" s="238">
        <v>6.3299999999999995E-2</v>
      </c>
      <c r="F37" s="148">
        <f t="shared" si="15"/>
        <v>1.5372011080000001</v>
      </c>
      <c r="G37" s="237">
        <v>5.2190278999999999E-2</v>
      </c>
      <c r="H37" s="77"/>
      <c r="I37" s="148">
        <f t="shared" si="29"/>
        <v>1.589391387</v>
      </c>
      <c r="J37" s="75">
        <f t="shared" si="16"/>
        <v>1.0657615481364</v>
      </c>
      <c r="K37" s="149">
        <v>5.4555347999999997E-2</v>
      </c>
      <c r="L37" s="75"/>
      <c r="M37" s="148">
        <f t="shared" si="26"/>
        <v>1.1203168961364001</v>
      </c>
      <c r="N37" s="148">
        <f t="shared" ref="N37" si="30">F37-J37</f>
        <v>0.47143955986360009</v>
      </c>
      <c r="O37" s="148">
        <f t="shared" ref="O37" si="31">I37-M37</f>
        <v>0.46907449086359998</v>
      </c>
    </row>
    <row r="38" spans="2:15" ht="15.75" thickBot="1">
      <c r="B38" s="80"/>
      <c r="C38" s="81" t="s">
        <v>139</v>
      </c>
      <c r="D38" s="81"/>
      <c r="E38" s="150"/>
      <c r="F38" s="151">
        <f>SUM(F26:F37)</f>
        <v>2549.0007478959997</v>
      </c>
      <c r="G38" s="151">
        <f t="shared" ref="G38:I38" si="32">SUM(G26:G37)</f>
        <v>0.138610921</v>
      </c>
      <c r="H38" s="151">
        <f t="shared" si="32"/>
        <v>0</v>
      </c>
      <c r="I38" s="151">
        <f t="shared" si="32"/>
        <v>2549.1393588169999</v>
      </c>
      <c r="J38" s="151">
        <f>M21</f>
        <v>2084.1861863461495</v>
      </c>
      <c r="K38" s="151">
        <v>17.493439370529206</v>
      </c>
      <c r="L38" s="151">
        <f t="shared" ref="L38" si="33">SUM(L26:L37)</f>
        <v>0</v>
      </c>
      <c r="M38" s="151">
        <f>J38+K38</f>
        <v>2101.6796257166789</v>
      </c>
      <c r="N38" s="151">
        <f>F38-J38</f>
        <v>464.81456154985017</v>
      </c>
      <c r="O38" s="151">
        <f>I38-M38</f>
        <v>447.45973310032105</v>
      </c>
    </row>
    <row r="39" spans="2:15" ht="15" thickBot="1">
      <c r="F39" s="192">
        <f>SUM(F26:F37)</f>
        <v>2549.0007478959997</v>
      </c>
      <c r="G39" s="192">
        <f t="shared" ref="G39:O39" si="34">SUM(G26:G37)</f>
        <v>0.138610921</v>
      </c>
      <c r="H39" s="192">
        <f t="shared" si="34"/>
        <v>0</v>
      </c>
      <c r="I39" s="192">
        <f t="shared" si="34"/>
        <v>2549.1393588169999</v>
      </c>
      <c r="J39" s="192">
        <f t="shared" si="34"/>
        <v>2084.1861863461495</v>
      </c>
      <c r="K39" s="192">
        <f t="shared" si="34"/>
        <v>17.493439370529206</v>
      </c>
      <c r="L39" s="192">
        <f t="shared" si="34"/>
        <v>0</v>
      </c>
      <c r="M39" s="192">
        <f t="shared" si="34"/>
        <v>2101.6796257166784</v>
      </c>
      <c r="N39" s="192">
        <f t="shared" si="34"/>
        <v>464.81456154985045</v>
      </c>
      <c r="O39" s="192">
        <f t="shared" si="34"/>
        <v>447.45973310032116</v>
      </c>
    </row>
    <row r="40" spans="2:15" ht="15">
      <c r="B40" s="298" t="s">
        <v>483</v>
      </c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300"/>
    </row>
    <row r="41" spans="2:15" ht="15">
      <c r="B41" s="303" t="s">
        <v>2</v>
      </c>
      <c r="C41" s="305" t="s">
        <v>303</v>
      </c>
      <c r="D41" s="301" t="s">
        <v>291</v>
      </c>
      <c r="E41" s="301" t="s">
        <v>292</v>
      </c>
      <c r="F41" s="301" t="s">
        <v>293</v>
      </c>
      <c r="G41" s="301"/>
      <c r="H41" s="301"/>
      <c r="I41" s="301"/>
      <c r="J41" s="301" t="s">
        <v>294</v>
      </c>
      <c r="K41" s="301"/>
      <c r="L41" s="301"/>
      <c r="M41" s="301"/>
      <c r="N41" s="301" t="s">
        <v>295</v>
      </c>
      <c r="O41" s="302"/>
    </row>
    <row r="42" spans="2:15" ht="60">
      <c r="B42" s="304"/>
      <c r="C42" s="306"/>
      <c r="D42" s="307"/>
      <c r="E42" s="307"/>
      <c r="F42" s="204" t="s">
        <v>296</v>
      </c>
      <c r="G42" s="204" t="s">
        <v>138</v>
      </c>
      <c r="H42" s="204" t="s">
        <v>297</v>
      </c>
      <c r="I42" s="204" t="s">
        <v>298</v>
      </c>
      <c r="J42" s="204" t="s">
        <v>299</v>
      </c>
      <c r="K42" s="204" t="s">
        <v>138</v>
      </c>
      <c r="L42" s="204" t="s">
        <v>300</v>
      </c>
      <c r="M42" s="204" t="s">
        <v>301</v>
      </c>
      <c r="N42" s="204" t="s">
        <v>296</v>
      </c>
      <c r="O42" s="205" t="s">
        <v>298</v>
      </c>
    </row>
    <row r="43" spans="2:15" ht="15">
      <c r="B43" s="206">
        <v>1</v>
      </c>
      <c r="C43" s="78" t="s">
        <v>496</v>
      </c>
      <c r="D43" s="73">
        <v>1000</v>
      </c>
      <c r="E43" s="207">
        <v>0</v>
      </c>
      <c r="F43" s="148">
        <f t="shared" ref="F43:F54" si="35">I26</f>
        <v>22.201953</v>
      </c>
      <c r="G43" s="76"/>
      <c r="H43" s="75"/>
      <c r="I43" s="148">
        <f>F43+G43-H43</f>
        <v>22.201953</v>
      </c>
      <c r="J43" s="75">
        <f>M26</f>
        <v>0</v>
      </c>
      <c r="K43" s="149"/>
      <c r="L43" s="75"/>
      <c r="M43" s="148">
        <f>J43+K43-L43</f>
        <v>0</v>
      </c>
      <c r="N43" s="148">
        <f>F43-J43</f>
        <v>22.201953</v>
      </c>
      <c r="O43" s="148">
        <f>I43-M43</f>
        <v>22.201953</v>
      </c>
    </row>
    <row r="44" spans="2:15" ht="15">
      <c r="B44" s="206">
        <v>2</v>
      </c>
      <c r="C44" s="72" t="s">
        <v>128</v>
      </c>
      <c r="D44" s="73">
        <v>1100</v>
      </c>
      <c r="E44" s="74">
        <v>3.3399999999999999E-2</v>
      </c>
      <c r="F44" s="148">
        <f t="shared" si="35"/>
        <v>41.582841600000002</v>
      </c>
      <c r="G44" s="76"/>
      <c r="H44" s="75"/>
      <c r="I44" s="148">
        <f t="shared" ref="I44:I54" si="36">F44+G44-H44</f>
        <v>41.582841600000002</v>
      </c>
      <c r="J44" s="75">
        <f t="shared" ref="J44:J54" si="37">M27</f>
        <v>0</v>
      </c>
      <c r="K44" s="149"/>
      <c r="L44" s="75"/>
      <c r="M44" s="148">
        <f t="shared" ref="M44:M46" si="38">J44+K44-L44</f>
        <v>0</v>
      </c>
      <c r="N44" s="148">
        <f t="shared" ref="N44:N46" si="39">F44-J44</f>
        <v>41.582841600000002</v>
      </c>
      <c r="O44" s="148">
        <f t="shared" ref="O44:O46" si="40">I44-M44</f>
        <v>41.582841600000002</v>
      </c>
    </row>
    <row r="45" spans="2:15" ht="15">
      <c r="B45" s="206">
        <v>3</v>
      </c>
      <c r="C45" s="78" t="s">
        <v>497</v>
      </c>
      <c r="D45" s="73">
        <v>1200</v>
      </c>
      <c r="E45" s="74">
        <v>5.28E-2</v>
      </c>
      <c r="F45" s="148">
        <f t="shared" si="35"/>
        <v>142.68600340200001</v>
      </c>
      <c r="G45" s="76"/>
      <c r="H45" s="75"/>
      <c r="I45" s="148">
        <f t="shared" si="36"/>
        <v>142.68600340200001</v>
      </c>
      <c r="J45" s="75">
        <f t="shared" si="37"/>
        <v>98.0514744666268</v>
      </c>
      <c r="K45" s="149"/>
      <c r="L45" s="75"/>
      <c r="M45" s="148">
        <f t="shared" si="38"/>
        <v>98.0514744666268</v>
      </c>
      <c r="N45" s="148">
        <f t="shared" si="39"/>
        <v>44.634528935373211</v>
      </c>
      <c r="O45" s="148">
        <f t="shared" si="40"/>
        <v>44.634528935373211</v>
      </c>
    </row>
    <row r="46" spans="2:15" ht="15">
      <c r="B46" s="206">
        <v>4</v>
      </c>
      <c r="C46" s="191" t="s">
        <v>127</v>
      </c>
      <c r="D46" s="73">
        <v>1300</v>
      </c>
      <c r="E46" s="79">
        <v>5.28E-2</v>
      </c>
      <c r="F46" s="148">
        <f t="shared" si="35"/>
        <v>165.50070170000001</v>
      </c>
      <c r="G46" s="76"/>
      <c r="H46" s="77"/>
      <c r="I46" s="148">
        <f t="shared" si="36"/>
        <v>165.50070170000001</v>
      </c>
      <c r="J46" s="75">
        <f t="shared" si="37"/>
        <v>146.56988971775999</v>
      </c>
      <c r="K46" s="149"/>
      <c r="L46" s="75"/>
      <c r="M46" s="148">
        <f t="shared" si="38"/>
        <v>146.56988971775999</v>
      </c>
      <c r="N46" s="148">
        <f t="shared" si="39"/>
        <v>18.930811982240016</v>
      </c>
      <c r="O46" s="148">
        <f t="shared" si="40"/>
        <v>18.930811982240016</v>
      </c>
    </row>
    <row r="47" spans="2:15" ht="15">
      <c r="B47" s="206">
        <v>5</v>
      </c>
      <c r="C47" s="191" t="s">
        <v>498</v>
      </c>
      <c r="D47" s="73">
        <v>1400</v>
      </c>
      <c r="E47" s="207">
        <v>5.28E-2</v>
      </c>
      <c r="F47" s="148">
        <f t="shared" si="35"/>
        <v>1789.080938611</v>
      </c>
      <c r="G47" s="76">
        <f>'F3'!I12</f>
        <v>11.29</v>
      </c>
      <c r="H47" s="75"/>
      <c r="I47" s="148">
        <f t="shared" si="36"/>
        <v>1800.3709386109999</v>
      </c>
      <c r="J47" s="75">
        <f t="shared" si="37"/>
        <v>1622.4494104517808</v>
      </c>
      <c r="K47" s="149">
        <v>17.504780264065506</v>
      </c>
      <c r="L47" s="75"/>
      <c r="M47" s="148">
        <f>J47+K47-L47</f>
        <v>1639.9541907158462</v>
      </c>
      <c r="N47" s="148">
        <f>F47-J47</f>
        <v>166.63152815921922</v>
      </c>
      <c r="O47" s="148">
        <f>I47-M47</f>
        <v>160.41674789515378</v>
      </c>
    </row>
    <row r="48" spans="2:15" ht="15">
      <c r="B48" s="206">
        <v>6</v>
      </c>
      <c r="C48" s="191" t="s">
        <v>499</v>
      </c>
      <c r="D48" s="73">
        <v>1500</v>
      </c>
      <c r="E48" s="74">
        <v>5.28E-2</v>
      </c>
      <c r="F48" s="148">
        <f t="shared" si="35"/>
        <v>27.445761599000001</v>
      </c>
      <c r="G48" s="76"/>
      <c r="H48" s="75"/>
      <c r="I48" s="148">
        <f t="shared" si="36"/>
        <v>27.445761599000001</v>
      </c>
      <c r="J48" s="75">
        <f t="shared" si="37"/>
        <v>10.125804313427201</v>
      </c>
      <c r="K48" s="149"/>
      <c r="L48" s="75"/>
      <c r="M48" s="148">
        <f t="shared" ref="M48:M50" si="41">J48+K48-L48</f>
        <v>10.125804313427201</v>
      </c>
      <c r="N48" s="148">
        <f t="shared" ref="N48:N50" si="42">F48-J48</f>
        <v>17.319957285572798</v>
      </c>
      <c r="O48" s="148">
        <f t="shared" ref="O48:O50" si="43">I48-M48</f>
        <v>17.319957285572798</v>
      </c>
    </row>
    <row r="49" spans="2:15" ht="15">
      <c r="B49" s="206">
        <v>7</v>
      </c>
      <c r="C49" s="191" t="s">
        <v>500</v>
      </c>
      <c r="D49" s="73">
        <v>1600</v>
      </c>
      <c r="E49" s="74">
        <v>3.3399999999999999E-2</v>
      </c>
      <c r="F49" s="148">
        <f t="shared" si="35"/>
        <v>247.11513890100002</v>
      </c>
      <c r="G49" s="76"/>
      <c r="H49" s="75"/>
      <c r="I49" s="148">
        <f t="shared" si="36"/>
        <v>247.11513890100002</v>
      </c>
      <c r="J49" s="75">
        <f t="shared" si="37"/>
        <v>168.90045755397281</v>
      </c>
      <c r="K49" s="149"/>
      <c r="L49" s="75"/>
      <c r="M49" s="148">
        <f t="shared" si="41"/>
        <v>168.90045755397281</v>
      </c>
      <c r="N49" s="148">
        <f t="shared" si="42"/>
        <v>78.214681347027209</v>
      </c>
      <c r="O49" s="148">
        <f t="shared" si="43"/>
        <v>78.214681347027209</v>
      </c>
    </row>
    <row r="50" spans="2:15" ht="15">
      <c r="B50" s="206">
        <v>8</v>
      </c>
      <c r="C50" s="191" t="s">
        <v>132</v>
      </c>
      <c r="D50" s="73">
        <v>1700</v>
      </c>
      <c r="E50" s="79">
        <v>9.5000000000000001E-2</v>
      </c>
      <c r="F50" s="148">
        <f t="shared" si="35"/>
        <v>83.994568712000003</v>
      </c>
      <c r="G50" s="76"/>
      <c r="H50" s="77"/>
      <c r="I50" s="148">
        <f t="shared" si="36"/>
        <v>83.994568712000003</v>
      </c>
      <c r="J50" s="75">
        <f t="shared" si="37"/>
        <v>31.81433985951</v>
      </c>
      <c r="K50" s="149"/>
      <c r="L50" s="75"/>
      <c r="M50" s="148">
        <f t="shared" si="41"/>
        <v>31.81433985951</v>
      </c>
      <c r="N50" s="148">
        <f t="shared" si="42"/>
        <v>52.180228852490004</v>
      </c>
      <c r="O50" s="148">
        <f t="shared" si="43"/>
        <v>52.180228852490004</v>
      </c>
    </row>
    <row r="51" spans="2:15" ht="15">
      <c r="B51" s="206">
        <v>9</v>
      </c>
      <c r="C51" s="191" t="s">
        <v>501</v>
      </c>
      <c r="D51" s="73">
        <v>1800</v>
      </c>
      <c r="E51" s="207">
        <v>6.3299999999999995E-2</v>
      </c>
      <c r="F51" s="148">
        <f t="shared" si="35"/>
        <v>23.932888903999999</v>
      </c>
      <c r="G51" s="76"/>
      <c r="H51" s="75"/>
      <c r="I51" s="148">
        <f t="shared" si="36"/>
        <v>23.932888903999999</v>
      </c>
      <c r="J51" s="75">
        <f t="shared" si="37"/>
        <v>19.070041910880001</v>
      </c>
      <c r="K51" s="149"/>
      <c r="L51" s="75"/>
      <c r="M51" s="148">
        <f>J51+K51-L51</f>
        <v>19.070041910880001</v>
      </c>
      <c r="N51" s="148">
        <f>F51-J51</f>
        <v>4.862846993119998</v>
      </c>
      <c r="O51" s="148">
        <f>I51-M51</f>
        <v>4.862846993119998</v>
      </c>
    </row>
    <row r="52" spans="2:15" ht="15">
      <c r="B52" s="206">
        <v>10</v>
      </c>
      <c r="C52" s="191" t="s">
        <v>502</v>
      </c>
      <c r="D52" s="73">
        <v>1900</v>
      </c>
      <c r="E52" s="74">
        <v>0.15</v>
      </c>
      <c r="F52" s="148">
        <f t="shared" si="35"/>
        <v>1.5299046749999998</v>
      </c>
      <c r="G52" s="76"/>
      <c r="H52" s="75"/>
      <c r="I52" s="148">
        <f t="shared" si="36"/>
        <v>1.5299046749999998</v>
      </c>
      <c r="J52" s="75">
        <f t="shared" si="37"/>
        <v>1.3339697070849501</v>
      </c>
      <c r="K52" s="149"/>
      <c r="L52" s="75"/>
      <c r="M52" s="148">
        <f t="shared" ref="M52:M54" si="44">J52+K52-L52</f>
        <v>1.3339697070849501</v>
      </c>
      <c r="N52" s="148">
        <f t="shared" ref="N52:N54" si="45">F52-J52</f>
        <v>0.19593496791504972</v>
      </c>
      <c r="O52" s="148">
        <f t="shared" ref="O52:O54" si="46">I52-M52</f>
        <v>0.19593496791504972</v>
      </c>
    </row>
    <row r="53" spans="2:15" ht="15">
      <c r="B53" s="206">
        <v>11</v>
      </c>
      <c r="C53" s="191" t="s">
        <v>134</v>
      </c>
      <c r="D53" s="73">
        <v>2100</v>
      </c>
      <c r="E53" s="74">
        <v>6.3299999999999995E-2</v>
      </c>
      <c r="F53" s="148">
        <f t="shared" si="35"/>
        <v>2.4792663259999999</v>
      </c>
      <c r="G53" s="76"/>
      <c r="H53" s="75"/>
      <c r="I53" s="148">
        <f t="shared" si="36"/>
        <v>2.4792663259999999</v>
      </c>
      <c r="J53" s="75">
        <f t="shared" si="37"/>
        <v>2.2439208394999994</v>
      </c>
      <c r="K53" s="149"/>
      <c r="L53" s="75"/>
      <c r="M53" s="148">
        <f t="shared" si="44"/>
        <v>2.2439208394999994</v>
      </c>
      <c r="N53" s="148">
        <f t="shared" si="45"/>
        <v>0.23534548650000042</v>
      </c>
      <c r="O53" s="148">
        <f t="shared" si="46"/>
        <v>0.23534548650000042</v>
      </c>
    </row>
    <row r="54" spans="2:15" ht="15">
      <c r="B54" s="206"/>
      <c r="C54" s="191" t="s">
        <v>503</v>
      </c>
      <c r="D54" s="73">
        <v>2200</v>
      </c>
      <c r="E54" s="79">
        <v>0</v>
      </c>
      <c r="F54" s="148">
        <f t="shared" si="35"/>
        <v>1.589391387</v>
      </c>
      <c r="H54" s="77"/>
      <c r="I54" s="148">
        <f t="shared" si="36"/>
        <v>1.589391387</v>
      </c>
      <c r="J54" s="75">
        <f t="shared" si="37"/>
        <v>1.1203168961364001</v>
      </c>
      <c r="K54" s="149"/>
      <c r="L54" s="75"/>
      <c r="M54" s="148">
        <f t="shared" si="44"/>
        <v>1.1203168961364001</v>
      </c>
      <c r="N54" s="148">
        <f t="shared" si="45"/>
        <v>0.46907449086359998</v>
      </c>
      <c r="O54" s="148">
        <f t="shared" si="46"/>
        <v>0.46907449086359998</v>
      </c>
    </row>
    <row r="55" spans="2:15" ht="15.75" thickBot="1">
      <c r="B55" s="80"/>
      <c r="C55" s="81" t="s">
        <v>139</v>
      </c>
      <c r="D55" s="81"/>
      <c r="E55" s="150">
        <f>IFERROR((K55-L55)/AVERAGE(F55,I55),0)</f>
        <v>6.8517643000488475E-3</v>
      </c>
      <c r="F55" s="151">
        <f>I38</f>
        <v>2549.1393588169999</v>
      </c>
      <c r="G55" s="151">
        <f>'F3'!I12</f>
        <v>11.29</v>
      </c>
      <c r="H55" s="151">
        <f t="shared" ref="H55:L55" si="47">SUM(H51:H54)</f>
        <v>0</v>
      </c>
      <c r="I55" s="151">
        <f>F55+G55</f>
        <v>2560.4293588169999</v>
      </c>
      <c r="J55" s="152">
        <f>M38</f>
        <v>2101.6796257166789</v>
      </c>
      <c r="K55" s="151">
        <f>SUM(K43:K54)</f>
        <v>17.504780264065506</v>
      </c>
      <c r="L55" s="153">
        <f t="shared" si="47"/>
        <v>0</v>
      </c>
      <c r="M55" s="152">
        <f>J55+K55</f>
        <v>2119.1844059807445</v>
      </c>
      <c r="N55" s="151">
        <f>F55-J55</f>
        <v>447.45973310032105</v>
      </c>
      <c r="O55" s="151">
        <f>I55-M55</f>
        <v>441.24495283625538</v>
      </c>
    </row>
    <row r="56" spans="2:15" ht="15" thickBot="1">
      <c r="F56" s="192">
        <f>SUM(F43:F54)</f>
        <v>2549.1393588169999</v>
      </c>
      <c r="G56" s="192">
        <f>SUM(G43:G53)</f>
        <v>11.29</v>
      </c>
      <c r="H56" s="192">
        <f t="shared" ref="H56:O56" si="48">SUM(H43:H54)</f>
        <v>0</v>
      </c>
      <c r="I56" s="192">
        <f t="shared" si="48"/>
        <v>2560.4293588169999</v>
      </c>
      <c r="J56" s="192">
        <f t="shared" si="48"/>
        <v>2101.6796257166784</v>
      </c>
      <c r="K56" s="192">
        <f t="shared" si="48"/>
        <v>17.504780264065506</v>
      </c>
      <c r="L56" s="192">
        <f t="shared" si="48"/>
        <v>0</v>
      </c>
      <c r="M56" s="192">
        <f t="shared" si="48"/>
        <v>2119.184405980744</v>
      </c>
      <c r="N56" s="192">
        <f>SUM(N43:N54)</f>
        <v>447.45973310032116</v>
      </c>
      <c r="O56" s="192">
        <f t="shared" si="48"/>
        <v>441.24495283625572</v>
      </c>
    </row>
    <row r="57" spans="2:15" ht="15">
      <c r="B57" s="298" t="s">
        <v>484</v>
      </c>
      <c r="C57" s="299"/>
      <c r="D57" s="299"/>
      <c r="E57" s="299"/>
      <c r="F57" s="299"/>
      <c r="G57" s="299"/>
      <c r="H57" s="299"/>
      <c r="I57" s="299"/>
      <c r="J57" s="299"/>
      <c r="K57" s="299"/>
      <c r="L57" s="299"/>
      <c r="M57" s="299"/>
      <c r="N57" s="299"/>
      <c r="O57" s="300"/>
    </row>
    <row r="58" spans="2:15" ht="15">
      <c r="B58" s="303" t="s">
        <v>2</v>
      </c>
      <c r="C58" s="305" t="s">
        <v>303</v>
      </c>
      <c r="D58" s="301" t="s">
        <v>291</v>
      </c>
      <c r="E58" s="301" t="s">
        <v>292</v>
      </c>
      <c r="F58" s="301" t="s">
        <v>293</v>
      </c>
      <c r="G58" s="301"/>
      <c r="H58" s="301"/>
      <c r="I58" s="301"/>
      <c r="J58" s="301" t="s">
        <v>294</v>
      </c>
      <c r="K58" s="301"/>
      <c r="L58" s="301"/>
      <c r="M58" s="301"/>
      <c r="N58" s="301" t="s">
        <v>295</v>
      </c>
      <c r="O58" s="302"/>
    </row>
    <row r="59" spans="2:15" ht="60">
      <c r="B59" s="304"/>
      <c r="C59" s="306"/>
      <c r="D59" s="307"/>
      <c r="E59" s="307"/>
      <c r="F59" s="204" t="s">
        <v>296</v>
      </c>
      <c r="G59" s="204" t="s">
        <v>138</v>
      </c>
      <c r="H59" s="204" t="s">
        <v>297</v>
      </c>
      <c r="I59" s="204" t="s">
        <v>298</v>
      </c>
      <c r="J59" s="204" t="s">
        <v>299</v>
      </c>
      <c r="K59" s="204" t="s">
        <v>138</v>
      </c>
      <c r="L59" s="204" t="s">
        <v>300</v>
      </c>
      <c r="M59" s="204" t="s">
        <v>301</v>
      </c>
      <c r="N59" s="204" t="s">
        <v>296</v>
      </c>
      <c r="O59" s="205" t="s">
        <v>298</v>
      </c>
    </row>
    <row r="60" spans="2:15" ht="15">
      <c r="B60" s="206">
        <v>1</v>
      </c>
      <c r="C60" s="78" t="s">
        <v>496</v>
      </c>
      <c r="D60" s="73">
        <v>1000</v>
      </c>
      <c r="E60" s="207">
        <v>0</v>
      </c>
      <c r="F60" s="148">
        <f t="shared" ref="F60:F71" si="49">I43</f>
        <v>22.201953</v>
      </c>
      <c r="G60" s="76"/>
      <c r="H60" s="75"/>
      <c r="I60" s="148">
        <f>F60+G60-H60</f>
        <v>22.201953</v>
      </c>
      <c r="J60" s="75">
        <f>M43</f>
        <v>0</v>
      </c>
      <c r="K60" s="149"/>
      <c r="L60" s="75"/>
      <c r="M60" s="148">
        <f>J60+K60-L60</f>
        <v>0</v>
      </c>
      <c r="N60" s="148">
        <f>F60-J60</f>
        <v>22.201953</v>
      </c>
      <c r="O60" s="148">
        <f>I60-M60</f>
        <v>22.201953</v>
      </c>
    </row>
    <row r="61" spans="2:15" ht="15">
      <c r="B61" s="206">
        <v>2</v>
      </c>
      <c r="C61" s="72" t="s">
        <v>128</v>
      </c>
      <c r="D61" s="73">
        <v>1100</v>
      </c>
      <c r="E61" s="74">
        <v>3.3399999999999999E-2</v>
      </c>
      <c r="F61" s="148">
        <f t="shared" si="49"/>
        <v>41.582841600000002</v>
      </c>
      <c r="G61" s="76"/>
      <c r="H61" s="75"/>
      <c r="I61" s="148">
        <f>F61+G61-H61</f>
        <v>41.582841600000002</v>
      </c>
      <c r="J61" s="75">
        <f t="shared" ref="J61:J71" si="50">M44</f>
        <v>0</v>
      </c>
      <c r="K61" s="149"/>
      <c r="L61" s="75"/>
      <c r="M61" s="148">
        <f t="shared" ref="M61:M71" si="51">J61+K61-L61</f>
        <v>0</v>
      </c>
      <c r="N61" s="148">
        <f t="shared" ref="N61:N63" si="52">F61-J61</f>
        <v>41.582841600000002</v>
      </c>
      <c r="O61" s="148">
        <f t="shared" ref="O61:O63" si="53">I61-M61</f>
        <v>41.582841600000002</v>
      </c>
    </row>
    <row r="62" spans="2:15" ht="15">
      <c r="B62" s="206">
        <v>3</v>
      </c>
      <c r="C62" s="78" t="s">
        <v>497</v>
      </c>
      <c r="D62" s="73">
        <v>1200</v>
      </c>
      <c r="E62" s="74">
        <v>5.28E-2</v>
      </c>
      <c r="F62" s="148">
        <f t="shared" si="49"/>
        <v>142.68600340200001</v>
      </c>
      <c r="G62" s="76"/>
      <c r="H62" s="75"/>
      <c r="I62" s="148">
        <f t="shared" ref="I62:I63" si="54">F62+G62-H62</f>
        <v>142.68600340200001</v>
      </c>
      <c r="J62" s="75">
        <f t="shared" si="50"/>
        <v>98.0514744666268</v>
      </c>
      <c r="K62" s="149"/>
      <c r="L62" s="75"/>
      <c r="M62" s="148">
        <f t="shared" si="51"/>
        <v>98.0514744666268</v>
      </c>
      <c r="N62" s="148">
        <f t="shared" si="52"/>
        <v>44.634528935373211</v>
      </c>
      <c r="O62" s="148">
        <f t="shared" si="53"/>
        <v>44.634528935373211</v>
      </c>
    </row>
    <row r="63" spans="2:15" ht="15">
      <c r="B63" s="206">
        <v>4</v>
      </c>
      <c r="C63" s="191" t="s">
        <v>127</v>
      </c>
      <c r="D63" s="73">
        <v>1300</v>
      </c>
      <c r="E63" s="79">
        <v>5.28E-2</v>
      </c>
      <c r="F63" s="148">
        <f t="shared" si="49"/>
        <v>165.50070170000001</v>
      </c>
      <c r="G63" s="76"/>
      <c r="H63" s="77"/>
      <c r="I63" s="148">
        <f t="shared" si="54"/>
        <v>165.50070170000001</v>
      </c>
      <c r="J63" s="75">
        <f t="shared" si="50"/>
        <v>146.56988971775999</v>
      </c>
      <c r="K63" s="149"/>
      <c r="L63" s="75"/>
      <c r="M63" s="148">
        <f t="shared" si="51"/>
        <v>146.56988971775999</v>
      </c>
      <c r="N63" s="148">
        <f t="shared" si="52"/>
        <v>18.930811982240016</v>
      </c>
      <c r="O63" s="148">
        <f t="shared" si="53"/>
        <v>18.930811982240016</v>
      </c>
    </row>
    <row r="64" spans="2:15" ht="15">
      <c r="B64" s="206">
        <v>5</v>
      </c>
      <c r="C64" s="191" t="s">
        <v>498</v>
      </c>
      <c r="D64" s="73">
        <v>1400</v>
      </c>
      <c r="E64" s="207">
        <v>5.28E-2</v>
      </c>
      <c r="F64" s="148">
        <f t="shared" si="49"/>
        <v>1800.3709386109999</v>
      </c>
      <c r="G64" s="76">
        <v>1.91</v>
      </c>
      <c r="H64" s="75"/>
      <c r="I64" s="148">
        <f>F64+G64-H64</f>
        <v>1802.280938611</v>
      </c>
      <c r="J64" s="75">
        <f t="shared" si="50"/>
        <v>1639.9541907158462</v>
      </c>
      <c r="K64" s="149">
        <v>18.5208802640655</v>
      </c>
      <c r="L64" s="75"/>
      <c r="M64" s="148">
        <f t="shared" si="51"/>
        <v>1658.4750709799116</v>
      </c>
      <c r="N64" s="148">
        <f>F64-J64</f>
        <v>160.41674789515378</v>
      </c>
      <c r="O64" s="148">
        <f>I64-M64</f>
        <v>143.8058676310884</v>
      </c>
    </row>
    <row r="65" spans="2:15" ht="15">
      <c r="B65" s="206">
        <v>6</v>
      </c>
      <c r="C65" s="191" t="s">
        <v>499</v>
      </c>
      <c r="D65" s="73">
        <v>1500</v>
      </c>
      <c r="E65" s="74">
        <v>5.28E-2</v>
      </c>
      <c r="F65" s="148">
        <f t="shared" si="49"/>
        <v>27.445761599000001</v>
      </c>
      <c r="G65" s="76"/>
      <c r="H65" s="75"/>
      <c r="I65" s="148">
        <f>F65+G65-H65</f>
        <v>27.445761599000001</v>
      </c>
      <c r="J65" s="75">
        <f t="shared" si="50"/>
        <v>10.125804313427201</v>
      </c>
      <c r="K65" s="149"/>
      <c r="L65" s="75"/>
      <c r="M65" s="148">
        <f t="shared" si="51"/>
        <v>10.125804313427201</v>
      </c>
      <c r="N65" s="148">
        <f t="shared" ref="N65:N67" si="55">F65-J65</f>
        <v>17.319957285572798</v>
      </c>
      <c r="O65" s="148">
        <f t="shared" ref="O65:O67" si="56">I65-M65</f>
        <v>17.319957285572798</v>
      </c>
    </row>
    <row r="66" spans="2:15" ht="15">
      <c r="B66" s="206">
        <v>7</v>
      </c>
      <c r="C66" s="191" t="s">
        <v>500</v>
      </c>
      <c r="D66" s="73">
        <v>1600</v>
      </c>
      <c r="E66" s="74">
        <v>3.3399999999999999E-2</v>
      </c>
      <c r="F66" s="148">
        <f t="shared" si="49"/>
        <v>247.11513890100002</v>
      </c>
      <c r="G66" s="76"/>
      <c r="H66" s="75"/>
      <c r="I66" s="148">
        <f t="shared" ref="I66:I67" si="57">F66+G66-H66</f>
        <v>247.11513890100002</v>
      </c>
      <c r="J66" s="75">
        <f t="shared" si="50"/>
        <v>168.90045755397281</v>
      </c>
      <c r="K66" s="149"/>
      <c r="L66" s="75"/>
      <c r="M66" s="148">
        <f t="shared" si="51"/>
        <v>168.90045755397281</v>
      </c>
      <c r="N66" s="148">
        <f t="shared" si="55"/>
        <v>78.214681347027209</v>
      </c>
      <c r="O66" s="148">
        <f t="shared" si="56"/>
        <v>78.214681347027209</v>
      </c>
    </row>
    <row r="67" spans="2:15" ht="15">
      <c r="B67" s="206">
        <v>8</v>
      </c>
      <c r="C67" s="191" t="s">
        <v>132</v>
      </c>
      <c r="D67" s="73">
        <v>1700</v>
      </c>
      <c r="E67" s="79">
        <v>9.5000000000000001E-2</v>
      </c>
      <c r="F67" s="148">
        <f t="shared" si="49"/>
        <v>83.994568712000003</v>
      </c>
      <c r="G67" s="76"/>
      <c r="H67" s="77"/>
      <c r="I67" s="148">
        <f t="shared" si="57"/>
        <v>83.994568712000003</v>
      </c>
      <c r="J67" s="75">
        <f t="shared" si="50"/>
        <v>31.81433985951</v>
      </c>
      <c r="K67" s="149"/>
      <c r="L67" s="75"/>
      <c r="M67" s="148">
        <f t="shared" si="51"/>
        <v>31.81433985951</v>
      </c>
      <c r="N67" s="148">
        <f t="shared" si="55"/>
        <v>52.180228852490004</v>
      </c>
      <c r="O67" s="148">
        <f t="shared" si="56"/>
        <v>52.180228852490004</v>
      </c>
    </row>
    <row r="68" spans="2:15" ht="15">
      <c r="B68" s="206">
        <v>9</v>
      </c>
      <c r="C68" s="191" t="s">
        <v>501</v>
      </c>
      <c r="D68" s="73">
        <v>1800</v>
      </c>
      <c r="E68" s="207">
        <v>6.3299999999999995E-2</v>
      </c>
      <c r="F68" s="148">
        <f t="shared" si="49"/>
        <v>23.932888903999999</v>
      </c>
      <c r="G68" s="76"/>
      <c r="H68" s="75"/>
      <c r="I68" s="148">
        <f>F68+G68-H68</f>
        <v>23.932888903999999</v>
      </c>
      <c r="J68" s="75">
        <f t="shared" si="50"/>
        <v>19.070041910880001</v>
      </c>
      <c r="K68" s="149"/>
      <c r="L68" s="75"/>
      <c r="M68" s="148">
        <f t="shared" si="51"/>
        <v>19.070041910880001</v>
      </c>
      <c r="N68" s="148">
        <f>F68-J68</f>
        <v>4.862846993119998</v>
      </c>
      <c r="O68" s="148">
        <f>I68-M68</f>
        <v>4.862846993119998</v>
      </c>
    </row>
    <row r="69" spans="2:15" ht="15">
      <c r="B69" s="206">
        <v>10</v>
      </c>
      <c r="C69" s="191" t="s">
        <v>502</v>
      </c>
      <c r="D69" s="73">
        <v>1900</v>
      </c>
      <c r="E69" s="74">
        <v>0.15</v>
      </c>
      <c r="F69" s="148">
        <f t="shared" si="49"/>
        <v>1.5299046749999998</v>
      </c>
      <c r="G69" s="76"/>
      <c r="H69" s="75"/>
      <c r="I69" s="148">
        <f>F69+G69-H69</f>
        <v>1.5299046749999998</v>
      </c>
      <c r="J69" s="75">
        <f>M52</f>
        <v>1.3339697070849501</v>
      </c>
      <c r="K69" s="149"/>
      <c r="L69" s="75"/>
      <c r="M69" s="148">
        <f t="shared" si="51"/>
        <v>1.3339697070849501</v>
      </c>
      <c r="N69" s="148">
        <f t="shared" ref="N69:N71" si="58">F69-J69</f>
        <v>0.19593496791504972</v>
      </c>
      <c r="O69" s="148">
        <f t="shared" ref="O69:O71" si="59">I69-M69</f>
        <v>0.19593496791504972</v>
      </c>
    </row>
    <row r="70" spans="2:15" ht="15">
      <c r="B70" s="206">
        <v>11</v>
      </c>
      <c r="C70" s="191" t="s">
        <v>134</v>
      </c>
      <c r="D70" s="73">
        <v>2100</v>
      </c>
      <c r="E70" s="74">
        <v>6.3299999999999995E-2</v>
      </c>
      <c r="F70" s="148">
        <f t="shared" si="49"/>
        <v>2.4792663259999999</v>
      </c>
      <c r="G70" s="76"/>
      <c r="H70" s="75"/>
      <c r="I70" s="148">
        <f t="shared" ref="I70:I71" si="60">F70+G70-H70</f>
        <v>2.4792663259999999</v>
      </c>
      <c r="J70" s="75">
        <f t="shared" si="50"/>
        <v>2.2439208394999994</v>
      </c>
      <c r="K70" s="149"/>
      <c r="L70" s="75"/>
      <c r="M70" s="148">
        <f t="shared" si="51"/>
        <v>2.2439208394999994</v>
      </c>
      <c r="N70" s="148">
        <f t="shared" si="58"/>
        <v>0.23534548650000042</v>
      </c>
      <c r="O70" s="148">
        <f t="shared" si="59"/>
        <v>0.23534548650000042</v>
      </c>
    </row>
    <row r="71" spans="2:15" ht="15">
      <c r="B71" s="206"/>
      <c r="C71" s="191" t="s">
        <v>503</v>
      </c>
      <c r="D71" s="73">
        <v>2200</v>
      </c>
      <c r="E71" s="79">
        <v>0</v>
      </c>
      <c r="F71" s="148">
        <f t="shared" si="49"/>
        <v>1.589391387</v>
      </c>
      <c r="G71" s="76"/>
      <c r="H71" s="77"/>
      <c r="I71" s="148">
        <f t="shared" si="60"/>
        <v>1.589391387</v>
      </c>
      <c r="J71" s="75">
        <f t="shared" si="50"/>
        <v>1.1203168961364001</v>
      </c>
      <c r="L71" s="75"/>
      <c r="M71" s="148">
        <f t="shared" si="51"/>
        <v>1.1203168961364001</v>
      </c>
      <c r="N71" s="148">
        <f t="shared" si="58"/>
        <v>0.46907449086359998</v>
      </c>
      <c r="O71" s="148">
        <f t="shared" si="59"/>
        <v>0.46907449086359998</v>
      </c>
    </row>
    <row r="72" spans="2:15" ht="15.75" thickBot="1">
      <c r="B72" s="80"/>
      <c r="C72" s="81" t="s">
        <v>139</v>
      </c>
      <c r="D72" s="81"/>
      <c r="E72" s="150">
        <f>IFERROR((K72-L72)/AVERAGE(F72,I72),0)</f>
        <v>7.2308086837149068E-3</v>
      </c>
      <c r="F72" s="151">
        <f>I55</f>
        <v>2560.4293588169999</v>
      </c>
      <c r="G72" s="151">
        <f>'F3'!J12</f>
        <v>1.91</v>
      </c>
      <c r="H72" s="151">
        <f t="shared" ref="H72:L72" si="61">SUM(H68:H71)</f>
        <v>0</v>
      </c>
      <c r="I72" s="151">
        <f>F72+G72</f>
        <v>2562.3393588169997</v>
      </c>
      <c r="J72" s="152">
        <f>M55</f>
        <v>2119.1844059807445</v>
      </c>
      <c r="K72" s="151">
        <f>SUM(K59:K71)</f>
        <v>18.5208802640655</v>
      </c>
      <c r="L72" s="153">
        <f t="shared" si="61"/>
        <v>0</v>
      </c>
      <c r="M72" s="152">
        <f>J72+K72</f>
        <v>2137.7052862448099</v>
      </c>
      <c r="N72" s="151">
        <f>F72-J72</f>
        <v>441.24495283625538</v>
      </c>
      <c r="O72" s="151">
        <f>I72-M72</f>
        <v>424.63407257218978</v>
      </c>
    </row>
    <row r="73" spans="2:15" ht="15" thickBot="1">
      <c r="F73" s="192">
        <f>SUM(F60:F71)</f>
        <v>2560.4293588169999</v>
      </c>
      <c r="G73" s="5">
        <f t="shared" ref="G73:O73" si="62">SUM(G60:G71)</f>
        <v>1.91</v>
      </c>
      <c r="H73" s="5">
        <f t="shared" si="62"/>
        <v>0</v>
      </c>
      <c r="I73" s="5">
        <f t="shared" si="62"/>
        <v>2562.3393588169997</v>
      </c>
      <c r="J73" s="5">
        <f t="shared" si="62"/>
        <v>2119.184405980744</v>
      </c>
      <c r="K73" s="5">
        <f t="shared" si="62"/>
        <v>18.5208802640655</v>
      </c>
      <c r="L73" s="5">
        <f t="shared" si="62"/>
        <v>0</v>
      </c>
      <c r="M73" s="5">
        <f t="shared" si="62"/>
        <v>2137.7052862448095</v>
      </c>
      <c r="N73" s="5">
        <f t="shared" si="62"/>
        <v>441.24495283625572</v>
      </c>
      <c r="O73" s="5">
        <f t="shared" si="62"/>
        <v>424.63407257219035</v>
      </c>
    </row>
    <row r="74" spans="2:15" ht="15">
      <c r="B74" s="298" t="s">
        <v>485</v>
      </c>
      <c r="C74" s="299"/>
      <c r="D74" s="299"/>
      <c r="E74" s="299"/>
      <c r="F74" s="299"/>
      <c r="G74" s="299"/>
      <c r="H74" s="299"/>
      <c r="I74" s="299"/>
      <c r="J74" s="299"/>
      <c r="K74" s="299"/>
      <c r="L74" s="299"/>
      <c r="M74" s="299"/>
      <c r="N74" s="299"/>
      <c r="O74" s="300"/>
    </row>
    <row r="75" spans="2:15" ht="15">
      <c r="B75" s="303" t="s">
        <v>2</v>
      </c>
      <c r="C75" s="305" t="s">
        <v>303</v>
      </c>
      <c r="D75" s="301" t="s">
        <v>291</v>
      </c>
      <c r="E75" s="301" t="s">
        <v>292</v>
      </c>
      <c r="F75" s="301" t="s">
        <v>293</v>
      </c>
      <c r="G75" s="301"/>
      <c r="H75" s="301"/>
      <c r="I75" s="301"/>
      <c r="J75" s="301" t="s">
        <v>294</v>
      </c>
      <c r="K75" s="301"/>
      <c r="L75" s="301"/>
      <c r="M75" s="301"/>
      <c r="N75" s="301" t="s">
        <v>295</v>
      </c>
      <c r="O75" s="302"/>
    </row>
    <row r="76" spans="2:15" ht="60">
      <c r="B76" s="304"/>
      <c r="C76" s="306"/>
      <c r="D76" s="307"/>
      <c r="E76" s="307"/>
      <c r="F76" s="204" t="s">
        <v>296</v>
      </c>
      <c r="G76" s="204" t="s">
        <v>138</v>
      </c>
      <c r="H76" s="204" t="s">
        <v>297</v>
      </c>
      <c r="I76" s="204" t="s">
        <v>298</v>
      </c>
      <c r="J76" s="204" t="s">
        <v>299</v>
      </c>
      <c r="K76" s="204" t="s">
        <v>138</v>
      </c>
      <c r="L76" s="204" t="s">
        <v>300</v>
      </c>
      <c r="M76" s="204" t="s">
        <v>301</v>
      </c>
      <c r="N76" s="204" t="s">
        <v>296</v>
      </c>
      <c r="O76" s="205" t="s">
        <v>298</v>
      </c>
    </row>
    <row r="77" spans="2:15" ht="15">
      <c r="B77" s="206">
        <v>1</v>
      </c>
      <c r="C77" s="78" t="s">
        <v>496</v>
      </c>
      <c r="D77" s="73">
        <v>1000</v>
      </c>
      <c r="E77" s="207">
        <v>0</v>
      </c>
      <c r="F77" s="148">
        <f t="shared" ref="F77:F88" si="63">I60</f>
        <v>22.201953</v>
      </c>
      <c r="G77" s="76"/>
      <c r="H77" s="75"/>
      <c r="I77" s="148">
        <f>F77+G77-H77</f>
        <v>22.201953</v>
      </c>
      <c r="J77" s="75">
        <f>M60</f>
        <v>0</v>
      </c>
      <c r="K77" s="149"/>
      <c r="L77" s="75"/>
      <c r="M77" s="148">
        <f>J77+K77-L77</f>
        <v>0</v>
      </c>
      <c r="N77" s="148">
        <f>F77-J77</f>
        <v>22.201953</v>
      </c>
      <c r="O77" s="148">
        <f>I77-M77</f>
        <v>22.201953</v>
      </c>
    </row>
    <row r="78" spans="2:15" ht="15">
      <c r="B78" s="206">
        <v>2</v>
      </c>
      <c r="C78" s="72" t="s">
        <v>128</v>
      </c>
      <c r="D78" s="73">
        <v>1100</v>
      </c>
      <c r="E78" s="74">
        <v>3.3399999999999999E-2</v>
      </c>
      <c r="F78" s="148">
        <f t="shared" si="63"/>
        <v>41.582841600000002</v>
      </c>
      <c r="G78" s="76"/>
      <c r="H78" s="75"/>
      <c r="I78" s="148">
        <f>F78+G78-H78</f>
        <v>41.582841600000002</v>
      </c>
      <c r="J78" s="75">
        <f t="shared" ref="J78:J88" si="64">M61</f>
        <v>0</v>
      </c>
      <c r="K78" s="149"/>
      <c r="L78" s="75"/>
      <c r="M78" s="148">
        <f t="shared" ref="M78:M80" si="65">J78+K78-L78</f>
        <v>0</v>
      </c>
      <c r="N78" s="148">
        <f t="shared" ref="N78:N80" si="66">F78-J78</f>
        <v>41.582841600000002</v>
      </c>
      <c r="O78" s="148">
        <f t="shared" ref="O78:O80" si="67">I78-M78</f>
        <v>41.582841600000002</v>
      </c>
    </row>
    <row r="79" spans="2:15" ht="15">
      <c r="B79" s="206">
        <v>3</v>
      </c>
      <c r="C79" s="78" t="s">
        <v>497</v>
      </c>
      <c r="D79" s="73">
        <v>1200</v>
      </c>
      <c r="E79" s="74">
        <v>5.28E-2</v>
      </c>
      <c r="F79" s="148">
        <f t="shared" si="63"/>
        <v>142.68600340200001</v>
      </c>
      <c r="G79" s="76"/>
      <c r="H79" s="75"/>
      <c r="I79" s="148">
        <f t="shared" ref="I79:I80" si="68">F79+G79-H79</f>
        <v>142.68600340200001</v>
      </c>
      <c r="J79" s="75">
        <f t="shared" si="64"/>
        <v>98.0514744666268</v>
      </c>
      <c r="K79" s="149"/>
      <c r="L79" s="75"/>
      <c r="M79" s="148">
        <f t="shared" si="65"/>
        <v>98.0514744666268</v>
      </c>
      <c r="N79" s="148">
        <f t="shared" si="66"/>
        <v>44.634528935373211</v>
      </c>
      <c r="O79" s="148">
        <f t="shared" si="67"/>
        <v>44.634528935373211</v>
      </c>
    </row>
    <row r="80" spans="2:15" ht="15">
      <c r="B80" s="206">
        <v>4</v>
      </c>
      <c r="C80" s="191" t="s">
        <v>127</v>
      </c>
      <c r="D80" s="73">
        <v>1300</v>
      </c>
      <c r="E80" s="79">
        <v>5.28E-2</v>
      </c>
      <c r="F80" s="148">
        <f t="shared" si="63"/>
        <v>165.50070170000001</v>
      </c>
      <c r="G80" s="76"/>
      <c r="H80" s="77"/>
      <c r="I80" s="148">
        <f t="shared" si="68"/>
        <v>165.50070170000001</v>
      </c>
      <c r="J80" s="75">
        <f t="shared" si="64"/>
        <v>146.56988971775999</v>
      </c>
      <c r="K80" s="149"/>
      <c r="L80" s="75"/>
      <c r="M80" s="148">
        <f t="shared" si="65"/>
        <v>146.56988971775999</v>
      </c>
      <c r="N80" s="148">
        <f t="shared" si="66"/>
        <v>18.930811982240016</v>
      </c>
      <c r="O80" s="148">
        <f t="shared" si="67"/>
        <v>18.930811982240016</v>
      </c>
    </row>
    <row r="81" spans="2:15" ht="15">
      <c r="B81" s="206">
        <v>5</v>
      </c>
      <c r="C81" s="191" t="s">
        <v>498</v>
      </c>
      <c r="D81" s="73">
        <v>1400</v>
      </c>
      <c r="E81" s="207">
        <v>5.28E-2</v>
      </c>
      <c r="F81" s="148">
        <f t="shared" si="63"/>
        <v>1802.280938611</v>
      </c>
      <c r="G81" s="76">
        <v>15.91</v>
      </c>
      <c r="H81" s="75"/>
      <c r="I81" s="148">
        <f>F81+G81-H81</f>
        <v>1818.1909386110001</v>
      </c>
      <c r="J81" s="75">
        <f t="shared" si="64"/>
        <v>1658.4750709799116</v>
      </c>
      <c r="K81" s="149">
        <v>18.71188026406551</v>
      </c>
      <c r="L81" s="75"/>
      <c r="M81" s="148">
        <f>J81+K81-L81</f>
        <v>1677.1869512439771</v>
      </c>
      <c r="N81" s="148">
        <f>F81-J81</f>
        <v>143.8058676310884</v>
      </c>
      <c r="O81" s="148">
        <f>I81-M81</f>
        <v>141.003987367023</v>
      </c>
    </row>
    <row r="82" spans="2:15" ht="15">
      <c r="B82" s="206">
        <v>6</v>
      </c>
      <c r="C82" s="191" t="s">
        <v>499</v>
      </c>
      <c r="D82" s="73">
        <v>1500</v>
      </c>
      <c r="E82" s="74">
        <v>5.28E-2</v>
      </c>
      <c r="F82" s="148">
        <f t="shared" si="63"/>
        <v>27.445761599000001</v>
      </c>
      <c r="G82" s="76"/>
      <c r="H82" s="75"/>
      <c r="I82" s="148">
        <f>F82+G82-H82</f>
        <v>27.445761599000001</v>
      </c>
      <c r="J82" s="75">
        <f t="shared" si="64"/>
        <v>10.125804313427201</v>
      </c>
      <c r="K82" s="149"/>
      <c r="L82" s="75"/>
      <c r="M82" s="148">
        <f t="shared" ref="M82:M84" si="69">J82+K82-L82</f>
        <v>10.125804313427201</v>
      </c>
      <c r="N82" s="148">
        <f t="shared" ref="N82:N84" si="70">F82-J82</f>
        <v>17.319957285572798</v>
      </c>
      <c r="O82" s="148">
        <f t="shared" ref="O82:O84" si="71">I82-M82</f>
        <v>17.319957285572798</v>
      </c>
    </row>
    <row r="83" spans="2:15" ht="15">
      <c r="B83" s="206">
        <v>7</v>
      </c>
      <c r="C83" s="191" t="s">
        <v>500</v>
      </c>
      <c r="D83" s="73">
        <v>1600</v>
      </c>
      <c r="E83" s="74">
        <v>3.3399999999999999E-2</v>
      </c>
      <c r="F83" s="148">
        <f t="shared" si="63"/>
        <v>247.11513890100002</v>
      </c>
      <c r="G83" s="76"/>
      <c r="H83" s="75"/>
      <c r="I83" s="148">
        <f t="shared" ref="I83:I84" si="72">F83+G83-H83</f>
        <v>247.11513890100002</v>
      </c>
      <c r="J83" s="75">
        <f t="shared" si="64"/>
        <v>168.90045755397281</v>
      </c>
      <c r="K83" s="149"/>
      <c r="L83" s="75"/>
      <c r="M83" s="148">
        <f t="shared" si="69"/>
        <v>168.90045755397281</v>
      </c>
      <c r="N83" s="148">
        <f t="shared" si="70"/>
        <v>78.214681347027209</v>
      </c>
      <c r="O83" s="148">
        <f t="shared" si="71"/>
        <v>78.214681347027209</v>
      </c>
    </row>
    <row r="84" spans="2:15" ht="15">
      <c r="B84" s="206">
        <v>8</v>
      </c>
      <c r="C84" s="191" t="s">
        <v>132</v>
      </c>
      <c r="D84" s="73">
        <v>1700</v>
      </c>
      <c r="E84" s="79">
        <v>9.5000000000000001E-2</v>
      </c>
      <c r="F84" s="148">
        <f t="shared" si="63"/>
        <v>83.994568712000003</v>
      </c>
      <c r="G84" s="76"/>
      <c r="H84" s="77"/>
      <c r="I84" s="148">
        <f t="shared" si="72"/>
        <v>83.994568712000003</v>
      </c>
      <c r="J84" s="75">
        <f t="shared" si="64"/>
        <v>31.81433985951</v>
      </c>
      <c r="K84" s="149"/>
      <c r="L84" s="75"/>
      <c r="M84" s="148">
        <f t="shared" si="69"/>
        <v>31.81433985951</v>
      </c>
      <c r="N84" s="148">
        <f t="shared" si="70"/>
        <v>52.180228852490004</v>
      </c>
      <c r="O84" s="148">
        <f t="shared" si="71"/>
        <v>52.180228852490004</v>
      </c>
    </row>
    <row r="85" spans="2:15" ht="15">
      <c r="B85" s="206">
        <v>9</v>
      </c>
      <c r="C85" s="191" t="s">
        <v>501</v>
      </c>
      <c r="D85" s="73">
        <v>1800</v>
      </c>
      <c r="E85" s="207">
        <v>6.3299999999999995E-2</v>
      </c>
      <c r="F85" s="148">
        <f t="shared" si="63"/>
        <v>23.932888903999999</v>
      </c>
      <c r="G85" s="76"/>
      <c r="H85" s="75"/>
      <c r="I85" s="148">
        <f>F85+G85-H85</f>
        <v>23.932888903999999</v>
      </c>
      <c r="J85" s="75">
        <f t="shared" si="64"/>
        <v>19.070041910880001</v>
      </c>
      <c r="K85" s="149"/>
      <c r="L85" s="75"/>
      <c r="M85" s="148">
        <f>J85+K85-L85</f>
        <v>19.070041910880001</v>
      </c>
      <c r="N85" s="148">
        <f>F85-J85</f>
        <v>4.862846993119998</v>
      </c>
      <c r="O85" s="148">
        <f>I85-M85</f>
        <v>4.862846993119998</v>
      </c>
    </row>
    <row r="86" spans="2:15" ht="15">
      <c r="B86" s="206">
        <v>10</v>
      </c>
      <c r="C86" s="191" t="s">
        <v>502</v>
      </c>
      <c r="D86" s="73">
        <v>1900</v>
      </c>
      <c r="E86" s="74">
        <v>0.15</v>
      </c>
      <c r="F86" s="148">
        <f t="shared" si="63"/>
        <v>1.5299046749999998</v>
      </c>
      <c r="G86" s="76"/>
      <c r="H86" s="75"/>
      <c r="I86" s="148">
        <f>F86+G86-H86</f>
        <v>1.5299046749999998</v>
      </c>
      <c r="J86" s="75">
        <f t="shared" si="64"/>
        <v>1.3339697070849501</v>
      </c>
      <c r="K86" s="149"/>
      <c r="L86" s="75"/>
      <c r="M86" s="148">
        <f t="shared" ref="M86:M88" si="73">J86+K86-L86</f>
        <v>1.3339697070849501</v>
      </c>
      <c r="N86" s="148">
        <f t="shared" ref="N86:N88" si="74">F86-J86</f>
        <v>0.19593496791504972</v>
      </c>
      <c r="O86" s="148">
        <f t="shared" ref="O86:O88" si="75">I86-M86</f>
        <v>0.19593496791504972</v>
      </c>
    </row>
    <row r="87" spans="2:15" ht="15">
      <c r="B87" s="206">
        <v>11</v>
      </c>
      <c r="C87" s="191" t="s">
        <v>134</v>
      </c>
      <c r="D87" s="73">
        <v>2100</v>
      </c>
      <c r="E87" s="74">
        <v>6.3299999999999995E-2</v>
      </c>
      <c r="F87" s="148">
        <f t="shared" si="63"/>
        <v>2.4792663259999999</v>
      </c>
      <c r="G87" s="76"/>
      <c r="H87" s="75"/>
      <c r="I87" s="148">
        <f t="shared" ref="I87:I88" si="76">F87+G87-H87</f>
        <v>2.4792663259999999</v>
      </c>
      <c r="J87" s="75">
        <f t="shared" si="64"/>
        <v>2.2439208394999994</v>
      </c>
      <c r="K87" s="149"/>
      <c r="L87" s="75"/>
      <c r="M87" s="148">
        <f t="shared" si="73"/>
        <v>2.2439208394999994</v>
      </c>
      <c r="N87" s="148">
        <f t="shared" si="74"/>
        <v>0.23534548650000042</v>
      </c>
      <c r="O87" s="148">
        <f t="shared" si="75"/>
        <v>0.23534548650000042</v>
      </c>
    </row>
    <row r="88" spans="2:15" ht="15">
      <c r="B88" s="206"/>
      <c r="C88" s="191" t="s">
        <v>503</v>
      </c>
      <c r="D88" s="73">
        <v>2200</v>
      </c>
      <c r="E88" s="79">
        <v>0</v>
      </c>
      <c r="F88" s="148">
        <f t="shared" si="63"/>
        <v>1.589391387</v>
      </c>
      <c r="G88" s="76"/>
      <c r="H88" s="77"/>
      <c r="I88" s="148">
        <f t="shared" si="76"/>
        <v>1.589391387</v>
      </c>
      <c r="J88" s="75">
        <f t="shared" si="64"/>
        <v>1.1203168961364001</v>
      </c>
      <c r="K88" s="149"/>
      <c r="L88" s="75"/>
      <c r="M88" s="148">
        <f t="shared" si="73"/>
        <v>1.1203168961364001</v>
      </c>
      <c r="N88" s="148">
        <f t="shared" si="74"/>
        <v>0.46907449086359998</v>
      </c>
      <c r="O88" s="148">
        <f t="shared" si="75"/>
        <v>0.46907449086359998</v>
      </c>
    </row>
    <row r="89" spans="2:15" ht="15.75" thickBot="1">
      <c r="B89" s="80"/>
      <c r="C89" s="81" t="s">
        <v>139</v>
      </c>
      <c r="D89" s="81"/>
      <c r="E89" s="150">
        <f>IFERROR((K89-L89)/AVERAGE(F89,I89),0)</f>
        <v>7.2800534304085758E-3</v>
      </c>
      <c r="F89" s="151">
        <f>I72</f>
        <v>2562.3393588169997</v>
      </c>
      <c r="G89" s="151">
        <f>'F3'!K12</f>
        <v>15.91</v>
      </c>
      <c r="H89" s="151">
        <f t="shared" ref="H89:L89" si="77">SUM(H85:H88)</f>
        <v>0</v>
      </c>
      <c r="I89" s="151">
        <f>F89+G89</f>
        <v>2578.2493588169996</v>
      </c>
      <c r="J89" s="152">
        <f>M72</f>
        <v>2137.7052862448099</v>
      </c>
      <c r="K89" s="151">
        <f>SUM(K77:K88)</f>
        <v>18.71188026406551</v>
      </c>
      <c r="L89" s="153">
        <f t="shared" si="77"/>
        <v>0</v>
      </c>
      <c r="M89" s="152">
        <f>J89+K89</f>
        <v>2156.4171665088757</v>
      </c>
      <c r="N89" s="151">
        <f>F89-J89</f>
        <v>424.63407257218978</v>
      </c>
      <c r="O89" s="151">
        <f>I89-M89</f>
        <v>421.83219230812392</v>
      </c>
    </row>
    <row r="90" spans="2:15" ht="15" thickBot="1">
      <c r="F90" s="192">
        <f>SUM(F77:F88)</f>
        <v>2562.3393588169997</v>
      </c>
      <c r="G90" s="5">
        <f t="shared" ref="G90:O90" si="78">SUM(G77:G88)</f>
        <v>15.91</v>
      </c>
      <c r="H90" s="5">
        <f t="shared" si="78"/>
        <v>0</v>
      </c>
      <c r="I90" s="5">
        <f t="shared" si="78"/>
        <v>2578.249358817</v>
      </c>
      <c r="J90" s="5">
        <f t="shared" si="78"/>
        <v>2137.7052862448095</v>
      </c>
      <c r="K90" s="5">
        <f t="shared" si="78"/>
        <v>18.71188026406551</v>
      </c>
      <c r="L90" s="5">
        <f t="shared" si="78"/>
        <v>0</v>
      </c>
      <c r="M90" s="5">
        <f t="shared" si="78"/>
        <v>2156.4171665088747</v>
      </c>
      <c r="N90" s="5">
        <f t="shared" si="78"/>
        <v>424.63407257219035</v>
      </c>
      <c r="O90" s="5">
        <f t="shared" si="78"/>
        <v>421.83219230812495</v>
      </c>
    </row>
    <row r="91" spans="2:15" ht="15">
      <c r="B91" s="298" t="s">
        <v>486</v>
      </c>
      <c r="C91" s="299"/>
      <c r="D91" s="299"/>
      <c r="E91" s="299"/>
      <c r="F91" s="299"/>
      <c r="G91" s="299"/>
      <c r="H91" s="299"/>
      <c r="I91" s="299"/>
      <c r="J91" s="299"/>
      <c r="K91" s="299"/>
      <c r="L91" s="299"/>
      <c r="M91" s="299"/>
      <c r="N91" s="299"/>
      <c r="O91" s="300"/>
    </row>
    <row r="92" spans="2:15" ht="15">
      <c r="B92" s="303" t="s">
        <v>2</v>
      </c>
      <c r="C92" s="305" t="s">
        <v>303</v>
      </c>
      <c r="D92" s="301" t="s">
        <v>291</v>
      </c>
      <c r="E92" s="301" t="s">
        <v>292</v>
      </c>
      <c r="F92" s="301" t="s">
        <v>293</v>
      </c>
      <c r="G92" s="301"/>
      <c r="H92" s="301"/>
      <c r="I92" s="301"/>
      <c r="J92" s="301" t="s">
        <v>294</v>
      </c>
      <c r="K92" s="301"/>
      <c r="L92" s="301"/>
      <c r="M92" s="301"/>
      <c r="N92" s="301" t="s">
        <v>295</v>
      </c>
      <c r="O92" s="302"/>
    </row>
    <row r="93" spans="2:15" ht="60">
      <c r="B93" s="304"/>
      <c r="C93" s="306"/>
      <c r="D93" s="307"/>
      <c r="E93" s="307"/>
      <c r="F93" s="204" t="s">
        <v>296</v>
      </c>
      <c r="G93" s="204" t="s">
        <v>138</v>
      </c>
      <c r="H93" s="204" t="s">
        <v>297</v>
      </c>
      <c r="I93" s="204" t="s">
        <v>298</v>
      </c>
      <c r="J93" s="204" t="s">
        <v>299</v>
      </c>
      <c r="K93" s="204" t="s">
        <v>138</v>
      </c>
      <c r="L93" s="204" t="s">
        <v>300</v>
      </c>
      <c r="M93" s="204" t="s">
        <v>301</v>
      </c>
      <c r="N93" s="204" t="s">
        <v>296</v>
      </c>
      <c r="O93" s="205" t="s">
        <v>298</v>
      </c>
    </row>
    <row r="94" spans="2:15" ht="15">
      <c r="B94" s="206">
        <v>1</v>
      </c>
      <c r="C94" s="78" t="s">
        <v>496</v>
      </c>
      <c r="D94" s="73">
        <v>1000</v>
      </c>
      <c r="E94" s="207">
        <v>0</v>
      </c>
      <c r="F94" s="148">
        <f t="shared" ref="F94:F105" si="79">I77</f>
        <v>22.201953</v>
      </c>
      <c r="G94" s="76"/>
      <c r="H94" s="75"/>
      <c r="I94" s="148">
        <f>F94+G94-H94</f>
        <v>22.201953</v>
      </c>
      <c r="J94" s="75">
        <f>M77</f>
        <v>0</v>
      </c>
      <c r="K94" s="149"/>
      <c r="L94" s="75"/>
      <c r="M94" s="148">
        <f>J94+K94-L94</f>
        <v>0</v>
      </c>
      <c r="N94" s="148">
        <f>F94-J94</f>
        <v>22.201953</v>
      </c>
      <c r="O94" s="148">
        <f>I94-M94</f>
        <v>22.201953</v>
      </c>
    </row>
    <row r="95" spans="2:15" ht="15">
      <c r="B95" s="206">
        <v>2</v>
      </c>
      <c r="C95" s="72" t="s">
        <v>128</v>
      </c>
      <c r="D95" s="73">
        <v>1100</v>
      </c>
      <c r="E95" s="74">
        <v>3.3399999999999999E-2</v>
      </c>
      <c r="F95" s="148">
        <f t="shared" si="79"/>
        <v>41.582841600000002</v>
      </c>
      <c r="G95" s="76"/>
      <c r="H95" s="75"/>
      <c r="I95" s="148">
        <f>F95+G95-H95</f>
        <v>41.582841600000002</v>
      </c>
      <c r="J95" s="75">
        <f t="shared" ref="J95:J105" si="80">M78</f>
        <v>0</v>
      </c>
      <c r="K95" s="149"/>
      <c r="L95" s="75"/>
      <c r="M95" s="148">
        <f t="shared" ref="M95:M97" si="81">J95+K95-L95</f>
        <v>0</v>
      </c>
      <c r="N95" s="148">
        <f t="shared" ref="N95:N97" si="82">F95-J95</f>
        <v>41.582841600000002</v>
      </c>
      <c r="O95" s="148">
        <f t="shared" ref="O95:O97" si="83">I95-M95</f>
        <v>41.582841600000002</v>
      </c>
    </row>
    <row r="96" spans="2:15" ht="15">
      <c r="B96" s="206">
        <v>3</v>
      </c>
      <c r="C96" s="78" t="s">
        <v>497</v>
      </c>
      <c r="D96" s="73">
        <v>1200</v>
      </c>
      <c r="E96" s="74">
        <v>5.28E-2</v>
      </c>
      <c r="F96" s="148">
        <f t="shared" si="79"/>
        <v>142.68600340200001</v>
      </c>
      <c r="G96" s="76"/>
      <c r="H96" s="75"/>
      <c r="I96" s="148">
        <f t="shared" ref="I96:I97" si="84">F96+G96-H96</f>
        <v>142.68600340200001</v>
      </c>
      <c r="J96" s="75">
        <f t="shared" si="80"/>
        <v>98.0514744666268</v>
      </c>
      <c r="K96" s="149"/>
      <c r="L96" s="75"/>
      <c r="M96" s="148">
        <f t="shared" si="81"/>
        <v>98.0514744666268</v>
      </c>
      <c r="N96" s="148">
        <f t="shared" si="82"/>
        <v>44.634528935373211</v>
      </c>
      <c r="O96" s="148">
        <f t="shared" si="83"/>
        <v>44.634528935373211</v>
      </c>
    </row>
    <row r="97" spans="2:15" ht="15">
      <c r="B97" s="206">
        <v>4</v>
      </c>
      <c r="C97" s="191" t="s">
        <v>127</v>
      </c>
      <c r="D97" s="73">
        <v>1300</v>
      </c>
      <c r="E97" s="79">
        <v>5.28E-2</v>
      </c>
      <c r="F97" s="148">
        <f t="shared" si="79"/>
        <v>165.50070170000001</v>
      </c>
      <c r="G97" s="76"/>
      <c r="H97" s="77"/>
      <c r="I97" s="148">
        <f t="shared" si="84"/>
        <v>165.50070170000001</v>
      </c>
      <c r="J97" s="75">
        <f t="shared" si="80"/>
        <v>146.56988971775999</v>
      </c>
      <c r="K97" s="149"/>
      <c r="L97" s="75"/>
      <c r="M97" s="148">
        <f t="shared" si="81"/>
        <v>146.56988971775999</v>
      </c>
      <c r="N97" s="148">
        <f t="shared" si="82"/>
        <v>18.930811982240016</v>
      </c>
      <c r="O97" s="148">
        <f t="shared" si="83"/>
        <v>18.930811982240016</v>
      </c>
    </row>
    <row r="98" spans="2:15" ht="15">
      <c r="B98" s="206">
        <v>5</v>
      </c>
      <c r="C98" s="191" t="s">
        <v>498</v>
      </c>
      <c r="D98" s="73">
        <v>1400</v>
      </c>
      <c r="E98" s="207">
        <v>5.28E-2</v>
      </c>
      <c r="F98" s="148">
        <f t="shared" si="79"/>
        <v>1818.1909386110001</v>
      </c>
      <c r="G98" s="76"/>
      <c r="H98" s="75"/>
      <c r="I98" s="148">
        <f>F98+G98-H98</f>
        <v>1818.1909386110001</v>
      </c>
      <c r="J98" s="75">
        <f t="shared" si="80"/>
        <v>1677.1869512439771</v>
      </c>
      <c r="K98" s="149">
        <v>20.50175526406548</v>
      </c>
      <c r="L98" s="75"/>
      <c r="M98" s="148">
        <f>J98+K98-L98</f>
        <v>1697.6887065080425</v>
      </c>
      <c r="N98" s="148">
        <f>F98-J98</f>
        <v>141.003987367023</v>
      </c>
      <c r="O98" s="148">
        <f>I98-M98</f>
        <v>120.50223210295758</v>
      </c>
    </row>
    <row r="99" spans="2:15" ht="15">
      <c r="B99" s="206">
        <v>6</v>
      </c>
      <c r="C99" s="191" t="s">
        <v>499</v>
      </c>
      <c r="D99" s="73">
        <v>1500</v>
      </c>
      <c r="E99" s="74">
        <v>5.28E-2</v>
      </c>
      <c r="F99" s="148">
        <f t="shared" si="79"/>
        <v>27.445761599000001</v>
      </c>
      <c r="G99" s="76"/>
      <c r="H99" s="75"/>
      <c r="I99" s="148">
        <f>F99+G99-H99</f>
        <v>27.445761599000001</v>
      </c>
      <c r="J99" s="75">
        <f t="shared" si="80"/>
        <v>10.125804313427201</v>
      </c>
      <c r="K99" s="149"/>
      <c r="L99" s="75"/>
      <c r="M99" s="148">
        <f t="shared" ref="M99:M101" si="85">J99+K99-L99</f>
        <v>10.125804313427201</v>
      </c>
      <c r="N99" s="148">
        <f t="shared" ref="N99:N101" si="86">F99-J99</f>
        <v>17.319957285572798</v>
      </c>
      <c r="O99" s="148">
        <f t="shared" ref="O99:O101" si="87">I99-M99</f>
        <v>17.319957285572798</v>
      </c>
    </row>
    <row r="100" spans="2:15" ht="15">
      <c r="B100" s="206">
        <v>7</v>
      </c>
      <c r="C100" s="191" t="s">
        <v>500</v>
      </c>
      <c r="D100" s="73">
        <v>1600</v>
      </c>
      <c r="E100" s="74">
        <v>3.3399999999999999E-2</v>
      </c>
      <c r="F100" s="148">
        <f t="shared" si="79"/>
        <v>247.11513890100002</v>
      </c>
      <c r="G100" s="76"/>
      <c r="H100" s="75"/>
      <c r="I100" s="148">
        <f t="shared" ref="I100:I101" si="88">F100+G100-H100</f>
        <v>247.11513890100002</v>
      </c>
      <c r="J100" s="75">
        <f t="shared" si="80"/>
        <v>168.90045755397281</v>
      </c>
      <c r="K100" s="149"/>
      <c r="L100" s="75"/>
      <c r="M100" s="148">
        <f t="shared" si="85"/>
        <v>168.90045755397281</v>
      </c>
      <c r="N100" s="148">
        <f t="shared" si="86"/>
        <v>78.214681347027209</v>
      </c>
      <c r="O100" s="148">
        <f t="shared" si="87"/>
        <v>78.214681347027209</v>
      </c>
    </row>
    <row r="101" spans="2:15" ht="15">
      <c r="B101" s="206">
        <v>8</v>
      </c>
      <c r="C101" s="191" t="s">
        <v>132</v>
      </c>
      <c r="D101" s="73">
        <v>1700</v>
      </c>
      <c r="E101" s="79">
        <v>9.5000000000000001E-2</v>
      </c>
      <c r="F101" s="148">
        <f t="shared" si="79"/>
        <v>83.994568712000003</v>
      </c>
      <c r="G101" s="76"/>
      <c r="H101" s="77"/>
      <c r="I101" s="148">
        <f t="shared" si="88"/>
        <v>83.994568712000003</v>
      </c>
      <c r="J101" s="75">
        <f t="shared" si="80"/>
        <v>31.81433985951</v>
      </c>
      <c r="K101" s="149"/>
      <c r="L101" s="75"/>
      <c r="M101" s="148">
        <f t="shared" si="85"/>
        <v>31.81433985951</v>
      </c>
      <c r="N101" s="148">
        <f t="shared" si="86"/>
        <v>52.180228852490004</v>
      </c>
      <c r="O101" s="148">
        <f t="shared" si="87"/>
        <v>52.180228852490004</v>
      </c>
    </row>
    <row r="102" spans="2:15" ht="15">
      <c r="B102" s="206">
        <v>9</v>
      </c>
      <c r="C102" s="191" t="s">
        <v>501</v>
      </c>
      <c r="D102" s="73">
        <v>1800</v>
      </c>
      <c r="E102" s="207">
        <v>6.3299999999999995E-2</v>
      </c>
      <c r="F102" s="148">
        <f t="shared" si="79"/>
        <v>23.932888903999999</v>
      </c>
      <c r="G102" s="76"/>
      <c r="H102" s="75"/>
      <c r="I102" s="148">
        <f>F102+G102-H102</f>
        <v>23.932888903999999</v>
      </c>
      <c r="J102" s="75">
        <f t="shared" si="80"/>
        <v>19.070041910880001</v>
      </c>
      <c r="K102" s="149"/>
      <c r="L102" s="75"/>
      <c r="M102" s="148">
        <f>J102+K102-L102</f>
        <v>19.070041910880001</v>
      </c>
      <c r="N102" s="148">
        <f>F102-J102</f>
        <v>4.862846993119998</v>
      </c>
      <c r="O102" s="148">
        <f>I102-M102</f>
        <v>4.862846993119998</v>
      </c>
    </row>
    <row r="103" spans="2:15" ht="15">
      <c r="B103" s="206">
        <v>10</v>
      </c>
      <c r="C103" s="191" t="s">
        <v>502</v>
      </c>
      <c r="D103" s="73">
        <v>1900</v>
      </c>
      <c r="E103" s="74">
        <v>0.15</v>
      </c>
      <c r="F103" s="148">
        <f t="shared" si="79"/>
        <v>1.5299046749999998</v>
      </c>
      <c r="G103" s="76"/>
      <c r="H103" s="75"/>
      <c r="I103" s="148">
        <f>F103+G103-H103</f>
        <v>1.5299046749999998</v>
      </c>
      <c r="J103" s="75">
        <f t="shared" si="80"/>
        <v>1.3339697070849501</v>
      </c>
      <c r="K103" s="149"/>
      <c r="L103" s="75"/>
      <c r="M103" s="148">
        <f t="shared" ref="M103:M105" si="89">J103+K103-L103</f>
        <v>1.3339697070849501</v>
      </c>
      <c r="N103" s="148">
        <f t="shared" ref="N103:N105" si="90">F103-J103</f>
        <v>0.19593496791504972</v>
      </c>
      <c r="O103" s="148">
        <f t="shared" ref="O103:O105" si="91">I103-M103</f>
        <v>0.19593496791504972</v>
      </c>
    </row>
    <row r="104" spans="2:15" ht="15">
      <c r="B104" s="206">
        <v>11</v>
      </c>
      <c r="C104" s="191" t="s">
        <v>134</v>
      </c>
      <c r="D104" s="73">
        <v>2100</v>
      </c>
      <c r="E104" s="74">
        <v>6.3299999999999995E-2</v>
      </c>
      <c r="F104" s="148">
        <f t="shared" si="79"/>
        <v>2.4792663259999999</v>
      </c>
      <c r="G104" s="76"/>
      <c r="H104" s="75"/>
      <c r="I104" s="148">
        <f t="shared" ref="I104:I105" si="92">F104+G104-H104</f>
        <v>2.4792663259999999</v>
      </c>
      <c r="J104" s="75">
        <f t="shared" si="80"/>
        <v>2.2439208394999994</v>
      </c>
      <c r="K104" s="149"/>
      <c r="L104" s="75"/>
      <c r="M104" s="148">
        <f t="shared" si="89"/>
        <v>2.2439208394999994</v>
      </c>
      <c r="N104" s="148">
        <f t="shared" si="90"/>
        <v>0.23534548650000042</v>
      </c>
      <c r="O104" s="148">
        <f t="shared" si="91"/>
        <v>0.23534548650000042</v>
      </c>
    </row>
    <row r="105" spans="2:15" ht="15">
      <c r="B105" s="206"/>
      <c r="C105" s="191" t="s">
        <v>503</v>
      </c>
      <c r="D105" s="73">
        <v>2200</v>
      </c>
      <c r="E105" s="79">
        <v>0</v>
      </c>
      <c r="F105" s="148">
        <f t="shared" si="79"/>
        <v>1.589391387</v>
      </c>
      <c r="G105" s="76"/>
      <c r="H105" s="77"/>
      <c r="I105" s="148">
        <f t="shared" si="92"/>
        <v>1.589391387</v>
      </c>
      <c r="J105" s="75">
        <f t="shared" si="80"/>
        <v>1.1203168961364001</v>
      </c>
      <c r="K105" s="149"/>
      <c r="L105" s="75"/>
      <c r="M105" s="148">
        <f t="shared" si="89"/>
        <v>1.1203168961364001</v>
      </c>
      <c r="N105" s="148">
        <f t="shared" si="90"/>
        <v>0.46907449086359998</v>
      </c>
      <c r="O105" s="148">
        <f t="shared" si="91"/>
        <v>0.46907449086359998</v>
      </c>
    </row>
    <row r="106" spans="2:15" ht="15.75" thickBot="1">
      <c r="B106" s="80"/>
      <c r="C106" s="81" t="s">
        <v>139</v>
      </c>
      <c r="D106" s="81"/>
      <c r="E106" s="150">
        <f>IFERROR((K106-L106)/AVERAGE(F106,I106),0)</f>
        <v>7.9518124164190528E-3</v>
      </c>
      <c r="F106" s="151">
        <f>I89</f>
        <v>2578.2493588169996</v>
      </c>
      <c r="G106" s="151">
        <f>'F3'!L12</f>
        <v>0</v>
      </c>
      <c r="H106" s="151">
        <f t="shared" ref="H106:L106" si="93">SUM(H102:H105)</f>
        <v>0</v>
      </c>
      <c r="I106" s="151">
        <f>F106+G106</f>
        <v>2578.2493588169996</v>
      </c>
      <c r="J106" s="152">
        <f>M89</f>
        <v>2156.4171665088757</v>
      </c>
      <c r="K106" s="151">
        <f>SUM(K94:K105)</f>
        <v>20.50175526406548</v>
      </c>
      <c r="L106" s="153">
        <f t="shared" si="93"/>
        <v>0</v>
      </c>
      <c r="M106" s="152">
        <f>J106+K106</f>
        <v>2176.9189217729413</v>
      </c>
      <c r="N106" s="151">
        <f>F106-J106</f>
        <v>421.83219230812392</v>
      </c>
      <c r="O106" s="151">
        <f>I106-M106</f>
        <v>401.33043704405827</v>
      </c>
    </row>
    <row r="107" spans="2:15" ht="15" thickBot="1">
      <c r="F107" s="192">
        <f>SUM(F94:F105)</f>
        <v>2578.249358817</v>
      </c>
      <c r="G107" s="5">
        <f t="shared" ref="G107:O107" si="94">SUM(G94:G105)</f>
        <v>0</v>
      </c>
      <c r="H107" s="5">
        <f t="shared" si="94"/>
        <v>0</v>
      </c>
      <c r="I107" s="5">
        <f t="shared" si="94"/>
        <v>2578.249358817</v>
      </c>
      <c r="J107" s="5">
        <f t="shared" si="94"/>
        <v>2156.4171665088747</v>
      </c>
      <c r="K107" s="5">
        <f t="shared" si="94"/>
        <v>20.50175526406548</v>
      </c>
      <c r="L107" s="5">
        <f t="shared" si="94"/>
        <v>0</v>
      </c>
      <c r="M107" s="5">
        <f t="shared" si="94"/>
        <v>2176.9189217729404</v>
      </c>
      <c r="N107" s="5">
        <f t="shared" si="94"/>
        <v>421.83219230812495</v>
      </c>
      <c r="O107" s="5">
        <f t="shared" si="94"/>
        <v>401.33043704405952</v>
      </c>
    </row>
    <row r="108" spans="2:15" ht="15">
      <c r="B108" s="298" t="s">
        <v>487</v>
      </c>
      <c r="C108" s="299"/>
      <c r="D108" s="299"/>
      <c r="E108" s="299"/>
      <c r="F108" s="299"/>
      <c r="G108" s="299"/>
      <c r="H108" s="299"/>
      <c r="I108" s="299"/>
      <c r="J108" s="299"/>
      <c r="K108" s="299"/>
      <c r="L108" s="299"/>
      <c r="M108" s="299"/>
      <c r="N108" s="299"/>
      <c r="O108" s="300"/>
    </row>
    <row r="109" spans="2:15" ht="15">
      <c r="B109" s="303" t="s">
        <v>2</v>
      </c>
      <c r="C109" s="305" t="s">
        <v>303</v>
      </c>
      <c r="D109" s="301" t="s">
        <v>291</v>
      </c>
      <c r="E109" s="301" t="s">
        <v>292</v>
      </c>
      <c r="F109" s="301" t="s">
        <v>293</v>
      </c>
      <c r="G109" s="301"/>
      <c r="H109" s="301"/>
      <c r="I109" s="301"/>
      <c r="J109" s="301" t="s">
        <v>294</v>
      </c>
      <c r="K109" s="301"/>
      <c r="L109" s="301"/>
      <c r="M109" s="301"/>
      <c r="N109" s="301" t="s">
        <v>295</v>
      </c>
      <c r="O109" s="302"/>
    </row>
    <row r="110" spans="2:15" ht="60">
      <c r="B110" s="304"/>
      <c r="C110" s="306"/>
      <c r="D110" s="307"/>
      <c r="E110" s="307"/>
      <c r="F110" s="204" t="s">
        <v>296</v>
      </c>
      <c r="G110" s="204" t="s">
        <v>138</v>
      </c>
      <c r="H110" s="204" t="s">
        <v>297</v>
      </c>
      <c r="I110" s="204" t="s">
        <v>298</v>
      </c>
      <c r="J110" s="204" t="s">
        <v>299</v>
      </c>
      <c r="K110" s="204" t="s">
        <v>138</v>
      </c>
      <c r="L110" s="204" t="s">
        <v>300</v>
      </c>
      <c r="M110" s="204" t="s">
        <v>301</v>
      </c>
      <c r="N110" s="204" t="s">
        <v>296</v>
      </c>
      <c r="O110" s="205" t="s">
        <v>298</v>
      </c>
    </row>
    <row r="111" spans="2:15" ht="15">
      <c r="B111" s="206">
        <v>1</v>
      </c>
      <c r="C111" s="78" t="s">
        <v>496</v>
      </c>
      <c r="D111" s="73">
        <v>1000</v>
      </c>
      <c r="E111" s="207">
        <v>0</v>
      </c>
      <c r="F111" s="148">
        <f t="shared" ref="F111:F122" si="95">I94</f>
        <v>22.201953</v>
      </c>
      <c r="G111" s="76"/>
      <c r="H111" s="75"/>
      <c r="I111" s="148">
        <f>F111+G111-H111</f>
        <v>22.201953</v>
      </c>
      <c r="J111" s="75">
        <f>M94</f>
        <v>0</v>
      </c>
      <c r="K111" s="149"/>
      <c r="L111" s="75"/>
      <c r="M111" s="148">
        <f>J111+K111-L111</f>
        <v>0</v>
      </c>
      <c r="N111" s="148">
        <f>F111-J111</f>
        <v>22.201953</v>
      </c>
      <c r="O111" s="148">
        <f>I111-M111</f>
        <v>22.201953</v>
      </c>
    </row>
    <row r="112" spans="2:15" ht="15">
      <c r="B112" s="206">
        <v>2</v>
      </c>
      <c r="C112" s="72" t="s">
        <v>128</v>
      </c>
      <c r="D112" s="73">
        <v>1100</v>
      </c>
      <c r="E112" s="74">
        <v>3.3399999999999999E-2</v>
      </c>
      <c r="F112" s="148">
        <f t="shared" si="95"/>
        <v>41.582841600000002</v>
      </c>
      <c r="G112" s="76"/>
      <c r="H112" s="75"/>
      <c r="I112" s="148">
        <f>F112+G112-H112</f>
        <v>41.582841600000002</v>
      </c>
      <c r="J112" s="75">
        <f t="shared" ref="J112:J122" si="96">M95</f>
        <v>0</v>
      </c>
      <c r="K112" s="149"/>
      <c r="L112" s="75"/>
      <c r="M112" s="148">
        <f t="shared" ref="M112:M114" si="97">J112+K112-L112</f>
        <v>0</v>
      </c>
      <c r="N112" s="148">
        <f t="shared" ref="N112:N114" si="98">F112-J112</f>
        <v>41.582841600000002</v>
      </c>
      <c r="O112" s="148">
        <f t="shared" ref="O112:O114" si="99">I112-M112</f>
        <v>41.582841600000002</v>
      </c>
    </row>
    <row r="113" spans="2:15" ht="15">
      <c r="B113" s="206">
        <v>3</v>
      </c>
      <c r="C113" s="78" t="s">
        <v>497</v>
      </c>
      <c r="D113" s="73">
        <v>1200</v>
      </c>
      <c r="E113" s="74">
        <v>5.28E-2</v>
      </c>
      <c r="F113" s="148">
        <f t="shared" si="95"/>
        <v>142.68600340200001</v>
      </c>
      <c r="G113" s="76"/>
      <c r="H113" s="75"/>
      <c r="I113" s="148">
        <f t="shared" ref="I113:I114" si="100">F113+G113-H113</f>
        <v>142.68600340200001</v>
      </c>
      <c r="J113" s="75">
        <f t="shared" si="96"/>
        <v>98.0514744666268</v>
      </c>
      <c r="K113" s="149"/>
      <c r="L113" s="75"/>
      <c r="M113" s="148">
        <f t="shared" si="97"/>
        <v>98.0514744666268</v>
      </c>
      <c r="N113" s="148">
        <f t="shared" si="98"/>
        <v>44.634528935373211</v>
      </c>
      <c r="O113" s="148">
        <f t="shared" si="99"/>
        <v>44.634528935373211</v>
      </c>
    </row>
    <row r="114" spans="2:15" ht="15">
      <c r="B114" s="206">
        <v>4</v>
      </c>
      <c r="C114" s="191" t="s">
        <v>127</v>
      </c>
      <c r="D114" s="73">
        <v>1300</v>
      </c>
      <c r="E114" s="79">
        <v>5.28E-2</v>
      </c>
      <c r="F114" s="148">
        <f t="shared" si="95"/>
        <v>165.50070170000001</v>
      </c>
      <c r="G114" s="76"/>
      <c r="H114" s="77"/>
      <c r="I114" s="148">
        <f t="shared" si="100"/>
        <v>165.50070170000001</v>
      </c>
      <c r="J114" s="75">
        <f t="shared" si="96"/>
        <v>146.56988971775999</v>
      </c>
      <c r="K114" s="149"/>
      <c r="L114" s="75"/>
      <c r="M114" s="148">
        <f t="shared" si="97"/>
        <v>146.56988971775999</v>
      </c>
      <c r="N114" s="148">
        <f t="shared" si="98"/>
        <v>18.930811982240016</v>
      </c>
      <c r="O114" s="148">
        <f t="shared" si="99"/>
        <v>18.930811982240016</v>
      </c>
    </row>
    <row r="115" spans="2:15" ht="15">
      <c r="B115" s="206">
        <v>5</v>
      </c>
      <c r="C115" s="191" t="s">
        <v>498</v>
      </c>
      <c r="D115" s="73">
        <v>1400</v>
      </c>
      <c r="E115" s="207">
        <v>5.28E-2</v>
      </c>
      <c r="F115" s="148">
        <f t="shared" si="95"/>
        <v>1818.1909386110001</v>
      </c>
      <c r="G115" s="76">
        <v>11.574529999999999</v>
      </c>
      <c r="H115" s="75"/>
      <c r="I115" s="148">
        <f>F115+G115-H115</f>
        <v>1829.7654686110002</v>
      </c>
      <c r="J115" s="75">
        <f t="shared" si="96"/>
        <v>1697.6887065080425</v>
      </c>
      <c r="K115" s="149">
        <v>20.501755264065455</v>
      </c>
      <c r="L115" s="75"/>
      <c r="M115" s="148">
        <f>J115+K115-L115</f>
        <v>1718.1904617721079</v>
      </c>
      <c r="N115" s="148">
        <f>F115-J115</f>
        <v>120.50223210295758</v>
      </c>
      <c r="O115" s="148">
        <f>I115-M115</f>
        <v>111.57500683889225</v>
      </c>
    </row>
    <row r="116" spans="2:15" ht="15">
      <c r="B116" s="206">
        <v>6</v>
      </c>
      <c r="C116" s="191" t="s">
        <v>499</v>
      </c>
      <c r="D116" s="73">
        <v>1500</v>
      </c>
      <c r="E116" s="74">
        <v>5.28E-2</v>
      </c>
      <c r="F116" s="148">
        <f t="shared" si="95"/>
        <v>27.445761599000001</v>
      </c>
      <c r="G116" s="76"/>
      <c r="H116" s="75"/>
      <c r="I116" s="148">
        <f>F116+G116-H116</f>
        <v>27.445761599000001</v>
      </c>
      <c r="J116" s="75">
        <f t="shared" si="96"/>
        <v>10.125804313427201</v>
      </c>
      <c r="K116" s="149"/>
      <c r="L116" s="75"/>
      <c r="M116" s="148">
        <f t="shared" ref="M116:M118" si="101">J116+K116-L116</f>
        <v>10.125804313427201</v>
      </c>
      <c r="N116" s="148">
        <f t="shared" ref="N116:N118" si="102">F116-J116</f>
        <v>17.319957285572798</v>
      </c>
      <c r="O116" s="148">
        <f t="shared" ref="O116:O118" si="103">I116-M116</f>
        <v>17.319957285572798</v>
      </c>
    </row>
    <row r="117" spans="2:15" ht="15">
      <c r="B117" s="206">
        <v>7</v>
      </c>
      <c r="C117" s="191" t="s">
        <v>500</v>
      </c>
      <c r="D117" s="73">
        <v>1600</v>
      </c>
      <c r="E117" s="74">
        <v>3.3399999999999999E-2</v>
      </c>
      <c r="F117" s="148">
        <f t="shared" si="95"/>
        <v>247.11513890100002</v>
      </c>
      <c r="G117" s="76"/>
      <c r="H117" s="75"/>
      <c r="I117" s="148">
        <f t="shared" ref="I117:I118" si="104">F117+G117-H117</f>
        <v>247.11513890100002</v>
      </c>
      <c r="J117" s="75">
        <f t="shared" si="96"/>
        <v>168.90045755397281</v>
      </c>
      <c r="K117" s="149"/>
      <c r="L117" s="75"/>
      <c r="M117" s="148">
        <f t="shared" si="101"/>
        <v>168.90045755397281</v>
      </c>
      <c r="N117" s="148">
        <f t="shared" si="102"/>
        <v>78.214681347027209</v>
      </c>
      <c r="O117" s="148">
        <f t="shared" si="103"/>
        <v>78.214681347027209</v>
      </c>
    </row>
    <row r="118" spans="2:15" ht="15">
      <c r="B118" s="206">
        <v>8</v>
      </c>
      <c r="C118" s="191" t="s">
        <v>132</v>
      </c>
      <c r="D118" s="73">
        <v>1700</v>
      </c>
      <c r="E118" s="79">
        <v>9.5000000000000001E-2</v>
      </c>
      <c r="F118" s="148">
        <f t="shared" si="95"/>
        <v>83.994568712000003</v>
      </c>
      <c r="G118" s="76"/>
      <c r="H118" s="77"/>
      <c r="I118" s="148">
        <f t="shared" si="104"/>
        <v>83.994568712000003</v>
      </c>
      <c r="J118" s="75">
        <f t="shared" si="96"/>
        <v>31.81433985951</v>
      </c>
      <c r="K118" s="149"/>
      <c r="L118" s="75"/>
      <c r="M118" s="148">
        <f t="shared" si="101"/>
        <v>31.81433985951</v>
      </c>
      <c r="N118" s="148">
        <f t="shared" si="102"/>
        <v>52.180228852490004</v>
      </c>
      <c r="O118" s="148">
        <f t="shared" si="103"/>
        <v>52.180228852490004</v>
      </c>
    </row>
    <row r="119" spans="2:15" ht="15">
      <c r="B119" s="206">
        <v>9</v>
      </c>
      <c r="C119" s="191" t="s">
        <v>501</v>
      </c>
      <c r="D119" s="73">
        <v>1800</v>
      </c>
      <c r="E119" s="207">
        <v>6.3299999999999995E-2</v>
      </c>
      <c r="F119" s="148">
        <f t="shared" si="95"/>
        <v>23.932888903999999</v>
      </c>
      <c r="G119" s="76"/>
      <c r="H119" s="75"/>
      <c r="I119" s="148">
        <f>F119+G119-H119</f>
        <v>23.932888903999999</v>
      </c>
      <c r="J119" s="75">
        <f t="shared" si="96"/>
        <v>19.070041910880001</v>
      </c>
      <c r="K119" s="149"/>
      <c r="L119" s="75"/>
      <c r="M119" s="148">
        <f>J119+K119-L119</f>
        <v>19.070041910880001</v>
      </c>
      <c r="N119" s="148">
        <f>F119-J119</f>
        <v>4.862846993119998</v>
      </c>
      <c r="O119" s="148">
        <f>I119-M119</f>
        <v>4.862846993119998</v>
      </c>
    </row>
    <row r="120" spans="2:15" ht="15">
      <c r="B120" s="206">
        <v>10</v>
      </c>
      <c r="C120" s="191" t="s">
        <v>502</v>
      </c>
      <c r="D120" s="73">
        <v>1900</v>
      </c>
      <c r="E120" s="74">
        <v>0.15</v>
      </c>
      <c r="F120" s="148">
        <f t="shared" si="95"/>
        <v>1.5299046749999998</v>
      </c>
      <c r="G120" s="76"/>
      <c r="H120" s="75"/>
      <c r="I120" s="148">
        <f>F120+G120-H120</f>
        <v>1.5299046749999998</v>
      </c>
      <c r="J120" s="75">
        <f t="shared" si="96"/>
        <v>1.3339697070849501</v>
      </c>
      <c r="K120" s="149"/>
      <c r="L120" s="75"/>
      <c r="M120" s="148">
        <f t="shared" ref="M120:M122" si="105">J120+K120-L120</f>
        <v>1.3339697070849501</v>
      </c>
      <c r="N120" s="148">
        <f t="shared" ref="N120:N122" si="106">F120-J120</f>
        <v>0.19593496791504972</v>
      </c>
      <c r="O120" s="148">
        <f t="shared" ref="O120:O122" si="107">I120-M120</f>
        <v>0.19593496791504972</v>
      </c>
    </row>
    <row r="121" spans="2:15" ht="15">
      <c r="B121" s="206">
        <v>11</v>
      </c>
      <c r="C121" s="191" t="s">
        <v>134</v>
      </c>
      <c r="D121" s="73">
        <v>2100</v>
      </c>
      <c r="E121" s="74">
        <v>6.3299999999999995E-2</v>
      </c>
      <c r="F121" s="148">
        <f t="shared" si="95"/>
        <v>2.4792663259999999</v>
      </c>
      <c r="G121" s="76"/>
      <c r="H121" s="75"/>
      <c r="I121" s="148">
        <f t="shared" ref="I121:I122" si="108">F121+G121-H121</f>
        <v>2.4792663259999999</v>
      </c>
      <c r="J121" s="75">
        <f t="shared" si="96"/>
        <v>2.2439208394999994</v>
      </c>
      <c r="K121" s="149"/>
      <c r="L121" s="75"/>
      <c r="M121" s="148">
        <f t="shared" si="105"/>
        <v>2.2439208394999994</v>
      </c>
      <c r="N121" s="148">
        <f t="shared" si="106"/>
        <v>0.23534548650000042</v>
      </c>
      <c r="O121" s="148">
        <f t="shared" si="107"/>
        <v>0.23534548650000042</v>
      </c>
    </row>
    <row r="122" spans="2:15" ht="15">
      <c r="B122" s="206"/>
      <c r="C122" s="191" t="s">
        <v>503</v>
      </c>
      <c r="D122" s="73">
        <v>2200</v>
      </c>
      <c r="E122" s="79">
        <v>0</v>
      </c>
      <c r="F122" s="148">
        <f t="shared" si="95"/>
        <v>1.589391387</v>
      </c>
      <c r="G122" s="76"/>
      <c r="H122" s="77"/>
      <c r="I122" s="148">
        <f t="shared" si="108"/>
        <v>1.589391387</v>
      </c>
      <c r="J122" s="75">
        <f t="shared" si="96"/>
        <v>1.1203168961364001</v>
      </c>
      <c r="K122" s="149"/>
      <c r="L122" s="75"/>
      <c r="M122" s="148">
        <f t="shared" si="105"/>
        <v>1.1203168961364001</v>
      </c>
      <c r="N122" s="148">
        <f t="shared" si="106"/>
        <v>0.46907449086359998</v>
      </c>
      <c r="O122" s="148">
        <f t="shared" si="107"/>
        <v>0.46907449086359998</v>
      </c>
    </row>
    <row r="123" spans="2:15" ht="15.75" thickBot="1">
      <c r="B123" s="80"/>
      <c r="C123" s="81" t="s">
        <v>139</v>
      </c>
      <c r="D123" s="81"/>
      <c r="E123" s="150">
        <f>IFERROR((K123-L123)/AVERAGE(F123,I123),0)</f>
        <v>7.9340033632268603E-3</v>
      </c>
      <c r="F123" s="151">
        <f>I106</f>
        <v>2578.2493588169996</v>
      </c>
      <c r="G123" s="151">
        <f>'F3'!M12</f>
        <v>11.574529999999999</v>
      </c>
      <c r="H123" s="151">
        <f t="shared" ref="H123:L123" si="109">SUM(H119:H122)</f>
        <v>0</v>
      </c>
      <c r="I123" s="151">
        <f>F123+G123</f>
        <v>2589.8238888169994</v>
      </c>
      <c r="J123" s="152">
        <f>M106</f>
        <v>2176.9189217729413</v>
      </c>
      <c r="K123" s="151">
        <f>SUM(K111:K122)</f>
        <v>20.501755264065455</v>
      </c>
      <c r="L123" s="153">
        <f t="shared" si="109"/>
        <v>0</v>
      </c>
      <c r="M123" s="152">
        <f>J123+K123</f>
        <v>2197.420677037007</v>
      </c>
      <c r="N123" s="151">
        <f>F123-J123</f>
        <v>401.33043704405827</v>
      </c>
      <c r="O123" s="151">
        <f>I123-M123</f>
        <v>392.40321177999249</v>
      </c>
    </row>
    <row r="124" spans="2:15" hidden="1">
      <c r="F124" s="192">
        <f>SUM(F111:F122)</f>
        <v>2578.249358817</v>
      </c>
      <c r="G124" s="5">
        <f t="shared" ref="G124:O124" si="110">SUM(G111:G122)</f>
        <v>11.574529999999999</v>
      </c>
      <c r="H124" s="5">
        <f t="shared" si="110"/>
        <v>0</v>
      </c>
      <c r="I124" s="5">
        <f t="shared" si="110"/>
        <v>2589.8238888169999</v>
      </c>
      <c r="J124" s="5">
        <f t="shared" si="110"/>
        <v>2176.9189217729404</v>
      </c>
      <c r="K124" s="5">
        <f t="shared" si="110"/>
        <v>20.501755264065455</v>
      </c>
      <c r="L124" s="5">
        <f t="shared" si="110"/>
        <v>0</v>
      </c>
      <c r="M124" s="5">
        <f t="shared" si="110"/>
        <v>2197.4206770370056</v>
      </c>
      <c r="N124" s="5">
        <f t="shared" si="110"/>
        <v>401.33043704405952</v>
      </c>
      <c r="O124" s="5">
        <f t="shared" si="110"/>
        <v>392.40321177999419</v>
      </c>
    </row>
  </sheetData>
  <mergeCells count="56">
    <mergeCell ref="B108:O108"/>
    <mergeCell ref="B109:B110"/>
    <mergeCell ref="C109:C110"/>
    <mergeCell ref="D109:D110"/>
    <mergeCell ref="E109:E110"/>
    <mergeCell ref="F109:I109"/>
    <mergeCell ref="J109:M109"/>
    <mergeCell ref="N109:O109"/>
    <mergeCell ref="B91:O91"/>
    <mergeCell ref="B92:B93"/>
    <mergeCell ref="C92:C93"/>
    <mergeCell ref="D92:D93"/>
    <mergeCell ref="E92:E93"/>
    <mergeCell ref="F92:I92"/>
    <mergeCell ref="J92:M92"/>
    <mergeCell ref="N92:O92"/>
    <mergeCell ref="B74:O74"/>
    <mergeCell ref="B75:B76"/>
    <mergeCell ref="C75:C76"/>
    <mergeCell ref="D75:D76"/>
    <mergeCell ref="E75:E76"/>
    <mergeCell ref="F75:I75"/>
    <mergeCell ref="J75:M75"/>
    <mergeCell ref="N75:O75"/>
    <mergeCell ref="B57:O57"/>
    <mergeCell ref="B58:B59"/>
    <mergeCell ref="C58:C59"/>
    <mergeCell ref="D58:D59"/>
    <mergeCell ref="E58:E59"/>
    <mergeCell ref="F58:I58"/>
    <mergeCell ref="J58:M58"/>
    <mergeCell ref="N58:O58"/>
    <mergeCell ref="B40:O40"/>
    <mergeCell ref="B41:B42"/>
    <mergeCell ref="C41:C42"/>
    <mergeCell ref="D41:D42"/>
    <mergeCell ref="E41:E42"/>
    <mergeCell ref="F41:I41"/>
    <mergeCell ref="J41:M41"/>
    <mergeCell ref="N41:O41"/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  <mergeCell ref="D24:D25"/>
    <mergeCell ref="E24:E25"/>
    <mergeCell ref="F24:I24"/>
  </mergeCells>
  <pageMargins left="0.43307086614173229" right="0.23622047244094491" top="0.19685039370078741" bottom="0.19685039370078741" header="0.23622047244094491" footer="0.23622047244094491"/>
  <pageSetup paperSize="9" scale="67" orientation="landscape" r:id="rId1"/>
  <headerFooter alignWithMargins="0">
    <oddHeader>&amp;F</oddHeader>
  </headerFooter>
  <rowBreaks count="2" manualBreakCount="2">
    <brk id="41" max="14" man="1"/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2"/>
  <sheetViews>
    <sheetView showGridLines="0" view="pageBreakPreview" zoomScale="90" zoomScaleNormal="80" zoomScaleSheetLayoutView="90" workbookViewId="0">
      <selection activeCell="F12" sqref="F12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8.28515625" style="5" customWidth="1"/>
    <col min="9" max="9" width="11.7109375" style="5" bestFit="1" customWidth="1"/>
    <col min="10" max="10" width="13.7109375" style="5" bestFit="1" customWidth="1"/>
    <col min="11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68" t="s">
        <v>530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</row>
    <row r="3" spans="2:13" ht="15.75">
      <c r="B3" s="268" t="s">
        <v>512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</row>
    <row r="4" spans="2:13" ht="15.75">
      <c r="B4" s="268" t="s">
        <v>542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</row>
    <row r="5" spans="2:13" ht="15">
      <c r="B5" s="40" t="s">
        <v>57</v>
      </c>
      <c r="C5" s="30" t="s">
        <v>309</v>
      </c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75" t="s">
        <v>210</v>
      </c>
      <c r="C7" s="278" t="s">
        <v>18</v>
      </c>
      <c r="D7" s="282" t="s">
        <v>513</v>
      </c>
      <c r="E7" s="283"/>
      <c r="F7" s="284"/>
      <c r="G7" s="282" t="s">
        <v>514</v>
      </c>
      <c r="H7" s="283"/>
      <c r="I7" s="287" t="s">
        <v>252</v>
      </c>
      <c r="J7" s="287"/>
      <c r="K7" s="287"/>
      <c r="L7" s="287"/>
      <c r="M7" s="287"/>
    </row>
    <row r="8" spans="2:13" s="19" customFormat="1" ht="45">
      <c r="B8" s="276"/>
      <c r="C8" s="278"/>
      <c r="D8" s="21" t="s">
        <v>397</v>
      </c>
      <c r="E8" s="21" t="s">
        <v>270</v>
      </c>
      <c r="F8" s="21" t="s">
        <v>226</v>
      </c>
      <c r="G8" s="21" t="s">
        <v>397</v>
      </c>
      <c r="H8" s="21" t="s">
        <v>269</v>
      </c>
      <c r="I8" s="21" t="s">
        <v>483</v>
      </c>
      <c r="J8" s="21" t="s">
        <v>484</v>
      </c>
      <c r="K8" s="21" t="s">
        <v>485</v>
      </c>
      <c r="L8" s="21" t="s">
        <v>486</v>
      </c>
      <c r="M8" s="21" t="s">
        <v>487</v>
      </c>
    </row>
    <row r="9" spans="2:13" s="19" customFormat="1" ht="15">
      <c r="B9" s="277"/>
      <c r="C9" s="279"/>
      <c r="D9" s="21" t="s">
        <v>10</v>
      </c>
      <c r="E9" s="21" t="s">
        <v>12</v>
      </c>
      <c r="F9" s="21" t="s">
        <v>259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9">
        <v>1</v>
      </c>
      <c r="C10" s="33" t="s">
        <v>188</v>
      </c>
      <c r="D10" s="160">
        <f>'F4'!F21*70%</f>
        <v>1784.1782289526996</v>
      </c>
      <c r="E10" s="159">
        <f>D10</f>
        <v>1784.1782289526996</v>
      </c>
      <c r="F10" s="159">
        <f>E10</f>
        <v>1784.1782289526996</v>
      </c>
      <c r="G10" s="141"/>
      <c r="H10" s="141">
        <v>1593.1557071758996</v>
      </c>
      <c r="I10" s="141">
        <v>1593.2117071758994</v>
      </c>
      <c r="J10" s="141">
        <v>1615.4197729522598</v>
      </c>
      <c r="K10" s="141">
        <v>1631.8697729522598</v>
      </c>
      <c r="L10" s="141">
        <v>1642.3697729522598</v>
      </c>
      <c r="M10" s="141">
        <v>1642.3697729522598</v>
      </c>
    </row>
    <row r="11" spans="2:13">
      <c r="B11" s="26">
        <f>B10+1</f>
        <v>2</v>
      </c>
      <c r="C11" s="33" t="s">
        <v>189</v>
      </c>
      <c r="D11" s="160">
        <v>1784.1782289526996</v>
      </c>
      <c r="E11" s="159">
        <v>1784.1782289526996</v>
      </c>
      <c r="F11" s="159">
        <v>1784.1782289526996</v>
      </c>
      <c r="G11" s="141"/>
      <c r="H11" s="141">
        <v>1866.3008196796079</v>
      </c>
      <c r="I11" s="141">
        <v>1896.6411917468899</v>
      </c>
      <c r="J11" s="141">
        <v>1926.9959638141718</v>
      </c>
      <c r="K11" s="141">
        <v>1964.4890427381411</v>
      </c>
      <c r="L11" s="141">
        <v>2009.0321216621103</v>
      </c>
      <c r="M11" s="141">
        <v>2060.3252005860795</v>
      </c>
    </row>
    <row r="12" spans="2:13" ht="15">
      <c r="B12" s="26">
        <f t="shared" ref="B12:B22" si="0">B11+1</f>
        <v>3</v>
      </c>
      <c r="C12" s="35" t="s">
        <v>190</v>
      </c>
      <c r="D12" s="147">
        <f>D10-D11</f>
        <v>0</v>
      </c>
      <c r="E12" s="147">
        <f t="shared" ref="E12:M12" si="1">E10-E11</f>
        <v>0</v>
      </c>
      <c r="F12" s="147">
        <f t="shared" si="1"/>
        <v>0</v>
      </c>
      <c r="G12" s="147">
        <f>G10-G11</f>
        <v>0</v>
      </c>
      <c r="H12" s="147">
        <f t="shared" si="1"/>
        <v>-273.14511250370833</v>
      </c>
      <c r="I12" s="147">
        <f>I10-I11</f>
        <v>-303.42948457099055</v>
      </c>
      <c r="J12" s="147">
        <f t="shared" si="1"/>
        <v>-311.57619086191198</v>
      </c>
      <c r="K12" s="147">
        <f t="shared" si="1"/>
        <v>-332.61926978588122</v>
      </c>
      <c r="L12" s="147">
        <f t="shared" si="1"/>
        <v>-366.66234870985045</v>
      </c>
      <c r="M12" s="147">
        <f t="shared" si="1"/>
        <v>-417.95542763381968</v>
      </c>
    </row>
    <row r="13" spans="2:13" ht="28.5">
      <c r="B13" s="26">
        <f t="shared" si="0"/>
        <v>4</v>
      </c>
      <c r="C13" s="84" t="s">
        <v>191</v>
      </c>
      <c r="D13" s="157"/>
      <c r="E13" s="157"/>
      <c r="F13" s="157"/>
      <c r="G13" s="157"/>
      <c r="H13" s="157"/>
      <c r="I13" s="157"/>
      <c r="J13" s="157"/>
      <c r="K13" s="157"/>
      <c r="L13" s="157"/>
      <c r="M13" s="157"/>
    </row>
    <row r="14" spans="2:13" s="39" customFormat="1" ht="28.5">
      <c r="B14" s="26">
        <f t="shared" si="0"/>
        <v>5</v>
      </c>
      <c r="C14" s="44" t="s">
        <v>435</v>
      </c>
      <c r="D14" s="157"/>
      <c r="E14" s="166">
        <f>F3.1!H12*70%</f>
        <v>0.12071313449999997</v>
      </c>
      <c r="F14" s="166">
        <f>E14</f>
        <v>0.12071313449999997</v>
      </c>
      <c r="G14" s="171"/>
      <c r="H14" s="172">
        <f>F3.1!H19*75%</f>
        <v>0.10500000000000001</v>
      </c>
      <c r="I14" s="172">
        <f>F3.1!H25*70%</f>
        <v>7.9029999999999987</v>
      </c>
      <c r="J14" s="172">
        <f>F3.1!I25*70%</f>
        <v>0</v>
      </c>
      <c r="K14" s="172">
        <f>F3.1!J25*70%</f>
        <v>0</v>
      </c>
      <c r="L14" s="172">
        <f>F3.1!K25*70%</f>
        <v>0</v>
      </c>
      <c r="M14" s="172">
        <f>F3.1!L25*70%</f>
        <v>0</v>
      </c>
    </row>
    <row r="15" spans="2:13">
      <c r="B15" s="26">
        <f t="shared" si="0"/>
        <v>6</v>
      </c>
      <c r="C15" s="84" t="s">
        <v>196</v>
      </c>
      <c r="D15" s="175">
        <f>'F1'!F12</f>
        <v>131.41399999999999</v>
      </c>
      <c r="E15" s="175">
        <f>'F1'!G12</f>
        <v>128.09296343514978</v>
      </c>
      <c r="F15" s="175">
        <f>'F1'!H12</f>
        <v>128.09296343514978</v>
      </c>
      <c r="G15" s="175">
        <f>'F1'!I12</f>
        <v>74.16</v>
      </c>
      <c r="H15" s="175">
        <f>'F1'!J12</f>
        <v>17.493439370529206</v>
      </c>
      <c r="I15" s="175">
        <f>'F1'!K12</f>
        <v>17.504780264065506</v>
      </c>
      <c r="J15" s="175">
        <f>'F1'!L12</f>
        <v>18.5208802640655</v>
      </c>
      <c r="K15" s="175">
        <f>'F1'!M12</f>
        <v>18.71188026406551</v>
      </c>
      <c r="L15" s="175">
        <f>'F1'!N12</f>
        <v>20.50175526406548</v>
      </c>
      <c r="M15" s="175">
        <f>'F1'!O12</f>
        <v>20.501755264065455</v>
      </c>
    </row>
    <row r="16" spans="2:13" ht="15">
      <c r="B16" s="26">
        <f t="shared" si="0"/>
        <v>7</v>
      </c>
      <c r="C16" s="33" t="s">
        <v>192</v>
      </c>
      <c r="D16" s="147">
        <v>0</v>
      </c>
      <c r="E16" s="147">
        <v>0</v>
      </c>
      <c r="F16" s="147">
        <v>0</v>
      </c>
      <c r="G16" s="147">
        <f t="shared" ref="G16:M16" si="2">G12-G13+G14-G15</f>
        <v>-74.16</v>
      </c>
      <c r="H16" s="147">
        <f t="shared" si="2"/>
        <v>-290.5335518742375</v>
      </c>
      <c r="I16" s="147">
        <f t="shared" si="2"/>
        <v>-313.03126483505605</v>
      </c>
      <c r="J16" s="147">
        <f t="shared" si="2"/>
        <v>-330.09707112597749</v>
      </c>
      <c r="K16" s="147">
        <f t="shared" si="2"/>
        <v>-351.3311500499467</v>
      </c>
      <c r="L16" s="147">
        <f t="shared" si="2"/>
        <v>-387.16410397391593</v>
      </c>
      <c r="M16" s="147">
        <f t="shared" si="2"/>
        <v>-438.45718289788516</v>
      </c>
    </row>
    <row r="17" spans="2:13" ht="15">
      <c r="B17" s="26">
        <f t="shared" si="0"/>
        <v>8</v>
      </c>
      <c r="C17" s="33" t="s">
        <v>193</v>
      </c>
      <c r="D17" s="147">
        <f>D10-D13+D14-D15</f>
        <v>1652.7642289526996</v>
      </c>
      <c r="E17" s="147">
        <f t="shared" ref="E17:M17" si="3">E10-E13+E14-E15</f>
        <v>1656.2059786520497</v>
      </c>
      <c r="F17" s="147">
        <f t="shared" si="3"/>
        <v>1656.2059786520497</v>
      </c>
      <c r="G17" s="147">
        <f t="shared" si="3"/>
        <v>-74.16</v>
      </c>
      <c r="H17" s="147">
        <f t="shared" si="3"/>
        <v>1575.7672678053705</v>
      </c>
      <c r="I17" s="147">
        <f t="shared" si="3"/>
        <v>1583.609926911834</v>
      </c>
      <c r="J17" s="147">
        <f t="shared" si="3"/>
        <v>1596.8988926881943</v>
      </c>
      <c r="K17" s="147">
        <f t="shared" si="3"/>
        <v>1613.1578926881944</v>
      </c>
      <c r="L17" s="147">
        <f t="shared" si="3"/>
        <v>1621.8680176881944</v>
      </c>
      <c r="M17" s="147">
        <f t="shared" si="3"/>
        <v>1621.8680176881944</v>
      </c>
    </row>
    <row r="18" spans="2:13" ht="15">
      <c r="B18" s="26">
        <f t="shared" si="0"/>
        <v>9</v>
      </c>
      <c r="C18" s="33" t="s">
        <v>232</v>
      </c>
      <c r="D18" s="147">
        <f>AVERAGE(D12,D16)</f>
        <v>0</v>
      </c>
      <c r="E18" s="147">
        <f t="shared" ref="E18:M18" si="4">AVERAGE(E12,E16)</f>
        <v>0</v>
      </c>
      <c r="F18" s="147">
        <f t="shared" si="4"/>
        <v>0</v>
      </c>
      <c r="G18" s="147">
        <f t="shared" si="4"/>
        <v>-37.08</v>
      </c>
      <c r="H18" s="147">
        <f t="shared" si="4"/>
        <v>-281.83933218897289</v>
      </c>
      <c r="I18" s="147">
        <f t="shared" si="4"/>
        <v>-308.2303747030233</v>
      </c>
      <c r="J18" s="147">
        <f t="shared" si="4"/>
        <v>-320.83663099394471</v>
      </c>
      <c r="K18" s="147">
        <f t="shared" si="4"/>
        <v>-341.97520991791396</v>
      </c>
      <c r="L18" s="147">
        <f t="shared" si="4"/>
        <v>-376.91322634188316</v>
      </c>
      <c r="M18" s="147">
        <f t="shared" si="4"/>
        <v>-428.20630526585239</v>
      </c>
    </row>
    <row r="19" spans="2:13">
      <c r="B19" s="26">
        <f t="shared" si="0"/>
        <v>10</v>
      </c>
      <c r="C19" s="84" t="s">
        <v>231</v>
      </c>
      <c r="D19" s="155">
        <v>9.9500000000000005E-2</v>
      </c>
      <c r="E19" s="155">
        <v>9.9500000000000005E-2</v>
      </c>
      <c r="F19" s="155">
        <v>9.9500000000000005E-2</v>
      </c>
      <c r="G19" s="155">
        <v>9.9500000000000005E-2</v>
      </c>
      <c r="H19" s="155">
        <v>9.9500000000000005E-2</v>
      </c>
      <c r="I19" s="155">
        <v>9.9500000000000005E-2</v>
      </c>
      <c r="J19" s="155">
        <v>9.9500000000000005E-2</v>
      </c>
      <c r="K19" s="155">
        <v>9.9500000000000005E-2</v>
      </c>
      <c r="L19" s="155">
        <v>9.9500000000000005E-2</v>
      </c>
      <c r="M19" s="155">
        <v>9.9500000000000005E-2</v>
      </c>
    </row>
    <row r="20" spans="2:13" ht="15">
      <c r="B20" s="26">
        <f t="shared" si="0"/>
        <v>11</v>
      </c>
      <c r="C20" s="33" t="s">
        <v>310</v>
      </c>
      <c r="D20" s="147">
        <f>D18*D19</f>
        <v>0</v>
      </c>
      <c r="E20" s="147">
        <f>E18*E19</f>
        <v>0</v>
      </c>
      <c r="F20" s="147">
        <f t="shared" ref="F20:M20" si="5">F18*F19</f>
        <v>0</v>
      </c>
      <c r="G20" s="147">
        <f t="shared" si="5"/>
        <v>-3.68946</v>
      </c>
      <c r="H20" s="147">
        <f t="shared" si="5"/>
        <v>-28.043013552802805</v>
      </c>
      <c r="I20" s="147">
        <f t="shared" si="5"/>
        <v>-30.66892228295082</v>
      </c>
      <c r="J20" s="147">
        <f t="shared" si="5"/>
        <v>-31.923244783897502</v>
      </c>
      <c r="K20" s="147">
        <f t="shared" si="5"/>
        <v>-34.02653338683244</v>
      </c>
      <c r="L20" s="147">
        <f t="shared" si="5"/>
        <v>-37.502866021017375</v>
      </c>
      <c r="M20" s="147">
        <f t="shared" si="5"/>
        <v>-42.606527373952318</v>
      </c>
    </row>
    <row r="21" spans="2:13">
      <c r="B21" s="26">
        <f t="shared" si="0"/>
        <v>12</v>
      </c>
      <c r="C21" s="33" t="s">
        <v>313</v>
      </c>
      <c r="D21" s="85"/>
      <c r="E21" s="85"/>
      <c r="F21" s="85"/>
      <c r="G21" s="85"/>
      <c r="H21" s="85"/>
      <c r="I21" s="85"/>
      <c r="J21" s="85"/>
      <c r="K21" s="85"/>
      <c r="L21" s="85"/>
      <c r="M21" s="85"/>
    </row>
    <row r="22" spans="2:13" ht="15">
      <c r="B22" s="26">
        <f t="shared" si="0"/>
        <v>13</v>
      </c>
      <c r="C22" s="33" t="s">
        <v>314</v>
      </c>
      <c r="D22" s="147">
        <v>1.0900000000000001</v>
      </c>
      <c r="E22" s="147">
        <v>0</v>
      </c>
      <c r="F22" s="147">
        <v>0</v>
      </c>
      <c r="G22" s="147">
        <v>0</v>
      </c>
      <c r="H22" s="147">
        <v>0</v>
      </c>
      <c r="I22" s="147">
        <v>0</v>
      </c>
      <c r="J22" s="147">
        <v>0</v>
      </c>
      <c r="K22" s="147">
        <v>0</v>
      </c>
      <c r="L22" s="147">
        <v>0</v>
      </c>
      <c r="M22" s="147">
        <v>0</v>
      </c>
    </row>
    <row r="23" spans="2:13">
      <c r="B23" s="41"/>
    </row>
    <row r="24" spans="2:13">
      <c r="B24" s="41"/>
      <c r="C24" s="5" t="s">
        <v>272</v>
      </c>
    </row>
    <row r="25" spans="2:13">
      <c r="C25" s="5" t="s">
        <v>436</v>
      </c>
    </row>
    <row r="27" spans="2:13" ht="15">
      <c r="B27" s="40" t="s">
        <v>62</v>
      </c>
      <c r="C27" s="30" t="s">
        <v>311</v>
      </c>
    </row>
    <row r="28" spans="2:13" ht="15">
      <c r="J28" s="32" t="s">
        <v>4</v>
      </c>
    </row>
    <row r="29" spans="2:13" ht="15" customHeight="1">
      <c r="B29" s="275" t="s">
        <v>210</v>
      </c>
      <c r="C29" s="278" t="s">
        <v>18</v>
      </c>
      <c r="D29" s="83" t="s">
        <v>257</v>
      </c>
      <c r="E29" s="282" t="s">
        <v>256</v>
      </c>
      <c r="F29" s="283"/>
      <c r="G29" s="284"/>
      <c r="H29" s="308"/>
      <c r="I29" s="308"/>
      <c r="J29" s="309"/>
    </row>
    <row r="30" spans="2:13" ht="15">
      <c r="B30" s="276"/>
      <c r="C30" s="278"/>
      <c r="D30" s="21" t="s">
        <v>270</v>
      </c>
      <c r="E30" s="21" t="s">
        <v>260</v>
      </c>
      <c r="F30" s="21" t="s">
        <v>261</v>
      </c>
      <c r="G30" s="21" t="s">
        <v>269</v>
      </c>
      <c r="H30" s="21" t="s">
        <v>253</v>
      </c>
      <c r="I30" s="21" t="s">
        <v>254</v>
      </c>
      <c r="J30" s="21" t="s">
        <v>255</v>
      </c>
    </row>
    <row r="31" spans="2:13" ht="15">
      <c r="B31" s="277"/>
      <c r="C31" s="279"/>
      <c r="D31" s="21" t="s">
        <v>12</v>
      </c>
      <c r="E31" s="21" t="s">
        <v>3</v>
      </c>
      <c r="F31" s="21" t="s">
        <v>5</v>
      </c>
      <c r="G31" s="21" t="s">
        <v>5</v>
      </c>
      <c r="H31" s="21" t="s">
        <v>8</v>
      </c>
      <c r="I31" s="21" t="s">
        <v>8</v>
      </c>
      <c r="J31" s="21" t="s">
        <v>8</v>
      </c>
    </row>
    <row r="32" spans="2:13" ht="15">
      <c r="B32" s="26">
        <v>1</v>
      </c>
      <c r="C32" s="46" t="s">
        <v>209</v>
      </c>
      <c r="D32" s="33"/>
      <c r="E32" s="33"/>
      <c r="F32" s="33"/>
      <c r="G32" s="33"/>
      <c r="H32" s="33"/>
      <c r="I32" s="33"/>
      <c r="J32" s="33"/>
    </row>
    <row r="33" spans="2:10">
      <c r="B33" s="33"/>
      <c r="C33" s="33" t="s">
        <v>13</v>
      </c>
      <c r="D33" s="33">
        <v>32.18</v>
      </c>
      <c r="E33" s="33"/>
      <c r="F33" s="33"/>
      <c r="G33" s="33"/>
      <c r="H33" s="33"/>
      <c r="I33" s="33"/>
      <c r="J33" s="33"/>
    </row>
    <row r="34" spans="2:10">
      <c r="B34" s="33"/>
      <c r="C34" s="33" t="s">
        <v>177</v>
      </c>
      <c r="D34" s="33">
        <v>0</v>
      </c>
      <c r="E34" s="33"/>
      <c r="F34" s="33"/>
      <c r="G34" s="33"/>
      <c r="H34" s="33"/>
      <c r="I34" s="33"/>
      <c r="J34" s="33"/>
    </row>
    <row r="35" spans="2:10">
      <c r="B35" s="33"/>
      <c r="C35" s="33" t="s">
        <v>14</v>
      </c>
      <c r="D35" s="33">
        <v>32.18</v>
      </c>
      <c r="E35" s="33"/>
      <c r="F35" s="33"/>
      <c r="G35" s="33"/>
      <c r="H35" s="33"/>
      <c r="I35" s="33"/>
      <c r="J35" s="33"/>
    </row>
    <row r="36" spans="2:10" ht="15">
      <c r="B36" s="33"/>
      <c r="C36" s="33" t="s">
        <v>15</v>
      </c>
      <c r="D36" s="145">
        <v>0</v>
      </c>
      <c r="E36" s="145">
        <f t="shared" ref="E36:J36" si="6">E33+E34-E35</f>
        <v>0</v>
      </c>
      <c r="F36" s="145">
        <f t="shared" si="6"/>
        <v>0</v>
      </c>
      <c r="G36" s="145">
        <f t="shared" si="6"/>
        <v>0</v>
      </c>
      <c r="H36" s="145">
        <f t="shared" si="6"/>
        <v>0</v>
      </c>
      <c r="I36" s="145">
        <f t="shared" si="6"/>
        <v>0</v>
      </c>
      <c r="J36" s="145">
        <f t="shared" si="6"/>
        <v>0</v>
      </c>
    </row>
    <row r="37" spans="2:10" ht="15">
      <c r="B37" s="33"/>
      <c r="C37" s="33" t="s">
        <v>233</v>
      </c>
      <c r="D37" s="145">
        <v>5.26</v>
      </c>
      <c r="E37" s="145">
        <f t="shared" ref="E37:J37" si="7">AVERAGE(E33,E36)</f>
        <v>0</v>
      </c>
      <c r="F37" s="145">
        <f t="shared" si="7"/>
        <v>0</v>
      </c>
      <c r="G37" s="145">
        <f t="shared" si="7"/>
        <v>0</v>
      </c>
      <c r="H37" s="145">
        <f t="shared" si="7"/>
        <v>0</v>
      </c>
      <c r="I37" s="145">
        <f t="shared" si="7"/>
        <v>0</v>
      </c>
      <c r="J37" s="145">
        <f t="shared" si="7"/>
        <v>0</v>
      </c>
    </row>
    <row r="38" spans="2:10">
      <c r="B38" s="33"/>
      <c r="C38" s="33" t="s">
        <v>16</v>
      </c>
      <c r="D38" s="158">
        <v>9.9500000000000005E-2</v>
      </c>
      <c r="E38" s="158"/>
      <c r="F38" s="158"/>
      <c r="G38" s="158"/>
      <c r="H38" s="158"/>
      <c r="I38" s="158"/>
      <c r="J38" s="158"/>
    </row>
    <row r="39" spans="2:10" ht="15">
      <c r="B39" s="33"/>
      <c r="C39" s="33" t="s">
        <v>310</v>
      </c>
      <c r="D39" s="145">
        <v>0.53</v>
      </c>
      <c r="E39" s="145">
        <f t="shared" ref="E39:J39" si="8">E37*E38</f>
        <v>0</v>
      </c>
      <c r="F39" s="145">
        <f t="shared" si="8"/>
        <v>0</v>
      </c>
      <c r="G39" s="145">
        <f t="shared" si="8"/>
        <v>0</v>
      </c>
      <c r="H39" s="145">
        <f t="shared" si="8"/>
        <v>0</v>
      </c>
      <c r="I39" s="145">
        <f t="shared" si="8"/>
        <v>0</v>
      </c>
      <c r="J39" s="145">
        <f t="shared" si="8"/>
        <v>0</v>
      </c>
    </row>
    <row r="40" spans="2:10">
      <c r="B40" s="33"/>
      <c r="C40" s="33" t="s">
        <v>313</v>
      </c>
      <c r="D40" s="159">
        <v>0</v>
      </c>
      <c r="E40" s="159"/>
      <c r="F40" s="159"/>
      <c r="G40" s="159"/>
      <c r="H40" s="159"/>
      <c r="I40" s="159"/>
      <c r="J40" s="159"/>
    </row>
    <row r="41" spans="2:10" ht="15">
      <c r="B41" s="33"/>
      <c r="C41" s="33" t="s">
        <v>314</v>
      </c>
      <c r="D41" s="145">
        <v>0.53</v>
      </c>
      <c r="E41" s="145">
        <f t="shared" ref="E41:J41" si="9">E39+E40</f>
        <v>0</v>
      </c>
      <c r="F41" s="145">
        <f t="shared" si="9"/>
        <v>0</v>
      </c>
      <c r="G41" s="145">
        <f t="shared" si="9"/>
        <v>0</v>
      </c>
      <c r="H41" s="145">
        <f t="shared" si="9"/>
        <v>0</v>
      </c>
      <c r="I41" s="145">
        <f t="shared" si="9"/>
        <v>0</v>
      </c>
      <c r="J41" s="145">
        <f t="shared" si="9"/>
        <v>0</v>
      </c>
    </row>
    <row r="42" spans="2:10" ht="15">
      <c r="B42" s="26">
        <v>2</v>
      </c>
      <c r="C42" s="46" t="s">
        <v>208</v>
      </c>
      <c r="D42" s="159"/>
      <c r="E42" s="159"/>
      <c r="F42" s="159"/>
      <c r="G42" s="159"/>
      <c r="H42" s="159"/>
      <c r="I42" s="159"/>
      <c r="J42" s="159"/>
    </row>
    <row r="43" spans="2:10">
      <c r="B43" s="33"/>
      <c r="C43" s="33" t="s">
        <v>13</v>
      </c>
      <c r="D43" s="159">
        <v>32.18</v>
      </c>
      <c r="E43" s="159"/>
      <c r="F43" s="159"/>
      <c r="G43" s="159"/>
      <c r="H43" s="159"/>
      <c r="I43" s="159"/>
      <c r="J43" s="159"/>
    </row>
    <row r="44" spans="2:10">
      <c r="B44" s="33"/>
      <c r="C44" s="33" t="s">
        <v>177</v>
      </c>
      <c r="D44" s="159">
        <v>0</v>
      </c>
      <c r="E44" s="159"/>
      <c r="F44" s="159"/>
      <c r="G44" s="159"/>
      <c r="H44" s="159"/>
      <c r="I44" s="159"/>
      <c r="J44" s="159"/>
    </row>
    <row r="45" spans="2:10">
      <c r="B45" s="33"/>
      <c r="C45" s="33" t="s">
        <v>14</v>
      </c>
      <c r="D45" s="159">
        <v>32.18</v>
      </c>
      <c r="E45" s="159"/>
      <c r="F45" s="159"/>
      <c r="G45" s="159"/>
      <c r="H45" s="159"/>
      <c r="I45" s="159"/>
      <c r="J45" s="159"/>
    </row>
    <row r="46" spans="2:10" ht="15">
      <c r="B46" s="33"/>
      <c r="C46" s="33" t="s">
        <v>15</v>
      </c>
      <c r="D46" s="145">
        <v>0</v>
      </c>
      <c r="E46" s="145">
        <f t="shared" ref="E46:J46" si="10">E43+E44-E45</f>
        <v>0</v>
      </c>
      <c r="F46" s="145">
        <f t="shared" si="10"/>
        <v>0</v>
      </c>
      <c r="G46" s="145">
        <f t="shared" si="10"/>
        <v>0</v>
      </c>
      <c r="H46" s="145">
        <f t="shared" si="10"/>
        <v>0</v>
      </c>
      <c r="I46" s="145">
        <f t="shared" si="10"/>
        <v>0</v>
      </c>
      <c r="J46" s="145">
        <f t="shared" si="10"/>
        <v>0</v>
      </c>
    </row>
    <row r="47" spans="2:10" ht="15">
      <c r="B47" s="33"/>
      <c r="C47" s="33" t="s">
        <v>233</v>
      </c>
      <c r="D47" s="145">
        <v>0.53</v>
      </c>
      <c r="E47" s="145">
        <f t="shared" ref="E47:J47" si="11">AVERAGE(E43,E46)</f>
        <v>0</v>
      </c>
      <c r="F47" s="145">
        <f t="shared" si="11"/>
        <v>0</v>
      </c>
      <c r="G47" s="145">
        <f t="shared" si="11"/>
        <v>0</v>
      </c>
      <c r="H47" s="145">
        <f t="shared" si="11"/>
        <v>0</v>
      </c>
      <c r="I47" s="145">
        <f t="shared" si="11"/>
        <v>0</v>
      </c>
      <c r="J47" s="145">
        <f t="shared" si="11"/>
        <v>0</v>
      </c>
    </row>
    <row r="48" spans="2:10">
      <c r="B48" s="33"/>
      <c r="C48" s="33" t="s">
        <v>16</v>
      </c>
      <c r="D48" s="158">
        <v>9.9500000000000005E-2</v>
      </c>
      <c r="E48" s="158"/>
      <c r="F48" s="158"/>
      <c r="G48" s="158"/>
      <c r="H48" s="158"/>
      <c r="I48" s="158"/>
      <c r="J48" s="158"/>
    </row>
    <row r="49" spans="2:10" ht="15">
      <c r="B49" s="33"/>
      <c r="C49" s="33" t="s">
        <v>310</v>
      </c>
      <c r="D49" s="145">
        <v>0.53</v>
      </c>
      <c r="E49" s="145">
        <f t="shared" ref="E49:J49" si="12">E47*E48</f>
        <v>0</v>
      </c>
      <c r="F49" s="145">
        <f t="shared" si="12"/>
        <v>0</v>
      </c>
      <c r="G49" s="145">
        <f t="shared" si="12"/>
        <v>0</v>
      </c>
      <c r="H49" s="145">
        <f t="shared" si="12"/>
        <v>0</v>
      </c>
      <c r="I49" s="145">
        <f t="shared" si="12"/>
        <v>0</v>
      </c>
      <c r="J49" s="145">
        <f t="shared" si="12"/>
        <v>0</v>
      </c>
    </row>
    <row r="50" spans="2:10">
      <c r="B50" s="33"/>
      <c r="C50" s="33" t="s">
        <v>313</v>
      </c>
      <c r="D50" s="159">
        <v>0</v>
      </c>
      <c r="E50" s="159"/>
      <c r="F50" s="159"/>
      <c r="G50" s="159"/>
      <c r="H50" s="159"/>
      <c r="I50" s="159"/>
      <c r="J50" s="159"/>
    </row>
    <row r="51" spans="2:10" ht="15">
      <c r="B51" s="33"/>
      <c r="C51" s="33" t="s">
        <v>314</v>
      </c>
      <c r="D51" s="145">
        <v>0.53</v>
      </c>
      <c r="E51" s="145">
        <f t="shared" ref="E51:J51" si="13">E49+E50</f>
        <v>0</v>
      </c>
      <c r="F51" s="145">
        <f t="shared" si="13"/>
        <v>0</v>
      </c>
      <c r="G51" s="145">
        <f t="shared" si="13"/>
        <v>0</v>
      </c>
      <c r="H51" s="145">
        <f t="shared" si="13"/>
        <v>0</v>
      </c>
      <c r="I51" s="145">
        <f t="shared" si="13"/>
        <v>0</v>
      </c>
      <c r="J51" s="145">
        <f t="shared" si="13"/>
        <v>0</v>
      </c>
    </row>
    <row r="52" spans="2:10">
      <c r="B52" s="33"/>
      <c r="C52" s="33" t="s">
        <v>312</v>
      </c>
      <c r="D52" s="159"/>
      <c r="E52" s="159"/>
      <c r="F52" s="159"/>
      <c r="G52" s="159"/>
      <c r="H52" s="159"/>
      <c r="I52" s="159"/>
      <c r="J52" s="159"/>
    </row>
  </sheetData>
  <mergeCells count="12">
    <mergeCell ref="B2:M2"/>
    <mergeCell ref="B3:M3"/>
    <mergeCell ref="B4:M4"/>
    <mergeCell ref="E29:G29"/>
    <mergeCell ref="H29:J29"/>
    <mergeCell ref="B7:B9"/>
    <mergeCell ref="C7:C9"/>
    <mergeCell ref="D7:F7"/>
    <mergeCell ref="G7:H7"/>
    <mergeCell ref="I7:M7"/>
    <mergeCell ref="B29:B31"/>
    <mergeCell ref="C29:C31"/>
  </mergeCells>
  <pageMargins left="1.02" right="0.25" top="1" bottom="1" header="0.25" footer="0.25"/>
  <pageSetup paperSize="9" scale="56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3"/>
  <sheetViews>
    <sheetView showGridLines="0" view="pageBreakPreview" zoomScale="90" zoomScaleNormal="82" zoomScaleSheetLayoutView="90" workbookViewId="0">
      <selection activeCell="F28" sqref="F28"/>
    </sheetView>
  </sheetViews>
  <sheetFormatPr defaultColWidth="9.28515625" defaultRowHeight="15"/>
  <cols>
    <col min="1" max="1" width="4.28515625" style="210" customWidth="1"/>
    <col min="2" max="2" width="6.28515625" style="210" customWidth="1"/>
    <col min="3" max="3" width="35.5703125" style="210" customWidth="1"/>
    <col min="4" max="4" width="13.7109375" style="210" bestFit="1" customWidth="1"/>
    <col min="5" max="5" width="12.5703125" style="210" bestFit="1" customWidth="1"/>
    <col min="6" max="6" width="13.42578125" style="210" bestFit="1" customWidth="1"/>
    <col min="7" max="7" width="13.7109375" style="210" bestFit="1" customWidth="1"/>
    <col min="8" max="8" width="12.5703125" style="210" customWidth="1"/>
    <col min="9" max="9" width="12.7109375" style="210" bestFit="1" customWidth="1"/>
    <col min="10" max="10" width="13.7109375" style="210" bestFit="1" customWidth="1"/>
    <col min="11" max="13" width="11.7109375" style="210" bestFit="1" customWidth="1"/>
    <col min="14" max="14" width="12.85546875" style="210" bestFit="1" customWidth="1"/>
    <col min="15" max="16" width="11.7109375" style="210" bestFit="1" customWidth="1"/>
    <col min="17" max="16384" width="9.28515625" style="210"/>
  </cols>
  <sheetData>
    <row r="1" spans="2:14" ht="15.75">
      <c r="B1" s="209"/>
    </row>
    <row r="2" spans="2:14" ht="15.75">
      <c r="B2" s="268" t="s">
        <v>530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</row>
    <row r="3" spans="2:14" ht="15.75">
      <c r="B3" s="268" t="s">
        <v>512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</row>
    <row r="4" spans="2:14" ht="15.75">
      <c r="B4" s="310" t="s">
        <v>543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</row>
    <row r="5" spans="2:14" ht="15.75">
      <c r="B5" s="82"/>
      <c r="C5" s="209"/>
      <c r="D5" s="211"/>
      <c r="E5" s="211"/>
      <c r="F5" s="211"/>
      <c r="G5" s="211"/>
      <c r="H5" s="211"/>
      <c r="I5" s="211"/>
      <c r="J5" s="211"/>
    </row>
    <row r="6" spans="2:14" ht="15.75">
      <c r="M6" s="7" t="s">
        <v>4</v>
      </c>
    </row>
    <row r="7" spans="2:14" s="6" customFormat="1" ht="15" customHeight="1">
      <c r="B7" s="311" t="s">
        <v>210</v>
      </c>
      <c r="C7" s="314" t="s">
        <v>18</v>
      </c>
      <c r="D7" s="316" t="s">
        <v>481</v>
      </c>
      <c r="E7" s="317"/>
      <c r="F7" s="318"/>
      <c r="G7" s="316" t="s">
        <v>482</v>
      </c>
      <c r="H7" s="317"/>
      <c r="I7" s="319" t="s">
        <v>252</v>
      </c>
      <c r="J7" s="319"/>
      <c r="K7" s="319"/>
      <c r="L7" s="319"/>
      <c r="M7" s="319"/>
    </row>
    <row r="8" spans="2:14" s="6" customFormat="1" ht="47.25">
      <c r="B8" s="312"/>
      <c r="C8" s="314"/>
      <c r="D8" s="200" t="s">
        <v>397</v>
      </c>
      <c r="E8" s="200" t="s">
        <v>270</v>
      </c>
      <c r="F8" s="200" t="s">
        <v>226</v>
      </c>
      <c r="G8" s="200" t="s">
        <v>397</v>
      </c>
      <c r="H8" s="200" t="s">
        <v>269</v>
      </c>
      <c r="I8" s="200" t="s">
        <v>483</v>
      </c>
      <c r="J8" s="200" t="s">
        <v>484</v>
      </c>
      <c r="K8" s="200" t="s">
        <v>485</v>
      </c>
      <c r="L8" s="200" t="s">
        <v>486</v>
      </c>
      <c r="M8" s="200" t="s">
        <v>487</v>
      </c>
    </row>
    <row r="9" spans="2:14" s="6" customFormat="1" ht="15.75">
      <c r="B9" s="313"/>
      <c r="C9" s="315"/>
      <c r="D9" s="200" t="s">
        <v>10</v>
      </c>
      <c r="E9" s="200" t="s">
        <v>12</v>
      </c>
      <c r="F9" s="200" t="s">
        <v>259</v>
      </c>
      <c r="G9" s="200" t="s">
        <v>10</v>
      </c>
      <c r="H9" s="200" t="s">
        <v>5</v>
      </c>
      <c r="I9" s="200" t="s">
        <v>8</v>
      </c>
      <c r="J9" s="200" t="s">
        <v>8</v>
      </c>
      <c r="K9" s="200" t="s">
        <v>8</v>
      </c>
      <c r="L9" s="200" t="s">
        <v>8</v>
      </c>
      <c r="M9" s="200" t="s">
        <v>8</v>
      </c>
    </row>
    <row r="10" spans="2:14">
      <c r="B10" s="212">
        <v>1</v>
      </c>
      <c r="C10" s="213" t="s">
        <v>315</v>
      </c>
      <c r="D10" s="230">
        <f>'F10'!E23*'F12'!E17*30/365/10</f>
        <v>83.186262925138067</v>
      </c>
      <c r="E10" s="214">
        <f>'F10'!F23*'F12'!F17*30/365/10</f>
        <v>78.687704618237234</v>
      </c>
      <c r="F10" s="214">
        <f>E10</f>
        <v>78.687704618237234</v>
      </c>
      <c r="G10" s="214">
        <f>'F10'!H23*'F12'!H17*30/365/10</f>
        <v>97.446451530146049</v>
      </c>
      <c r="H10" s="214">
        <f>'F10'!I23*'F12'!I17*30/365/10</f>
        <v>92.498422148712592</v>
      </c>
      <c r="I10" s="231">
        <f>500*24*0.85*(1-0.0525)*'F12'!J17*20/10000</f>
        <v>64.435809355522679</v>
      </c>
      <c r="J10" s="231">
        <f>500*24*0.85*(1-0.0525)*'F12'!K17*20/10000</f>
        <v>65.724525542633145</v>
      </c>
      <c r="K10" s="231">
        <f>500*24*0.85*(1-0.0525)*'F12'!L17*20/10000</f>
        <v>67.039016053485796</v>
      </c>
      <c r="L10" s="231">
        <f>500*24*0.85*(1-0.0525)*'F12'!M17*20/10000</f>
        <v>68.379796374555511</v>
      </c>
      <c r="M10" s="231">
        <f>500*24*0.85*(1-0.0525)*'F12'!N17*20/10000</f>
        <v>69.747392302046634</v>
      </c>
      <c r="N10" s="250"/>
    </row>
    <row r="11" spans="2:14">
      <c r="B11" s="215">
        <f>B10+1</f>
        <v>2</v>
      </c>
      <c r="C11" s="213" t="s">
        <v>316</v>
      </c>
      <c r="D11" s="230">
        <f>'F10'!E23*'F12'!E17*30/365/10</f>
        <v>83.186262925138067</v>
      </c>
      <c r="E11" s="214">
        <f>'F10'!F23*'F12'!F17*30/365/10</f>
        <v>78.687704618237234</v>
      </c>
      <c r="F11" s="214">
        <f>E11</f>
        <v>78.687704618237234</v>
      </c>
      <c r="G11" s="214">
        <f>'F10'!H23*'F12'!H17*30/365/10</f>
        <v>97.446451530146049</v>
      </c>
      <c r="H11" s="214">
        <f>'F10'!I23*'F12'!I17*30/365/10</f>
        <v>92.498422148712592</v>
      </c>
      <c r="I11" s="231">
        <f>500*24*0.85*(1-0.0525)*'F12'!J17*30/10000</f>
        <v>96.653714033284018</v>
      </c>
      <c r="J11" s="231">
        <f>500*24*0.85*(1-0.0525)*'F12'!K17*30/10000</f>
        <v>98.586788313949711</v>
      </c>
      <c r="K11" s="231">
        <f>500*24*0.85*(1-0.0525)*'F12'!L17*30/10000</f>
        <v>100.55852408022868</v>
      </c>
      <c r="L11" s="231">
        <f>500*24*0.85*(1-0.0525)*'F12'!M17*30/10000</f>
        <v>102.56969456183327</v>
      </c>
      <c r="M11" s="231">
        <f>500*24*0.85*(1-0.0525)*'F12'!N17*30/10000</f>
        <v>104.62108845306994</v>
      </c>
      <c r="N11" s="251"/>
    </row>
    <row r="12" spans="2:14">
      <c r="B12" s="215">
        <f t="shared" ref="B12:B20" si="0">B11+1</f>
        <v>3</v>
      </c>
      <c r="C12" s="216" t="s">
        <v>317</v>
      </c>
      <c r="D12" s="214">
        <f>'F10'!E23*'F12'!E18*2/12/10</f>
        <v>7.0815075426053893</v>
      </c>
      <c r="E12" s="214">
        <f>'F10'!F23*'F12'!F18*2/12/10</f>
        <v>1.4584779270463379</v>
      </c>
      <c r="F12" s="214">
        <f>E12</f>
        <v>1.4584779270463379</v>
      </c>
      <c r="G12" s="214">
        <f>'F10'!H23*'F12'!H18*2/12/10</f>
        <v>8.3592487801327557</v>
      </c>
      <c r="H12" s="214">
        <f>'F10'!I23*'F12'!I18*2/12/10</f>
        <v>1.3733128514490962</v>
      </c>
      <c r="I12" s="231">
        <f>500*24*0.85*(1-0.0525)*'F12'!J18*365*1/12/10000</f>
        <v>1.028372337202041</v>
      </c>
      <c r="J12" s="231">
        <f>500*24*0.85*(1-0.0525)*'F12'!K18*365*1/12/10000</f>
        <v>1.0489397839460819</v>
      </c>
      <c r="K12" s="231">
        <f>500*24*0.85*(1-0.0525)*'F12'!L18*365*1/12/10000</f>
        <v>1.0699185796250037</v>
      </c>
      <c r="L12" s="231">
        <f>500*24*0.85*(1-0.0525)*'F12'!M18*365*1/12/10000</f>
        <v>1.0913169512175036</v>
      </c>
      <c r="M12" s="231">
        <f>500*24*0.85*(1-0.0525)*'F12'!N18*365*1/12/10000</f>
        <v>1.1131432902418537</v>
      </c>
      <c r="N12" s="251"/>
    </row>
    <row r="13" spans="2:14">
      <c r="B13" s="215">
        <f t="shared" si="0"/>
        <v>4</v>
      </c>
      <c r="C13" s="217" t="s">
        <v>318</v>
      </c>
      <c r="D13" s="232">
        <f>'F1'!F11/12</f>
        <v>13.586925000000001</v>
      </c>
      <c r="E13" s="232">
        <f>'F1'!G11/12</f>
        <v>17.360386310051496</v>
      </c>
      <c r="F13" s="214">
        <f>'F1'!H11/12</f>
        <v>17.360386310051496</v>
      </c>
      <c r="G13" s="232">
        <f>'F1'!I11/12</f>
        <v>14.053049999999999</v>
      </c>
      <c r="H13" s="232">
        <f>'F1'!J11/12</f>
        <v>17.96457679647607</v>
      </c>
      <c r="I13" s="232">
        <f>'F1'!K11/12</f>
        <v>17.429106986067296</v>
      </c>
      <c r="J13" s="232">
        <f>'F1'!L11/12</f>
        <v>18.29525047731974</v>
      </c>
      <c r="K13" s="232">
        <f>'F1'!M11/12</f>
        <v>19.201179380105319</v>
      </c>
      <c r="L13" s="232">
        <f>'F1'!N11/12</f>
        <v>20.173214844769685</v>
      </c>
      <c r="M13" s="232">
        <f>'F1'!O11/12</f>
        <v>21.184311644865584</v>
      </c>
      <c r="N13" s="251"/>
    </row>
    <row r="14" spans="2:14" s="219" customFormat="1" ht="15.75">
      <c r="B14" s="215">
        <f t="shared" si="0"/>
        <v>5</v>
      </c>
      <c r="C14" s="218" t="s">
        <v>319</v>
      </c>
      <c r="D14" s="232">
        <f>'F1'!F11*20%</f>
        <v>32.608620000000002</v>
      </c>
      <c r="E14" s="214">
        <f>'F1'!G11*20%</f>
        <v>41.664927144123595</v>
      </c>
      <c r="F14" s="214">
        <f t="shared" ref="F14" si="1">E14</f>
        <v>41.664927144123595</v>
      </c>
      <c r="G14" s="214">
        <f t="shared" ref="G14" si="2">F14</f>
        <v>41.664927144123595</v>
      </c>
      <c r="H14" s="214">
        <f>'F1'!J11*20%</f>
        <v>43.114984311542571</v>
      </c>
      <c r="I14" s="214">
        <f>'F4'!F55*1%</f>
        <v>25.491393588169998</v>
      </c>
      <c r="J14" s="214">
        <f>'F4'!F72*1%</f>
        <v>25.604293588169998</v>
      </c>
      <c r="K14" s="214">
        <f>'F4'!F89*1%</f>
        <v>25.623393588169996</v>
      </c>
      <c r="L14" s="214">
        <f>'F4'!F106*1%</f>
        <v>25.782493588169995</v>
      </c>
      <c r="M14" s="214">
        <f>'F4'!F123*1%</f>
        <v>25.782493588169995</v>
      </c>
      <c r="N14" s="252"/>
    </row>
    <row r="15" spans="2:14">
      <c r="B15" s="215">
        <f t="shared" si="0"/>
        <v>6</v>
      </c>
      <c r="C15" s="217" t="s">
        <v>527</v>
      </c>
      <c r="D15" s="232">
        <f>('F1'!F22+'F1'!F16)*2/12</f>
        <v>254.50094625191312</v>
      </c>
      <c r="E15" s="232">
        <f ca="1">('F1'!G22+'F1'!G16)*2/12</f>
        <v>249.59121331987089</v>
      </c>
      <c r="F15" s="214">
        <f ca="1">E15</f>
        <v>249.59121331987089</v>
      </c>
      <c r="G15" s="232">
        <f>('F1'!I22+'F1'!I16)*2/12</f>
        <v>275.93676438292891</v>
      </c>
      <c r="H15" s="232">
        <f ca="1">('F1'!J22+'F1'!J16)*2/12</f>
        <v>261.16303947564541</v>
      </c>
      <c r="I15" s="232">
        <f ca="1">('F1'!K22+'F1'!K16)*45/365</f>
        <v>197.95628563660168</v>
      </c>
      <c r="J15" s="232">
        <f ca="1">('F1'!L22+'F1'!L16)*45/365</f>
        <v>202.30847227412639</v>
      </c>
      <c r="K15" s="232">
        <f ca="1">('F1'!M22+'F1'!M16)*45/365</f>
        <v>206.88842408174608</v>
      </c>
      <c r="L15" s="232">
        <f ca="1">('F1'!N22+'F1'!N16)*45/365</f>
        <v>212.10504195088592</v>
      </c>
      <c r="M15" s="232">
        <f ca="1">('F1'!O22+'F1'!O16)*45/365</f>
        <v>216.5413975715463</v>
      </c>
      <c r="N15" s="251"/>
    </row>
    <row r="16" spans="2:14">
      <c r="B16" s="215"/>
      <c r="C16" s="217" t="s">
        <v>320</v>
      </c>
      <c r="D16" s="232"/>
      <c r="E16" s="214"/>
      <c r="F16" s="214"/>
      <c r="G16" s="214"/>
      <c r="H16" s="214"/>
      <c r="I16" s="214"/>
      <c r="J16" s="214"/>
      <c r="K16" s="214"/>
      <c r="L16" s="214"/>
      <c r="M16" s="214"/>
      <c r="N16" s="251"/>
    </row>
    <row r="17" spans="2:14">
      <c r="B17" s="215">
        <f>B15+1</f>
        <v>7</v>
      </c>
      <c r="C17" s="213" t="s">
        <v>528</v>
      </c>
      <c r="D17" s="232">
        <f>'F10'!E23*'F12'!E19*30/365/10</f>
        <v>86.678513220121559</v>
      </c>
      <c r="E17" s="232">
        <f>'F10'!F23*'F12'!F19*30/365/10</f>
        <v>79.406954006917616</v>
      </c>
      <c r="F17" s="232">
        <f>E17</f>
        <v>79.406954006917616</v>
      </c>
      <c r="G17" s="232">
        <f>'F10'!H23*'F12'!H19*30/365/10</f>
        <v>101.56882079158137</v>
      </c>
      <c r="H17" s="232">
        <f>'F10'!I23*'F12'!I19*30/365/10</f>
        <v>93.175672322029953</v>
      </c>
      <c r="I17" s="232">
        <f>500*24*0.85*(1-0.0525)*30*'F12'!J19/10000</f>
        <v>97.667999078195649</v>
      </c>
      <c r="J17" s="232">
        <f>500*24*0.85*(1-0.0525)*30*'F12'!K19/10000</f>
        <v>99.621359059759541</v>
      </c>
      <c r="K17" s="232">
        <f>500*24*0.85*(1-0.0525)*30*'F12'!L19/10000</f>
        <v>101.61378624095472</v>
      </c>
      <c r="L17" s="232">
        <f>500*24*0.85*(1-0.0525)*30*'F12'!M19/10000</f>
        <v>103.64606196577382</v>
      </c>
      <c r="M17" s="232">
        <f>500*24*0.85*(1-0.0525)*30*'F12'!N19/10000</f>
        <v>105.7189832050893</v>
      </c>
      <c r="N17" s="251"/>
    </row>
    <row r="18" spans="2:14" ht="15.75">
      <c r="B18" s="215">
        <f t="shared" si="0"/>
        <v>8</v>
      </c>
      <c r="C18" s="213" t="s">
        <v>55</v>
      </c>
      <c r="D18" s="220">
        <f t="shared" ref="D18:H18" si="3">SUM(D10:D15)-D17</f>
        <v>387.4720114246731</v>
      </c>
      <c r="E18" s="220">
        <f t="shared" ca="1" si="3"/>
        <v>388.04345993064919</v>
      </c>
      <c r="F18" s="220">
        <f t="shared" ca="1" si="3"/>
        <v>388.04345993064919</v>
      </c>
      <c r="G18" s="220">
        <f t="shared" si="3"/>
        <v>433.33807257589592</v>
      </c>
      <c r="H18" s="220">
        <f t="shared" ca="1" si="3"/>
        <v>415.43708541050842</v>
      </c>
      <c r="I18" s="220">
        <f t="shared" ref="I18:M18" ca="1" si="4">SUM(I10:I15)-I17</f>
        <v>305.32668285865202</v>
      </c>
      <c r="J18" s="220">
        <f t="shared" ca="1" si="4"/>
        <v>311.94691092038551</v>
      </c>
      <c r="K18" s="220">
        <f t="shared" ca="1" si="4"/>
        <v>318.76666952240612</v>
      </c>
      <c r="L18" s="220">
        <f t="shared" ca="1" si="4"/>
        <v>326.45549630565802</v>
      </c>
      <c r="M18" s="220">
        <f t="shared" ca="1" si="4"/>
        <v>333.27084364485097</v>
      </c>
      <c r="N18" s="251"/>
    </row>
    <row r="19" spans="2:14">
      <c r="B19" s="215">
        <f t="shared" si="0"/>
        <v>9</v>
      </c>
      <c r="C19" s="213" t="s">
        <v>321</v>
      </c>
      <c r="D19" s="221">
        <v>8.5500000000000007E-2</v>
      </c>
      <c r="E19" s="221">
        <v>9.4382191780821911E-2</v>
      </c>
      <c r="F19" s="221">
        <f>E19</f>
        <v>9.4382191780821911E-2</v>
      </c>
      <c r="G19" s="221">
        <v>8.5500000000000007E-2</v>
      </c>
      <c r="H19" s="221">
        <v>0.1008</v>
      </c>
      <c r="I19" s="221">
        <v>0.10150000000000001</v>
      </c>
      <c r="J19" s="221">
        <v>0.10150000000000001</v>
      </c>
      <c r="K19" s="221">
        <v>0.10150000000000001</v>
      </c>
      <c r="L19" s="221">
        <v>0.10150000000000001</v>
      </c>
      <c r="M19" s="221">
        <v>0.10150000000000001</v>
      </c>
      <c r="N19" s="251"/>
    </row>
    <row r="20" spans="2:14" ht="15.75">
      <c r="B20" s="215">
        <f t="shared" si="0"/>
        <v>10</v>
      </c>
      <c r="C20" s="217" t="s">
        <v>322</v>
      </c>
      <c r="D20" s="220">
        <v>33.26</v>
      </c>
      <c r="E20" s="220">
        <f t="shared" ref="E20:M20" ca="1" si="5">E18*E19</f>
        <v>36.624392254468212</v>
      </c>
      <c r="F20" s="220">
        <f t="shared" ca="1" si="5"/>
        <v>36.624392254468212</v>
      </c>
      <c r="G20" s="220">
        <v>33.46</v>
      </c>
      <c r="H20" s="220">
        <f t="shared" ca="1" si="5"/>
        <v>41.876058209379252</v>
      </c>
      <c r="I20" s="220">
        <f t="shared" ca="1" si="5"/>
        <v>30.990658310153183</v>
      </c>
      <c r="J20" s="220">
        <f t="shared" ca="1" si="5"/>
        <v>31.662611458419132</v>
      </c>
      <c r="K20" s="220">
        <f t="shared" ca="1" si="5"/>
        <v>32.354816956524225</v>
      </c>
      <c r="L20" s="220">
        <f t="shared" ca="1" si="5"/>
        <v>33.135232875024293</v>
      </c>
      <c r="M20" s="220">
        <f t="shared" ca="1" si="5"/>
        <v>33.826990629952377</v>
      </c>
      <c r="N20" s="251"/>
    </row>
    <row r="22" spans="2:14">
      <c r="C22" s="210" t="s">
        <v>272</v>
      </c>
    </row>
    <row r="23" spans="2:14">
      <c r="C23" s="210" t="s">
        <v>434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8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view="pageBreakPreview" zoomScale="90" zoomScaleNormal="90" zoomScaleSheetLayoutView="90" workbookViewId="0">
      <selection activeCell="B4" sqref="B4:M4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3.425781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68" t="s">
        <v>530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</row>
    <row r="3" spans="2:13" ht="15.75">
      <c r="B3" s="268" t="s">
        <v>512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</row>
    <row r="4" spans="2:13" ht="15.75">
      <c r="B4" s="310" t="s">
        <v>544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</row>
    <row r="5" spans="2:13" ht="15">
      <c r="B5" s="40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75" t="s">
        <v>210</v>
      </c>
      <c r="C7" s="278" t="s">
        <v>18</v>
      </c>
      <c r="D7" s="282" t="s">
        <v>481</v>
      </c>
      <c r="E7" s="283"/>
      <c r="F7" s="284"/>
      <c r="G7" s="282" t="s">
        <v>482</v>
      </c>
      <c r="H7" s="283"/>
      <c r="I7" s="287" t="s">
        <v>252</v>
      </c>
      <c r="J7" s="287"/>
      <c r="K7" s="287"/>
      <c r="L7" s="287"/>
      <c r="M7" s="287"/>
    </row>
    <row r="8" spans="2:13" s="19" customFormat="1" ht="45">
      <c r="B8" s="276"/>
      <c r="C8" s="278"/>
      <c r="D8" s="21" t="s">
        <v>397</v>
      </c>
      <c r="E8" s="21" t="s">
        <v>270</v>
      </c>
      <c r="F8" s="21" t="s">
        <v>226</v>
      </c>
      <c r="G8" s="21" t="s">
        <v>397</v>
      </c>
      <c r="H8" s="21" t="s">
        <v>269</v>
      </c>
      <c r="I8" s="21" t="s">
        <v>483</v>
      </c>
      <c r="J8" s="21" t="s">
        <v>484</v>
      </c>
      <c r="K8" s="21" t="s">
        <v>485</v>
      </c>
      <c r="L8" s="21" t="s">
        <v>486</v>
      </c>
      <c r="M8" s="21" t="s">
        <v>487</v>
      </c>
    </row>
    <row r="9" spans="2:13" s="19" customFormat="1" ht="15">
      <c r="B9" s="277"/>
      <c r="C9" s="279"/>
      <c r="D9" s="21" t="s">
        <v>10</v>
      </c>
      <c r="E9" s="21" t="s">
        <v>12</v>
      </c>
      <c r="F9" s="21" t="s">
        <v>259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9">
        <v>1</v>
      </c>
      <c r="C10" s="33" t="s">
        <v>242</v>
      </c>
      <c r="D10" s="203">
        <f>'F4'!F21*30%</f>
        <v>764.64781240829984</v>
      </c>
      <c r="E10" s="166">
        <f>D10</f>
        <v>764.64781240829984</v>
      </c>
      <c r="F10" s="166">
        <f>E10</f>
        <v>764.64781240829984</v>
      </c>
      <c r="G10" s="172"/>
      <c r="H10" s="172">
        <f>'F4'!F38*30%</f>
        <v>764.70022436879992</v>
      </c>
      <c r="I10" s="172">
        <f>H10+H12</f>
        <v>764.73522436879989</v>
      </c>
      <c r="J10" s="172">
        <f>I10+I12</f>
        <v>768.12222436879983</v>
      </c>
      <c r="K10" s="172">
        <f>J10+J12</f>
        <v>768.69522436879981</v>
      </c>
      <c r="L10" s="172">
        <f>K10+K12</f>
        <v>773.46822436879984</v>
      </c>
      <c r="M10" s="172">
        <f>L10+L12</f>
        <v>773.46822436879984</v>
      </c>
    </row>
    <row r="11" spans="2:13">
      <c r="B11" s="26">
        <f>B10+1</f>
        <v>2</v>
      </c>
      <c r="C11" s="33" t="s">
        <v>243</v>
      </c>
      <c r="D11" s="203"/>
      <c r="E11" s="166">
        <f>F3.1!H12</f>
        <v>0.17244733499999998</v>
      </c>
      <c r="F11" s="166">
        <f>E11</f>
        <v>0.17244733499999998</v>
      </c>
      <c r="G11" s="172"/>
      <c r="H11" s="172">
        <f>F3.1!H19</f>
        <v>0.14000000000000001</v>
      </c>
      <c r="I11" s="172">
        <f>F3.1!H25</f>
        <v>11.29</v>
      </c>
      <c r="J11" s="172">
        <f>F3.1!H31</f>
        <v>1.91</v>
      </c>
      <c r="K11" s="172">
        <f>F3.1!H37</f>
        <v>15.91</v>
      </c>
      <c r="L11" s="172">
        <f>F3.1!H43</f>
        <v>0</v>
      </c>
      <c r="M11" s="172">
        <f>F3.1!H49</f>
        <v>11.574529999999999</v>
      </c>
    </row>
    <row r="12" spans="2:13">
      <c r="B12" s="26">
        <f t="shared" ref="B12:B22" si="0">B11+1</f>
        <v>3</v>
      </c>
      <c r="C12" s="35" t="s">
        <v>19</v>
      </c>
      <c r="D12" s="203">
        <f>D11*25%</f>
        <v>0</v>
      </c>
      <c r="E12" s="203">
        <f>E11*30%</f>
        <v>5.1734200499999994E-2</v>
      </c>
      <c r="F12" s="203">
        <f>F11*30%</f>
        <v>5.1734200499999994E-2</v>
      </c>
      <c r="G12" s="203">
        <f t="shared" ref="G12:H12" si="1">G11*25%</f>
        <v>0</v>
      </c>
      <c r="H12" s="203">
        <f t="shared" si="1"/>
        <v>3.5000000000000003E-2</v>
      </c>
      <c r="I12" s="203">
        <f>I11*30%</f>
        <v>3.3869999999999996</v>
      </c>
      <c r="J12" s="203">
        <f t="shared" ref="J12:M12" si="2">J11*30%</f>
        <v>0.57299999999999995</v>
      </c>
      <c r="K12" s="203">
        <f t="shared" si="2"/>
        <v>4.7729999999999997</v>
      </c>
      <c r="L12" s="203">
        <f t="shared" si="2"/>
        <v>0</v>
      </c>
      <c r="M12" s="203">
        <f t="shared" si="2"/>
        <v>3.4723589999999995</v>
      </c>
    </row>
    <row r="13" spans="2:13" ht="28.5">
      <c r="B13" s="26">
        <f t="shared" si="0"/>
        <v>4</v>
      </c>
      <c r="C13" s="84" t="s">
        <v>20</v>
      </c>
      <c r="D13" s="173"/>
      <c r="E13" s="47"/>
      <c r="F13" s="169"/>
      <c r="G13" s="47"/>
      <c r="H13" s="47"/>
      <c r="I13" s="166"/>
      <c r="J13" s="166"/>
      <c r="K13" s="47"/>
      <c r="L13" s="47"/>
      <c r="M13" s="47"/>
    </row>
    <row r="14" spans="2:13" s="39" customFormat="1" ht="15">
      <c r="B14" s="26">
        <f t="shared" si="0"/>
        <v>5</v>
      </c>
      <c r="C14" s="44" t="s">
        <v>21</v>
      </c>
      <c r="D14" s="174">
        <f>D10+D12-D13</f>
        <v>764.64781240829984</v>
      </c>
      <c r="E14" s="174">
        <f t="shared" ref="E14:M14" si="3">E10+E12-E13</f>
        <v>764.69954660879989</v>
      </c>
      <c r="F14" s="174">
        <f>F10+F12-F13</f>
        <v>764.69954660879989</v>
      </c>
      <c r="G14" s="174">
        <f t="shared" si="3"/>
        <v>0</v>
      </c>
      <c r="H14" s="174">
        <f t="shared" si="3"/>
        <v>764.73522436879989</v>
      </c>
      <c r="I14" s="174">
        <f t="shared" si="3"/>
        <v>768.12222436879983</v>
      </c>
      <c r="J14" s="174">
        <f t="shared" si="3"/>
        <v>768.69522436879981</v>
      </c>
      <c r="K14" s="174">
        <f t="shared" si="3"/>
        <v>773.46822436879984</v>
      </c>
      <c r="L14" s="174">
        <f t="shared" si="3"/>
        <v>773.46822436879984</v>
      </c>
      <c r="M14" s="174">
        <f t="shared" si="3"/>
        <v>776.94058336879982</v>
      </c>
    </row>
    <row r="15" spans="2:13" s="39" customFormat="1" ht="15">
      <c r="B15" s="26"/>
      <c r="C15" s="86" t="s">
        <v>323</v>
      </c>
      <c r="D15" s="85"/>
      <c r="E15" s="35"/>
      <c r="F15" s="3"/>
      <c r="G15" s="35"/>
      <c r="H15" s="35"/>
      <c r="I15" s="35"/>
      <c r="J15" s="35"/>
      <c r="K15" s="35"/>
      <c r="L15" s="35"/>
      <c r="M15" s="35"/>
    </row>
    <row r="16" spans="2:13" s="39" customFormat="1" ht="15">
      <c r="B16" s="26">
        <f>B14+1</f>
        <v>6</v>
      </c>
      <c r="C16" s="44" t="s">
        <v>324</v>
      </c>
      <c r="D16" s="154">
        <v>0.155</v>
      </c>
      <c r="E16" s="154">
        <v>0.155</v>
      </c>
      <c r="F16" s="154">
        <v>0.155</v>
      </c>
      <c r="G16" s="154">
        <v>0.155</v>
      </c>
      <c r="H16" s="154">
        <v>0.155</v>
      </c>
      <c r="I16" s="154">
        <v>0.155</v>
      </c>
      <c r="J16" s="154">
        <v>0.155</v>
      </c>
      <c r="K16" s="154">
        <v>0.155</v>
      </c>
      <c r="L16" s="154">
        <v>0.155</v>
      </c>
      <c r="M16" s="154">
        <v>0.155</v>
      </c>
    </row>
    <row r="17" spans="2:13" s="39" customFormat="1" ht="15">
      <c r="B17" s="26">
        <f>B16+1</f>
        <v>7</v>
      </c>
      <c r="C17" s="44" t="s">
        <v>325</v>
      </c>
      <c r="D17" s="155">
        <v>0.17471999999999999</v>
      </c>
      <c r="E17" s="193">
        <v>0.25168000000000001</v>
      </c>
      <c r="F17" s="193">
        <v>0.25168000000000001</v>
      </c>
      <c r="G17" s="193">
        <v>0.17471999999999999</v>
      </c>
      <c r="H17" s="193">
        <v>0.25168000000000001</v>
      </c>
      <c r="I17" s="193">
        <v>0.25168000000000001</v>
      </c>
      <c r="J17" s="193">
        <v>0.25168000000000001</v>
      </c>
      <c r="K17" s="193">
        <v>0.25168000000000001</v>
      </c>
      <c r="L17" s="193">
        <v>0.25168000000000001</v>
      </c>
      <c r="M17" s="193">
        <v>0.25168000000000001</v>
      </c>
    </row>
    <row r="18" spans="2:13" s="39" customFormat="1" ht="15">
      <c r="B18" s="26">
        <f>B17+1</f>
        <v>8</v>
      </c>
      <c r="C18" s="36" t="s">
        <v>323</v>
      </c>
      <c r="D18" s="156">
        <f>D16/(1-D17)</f>
        <v>0.18781504459092671</v>
      </c>
      <c r="E18" s="156">
        <f t="shared" ref="E18:M18" si="4">E16/(1-E17)</f>
        <v>0.20713063929869574</v>
      </c>
      <c r="F18" s="156">
        <f t="shared" si="4"/>
        <v>0.20713063929869574</v>
      </c>
      <c r="G18" s="156">
        <f t="shared" si="4"/>
        <v>0.18781504459092671</v>
      </c>
      <c r="H18" s="156">
        <f t="shared" si="4"/>
        <v>0.20713063929869574</v>
      </c>
      <c r="I18" s="156">
        <f t="shared" si="4"/>
        <v>0.20713063929869574</v>
      </c>
      <c r="J18" s="156">
        <f t="shared" si="4"/>
        <v>0.20713063929869574</v>
      </c>
      <c r="K18" s="156">
        <f t="shared" si="4"/>
        <v>0.20713063929869574</v>
      </c>
      <c r="L18" s="156">
        <f t="shared" si="4"/>
        <v>0.20713063929869574</v>
      </c>
      <c r="M18" s="156">
        <f t="shared" si="4"/>
        <v>0.20713063929869574</v>
      </c>
    </row>
    <row r="19" spans="2:13" ht="15">
      <c r="B19" s="26"/>
      <c r="C19" s="86" t="s">
        <v>194</v>
      </c>
      <c r="D19" s="146"/>
      <c r="E19" s="35"/>
      <c r="F19" s="3"/>
      <c r="G19" s="35"/>
      <c r="H19" s="35"/>
      <c r="I19" s="35"/>
      <c r="J19" s="35"/>
      <c r="K19" s="35"/>
      <c r="L19" s="35"/>
      <c r="M19" s="35"/>
    </row>
    <row r="20" spans="2:13" ht="17.25" customHeight="1">
      <c r="B20" s="26">
        <f>B18+1</f>
        <v>9</v>
      </c>
      <c r="C20" s="84" t="s">
        <v>244</v>
      </c>
      <c r="D20" s="147">
        <f>D10*D18</f>
        <v>143.61236298381939</v>
      </c>
      <c r="E20" s="147">
        <f t="shared" ref="E20:M20" si="5">E10*E18</f>
        <v>158.38199022248031</v>
      </c>
      <c r="F20" s="147">
        <f t="shared" si="5"/>
        <v>158.38199022248031</v>
      </c>
      <c r="G20" s="147">
        <f t="shared" si="5"/>
        <v>0</v>
      </c>
      <c r="H20" s="147">
        <f t="shared" si="5"/>
        <v>158.3928463453656</v>
      </c>
      <c r="I20" s="147">
        <f t="shared" si="5"/>
        <v>158.40009591774106</v>
      </c>
      <c r="J20" s="147">
        <f t="shared" si="5"/>
        <v>159.10164739304571</v>
      </c>
      <c r="K20" s="147">
        <f t="shared" si="5"/>
        <v>159.22033324936388</v>
      </c>
      <c r="L20" s="147">
        <f t="shared" si="5"/>
        <v>160.20896779073655</v>
      </c>
      <c r="M20" s="147">
        <f t="shared" si="5"/>
        <v>160.20896779073655</v>
      </c>
    </row>
    <row r="21" spans="2:13" ht="18.75" customHeight="1">
      <c r="B21" s="26">
        <f t="shared" si="0"/>
        <v>10</v>
      </c>
      <c r="C21" s="84" t="s">
        <v>245</v>
      </c>
      <c r="D21" s="147">
        <f>AVERAGE(D10,D14)*D18-D20</f>
        <v>0</v>
      </c>
      <c r="E21" s="147">
        <f t="shared" ref="E21:M21" si="6">AVERAGE(E10,E14)*E18-E20</f>
        <v>5.3578690115898553E-3</v>
      </c>
      <c r="F21" s="147">
        <f t="shared" si="6"/>
        <v>5.3578690115898553E-3</v>
      </c>
      <c r="G21" s="147">
        <f t="shared" si="6"/>
        <v>0</v>
      </c>
      <c r="H21" s="147">
        <f t="shared" si="6"/>
        <v>3.6247861877427567E-3</v>
      </c>
      <c r="I21" s="147">
        <f t="shared" si="6"/>
        <v>0.35077573765232728</v>
      </c>
      <c r="J21" s="147">
        <f t="shared" si="6"/>
        <v>5.9342928159082931E-2</v>
      </c>
      <c r="K21" s="147">
        <f t="shared" si="6"/>
        <v>0.49431727068630948</v>
      </c>
      <c r="L21" s="147">
        <f t="shared" si="6"/>
        <v>0</v>
      </c>
      <c r="M21" s="147">
        <f t="shared" si="6"/>
        <v>0.35961596977227828</v>
      </c>
    </row>
    <row r="22" spans="2:13" ht="15">
      <c r="B22" s="26">
        <f t="shared" si="0"/>
        <v>11</v>
      </c>
      <c r="C22" s="46" t="s">
        <v>195</v>
      </c>
      <c r="D22" s="147">
        <v>143.61000000000001</v>
      </c>
      <c r="E22" s="147">
        <f t="shared" ref="E22:M22" si="7">E20+E21</f>
        <v>158.3873480914919</v>
      </c>
      <c r="F22" s="147">
        <f t="shared" si="7"/>
        <v>158.3873480914919</v>
      </c>
      <c r="G22" s="147">
        <v>143.61000000000001</v>
      </c>
      <c r="H22" s="147">
        <f t="shared" si="7"/>
        <v>158.39647113155334</v>
      </c>
      <c r="I22" s="147">
        <f t="shared" si="7"/>
        <v>158.75087165539338</v>
      </c>
      <c r="J22" s="147">
        <f t="shared" si="7"/>
        <v>159.16099032120479</v>
      </c>
      <c r="K22" s="147">
        <f t="shared" si="7"/>
        <v>159.71465052005018</v>
      </c>
      <c r="L22" s="147">
        <f t="shared" si="7"/>
        <v>160.20896779073655</v>
      </c>
      <c r="M22" s="147">
        <f t="shared" si="7"/>
        <v>160.56858376050883</v>
      </c>
    </row>
    <row r="23" spans="2:13">
      <c r="C23" s="5" t="s">
        <v>272</v>
      </c>
    </row>
    <row r="24" spans="2:13">
      <c r="C24" s="5" t="s">
        <v>436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5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B2" sqref="B2:M5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7" width="11.28515625" style="5" customWidth="1"/>
    <col min="8" max="8" width="18.28515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68" t="s">
        <v>530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</row>
    <row r="3" spans="2:13" ht="15.75">
      <c r="B3" s="268" t="s">
        <v>512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</row>
    <row r="4" spans="2:13" ht="15.75">
      <c r="B4" s="310" t="s">
        <v>545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</row>
    <row r="5" spans="2:13" ht="15">
      <c r="B5" s="40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75" t="s">
        <v>210</v>
      </c>
      <c r="C7" s="278" t="s">
        <v>18</v>
      </c>
      <c r="D7" s="282" t="s">
        <v>513</v>
      </c>
      <c r="E7" s="283"/>
      <c r="F7" s="284"/>
      <c r="G7" s="282" t="s">
        <v>514</v>
      </c>
      <c r="H7" s="283"/>
      <c r="I7" s="287" t="s">
        <v>252</v>
      </c>
      <c r="J7" s="287"/>
      <c r="K7" s="287"/>
      <c r="L7" s="287"/>
      <c r="M7" s="287"/>
    </row>
    <row r="8" spans="2:13" s="19" customFormat="1" ht="30">
      <c r="B8" s="276"/>
      <c r="C8" s="278"/>
      <c r="D8" s="21" t="s">
        <v>397</v>
      </c>
      <c r="E8" s="21" t="s">
        <v>270</v>
      </c>
      <c r="F8" s="21" t="s">
        <v>226</v>
      </c>
      <c r="G8" s="21" t="s">
        <v>397</v>
      </c>
      <c r="H8" s="21" t="s">
        <v>269</v>
      </c>
      <c r="I8" s="21" t="s">
        <v>483</v>
      </c>
      <c r="J8" s="21" t="s">
        <v>484</v>
      </c>
      <c r="K8" s="21" t="s">
        <v>485</v>
      </c>
      <c r="L8" s="21" t="s">
        <v>486</v>
      </c>
      <c r="M8" s="21" t="s">
        <v>487</v>
      </c>
    </row>
    <row r="9" spans="2:13" s="19" customFormat="1" ht="15">
      <c r="B9" s="277"/>
      <c r="C9" s="279"/>
      <c r="D9" s="21" t="s">
        <v>10</v>
      </c>
      <c r="E9" s="21" t="s">
        <v>12</v>
      </c>
      <c r="F9" s="21" t="s">
        <v>259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9">
        <v>1</v>
      </c>
      <c r="C10" s="33" t="s">
        <v>326</v>
      </c>
      <c r="D10" s="2"/>
      <c r="E10" s="194">
        <v>0.10314535537137834</v>
      </c>
      <c r="F10" s="194">
        <v>0.10314535537137834</v>
      </c>
      <c r="G10" s="197"/>
      <c r="H10" s="197">
        <v>0.10249350104605801</v>
      </c>
      <c r="I10" s="197">
        <v>0.10314535537137834</v>
      </c>
      <c r="J10" s="197">
        <v>0.10727116958623348</v>
      </c>
      <c r="K10" s="197">
        <v>0.11156201636968283</v>
      </c>
      <c r="L10" s="197">
        <v>0.11602449702447014</v>
      </c>
      <c r="M10" s="197">
        <v>0.12066547690544895</v>
      </c>
    </row>
    <row r="11" spans="2:13">
      <c r="B11" s="69">
        <f>B10+1</f>
        <v>2</v>
      </c>
      <c r="C11" s="33" t="s">
        <v>327</v>
      </c>
      <c r="D11" s="2"/>
      <c r="E11" s="194">
        <v>0</v>
      </c>
      <c r="F11" s="194">
        <v>0</v>
      </c>
      <c r="G11" s="197"/>
      <c r="H11" s="197">
        <v>0</v>
      </c>
      <c r="I11" s="197">
        <v>0</v>
      </c>
      <c r="J11" s="197">
        <v>0</v>
      </c>
      <c r="K11" s="197">
        <v>0</v>
      </c>
      <c r="L11" s="197">
        <v>0</v>
      </c>
      <c r="M11" s="197">
        <v>0</v>
      </c>
    </row>
    <row r="12" spans="2:13">
      <c r="B12" s="69">
        <f>B11+1</f>
        <v>3</v>
      </c>
      <c r="C12" s="33" t="s">
        <v>328</v>
      </c>
      <c r="D12" s="2"/>
      <c r="E12" s="194">
        <v>0.31361918183730897</v>
      </c>
      <c r="F12" s="194">
        <v>0.31361918183730897</v>
      </c>
      <c r="G12" s="197"/>
      <c r="H12" s="197">
        <v>4.5766931099999999</v>
      </c>
      <c r="I12" s="197">
        <v>0.31361918183730897</v>
      </c>
      <c r="J12" s="197">
        <v>0.32616394911080132</v>
      </c>
      <c r="K12" s="197">
        <v>0.33921050707523337</v>
      </c>
      <c r="L12" s="197">
        <v>0.35277892735824273</v>
      </c>
      <c r="M12" s="197">
        <v>0.36689008445257243</v>
      </c>
    </row>
    <row r="13" spans="2:13">
      <c r="B13" s="26">
        <f t="shared" ref="B13:B21" si="0">B12+1</f>
        <v>4</v>
      </c>
      <c r="C13" s="35" t="s">
        <v>329</v>
      </c>
      <c r="D13" s="2"/>
      <c r="E13" s="194">
        <v>0</v>
      </c>
      <c r="F13" s="194">
        <v>0</v>
      </c>
      <c r="G13" s="197"/>
      <c r="H13" s="197">
        <v>0</v>
      </c>
      <c r="I13" s="197">
        <v>0</v>
      </c>
      <c r="J13" s="197">
        <v>0</v>
      </c>
      <c r="K13" s="197">
        <v>0</v>
      </c>
      <c r="L13" s="197">
        <v>0</v>
      </c>
      <c r="M13" s="197">
        <v>0</v>
      </c>
    </row>
    <row r="14" spans="2:13" ht="15.75" customHeight="1">
      <c r="B14" s="26">
        <f t="shared" si="0"/>
        <v>5</v>
      </c>
      <c r="C14" s="84" t="s">
        <v>330</v>
      </c>
      <c r="D14" s="85"/>
      <c r="E14" s="198">
        <v>0</v>
      </c>
      <c r="F14" s="194">
        <v>0</v>
      </c>
      <c r="G14" s="198"/>
      <c r="H14" s="197">
        <v>0</v>
      </c>
      <c r="I14" s="198">
        <v>0</v>
      </c>
      <c r="J14" s="198">
        <v>0</v>
      </c>
      <c r="K14" s="198">
        <v>0</v>
      </c>
      <c r="L14" s="198">
        <v>0</v>
      </c>
      <c r="M14" s="198">
        <v>0</v>
      </c>
    </row>
    <row r="15" spans="2:13" s="39" customFormat="1" ht="15">
      <c r="B15" s="26">
        <f t="shared" si="0"/>
        <v>6</v>
      </c>
      <c r="C15" s="44" t="s">
        <v>331</v>
      </c>
      <c r="D15" s="85"/>
      <c r="E15" s="198">
        <v>3.9936408010423571E-2</v>
      </c>
      <c r="F15" s="194">
        <v>3.9936408010423571E-2</v>
      </c>
      <c r="G15" s="198"/>
      <c r="H15" s="197">
        <v>2.9884286213436542E-2</v>
      </c>
      <c r="I15" s="198">
        <v>3.9936408010423571E-2</v>
      </c>
      <c r="J15" s="198">
        <v>4.1533864330840518E-2</v>
      </c>
      <c r="K15" s="198">
        <v>4.3195218904074142E-2</v>
      </c>
      <c r="L15" s="198">
        <v>4.4923027660237112E-2</v>
      </c>
      <c r="M15" s="198">
        <v>4.6719948766646598E-2</v>
      </c>
    </row>
    <row r="16" spans="2:13" s="39" customFormat="1" ht="15">
      <c r="B16" s="26">
        <f t="shared" si="0"/>
        <v>7</v>
      </c>
      <c r="C16" s="84" t="s">
        <v>332</v>
      </c>
      <c r="D16" s="85"/>
      <c r="E16" s="198">
        <v>0</v>
      </c>
      <c r="F16" s="194">
        <v>0</v>
      </c>
      <c r="G16" s="198"/>
      <c r="H16" s="197">
        <v>0</v>
      </c>
      <c r="I16" s="198">
        <v>0</v>
      </c>
      <c r="J16" s="198">
        <v>0</v>
      </c>
      <c r="K16" s="198">
        <v>0</v>
      </c>
      <c r="L16" s="198">
        <v>0</v>
      </c>
      <c r="M16" s="198">
        <v>0</v>
      </c>
    </row>
    <row r="17" spans="2:13" s="39" customFormat="1" ht="12.75" customHeight="1">
      <c r="B17" s="26">
        <f t="shared" si="0"/>
        <v>8</v>
      </c>
      <c r="C17" s="44" t="s">
        <v>333</v>
      </c>
      <c r="D17" s="85"/>
      <c r="E17" s="198">
        <v>7.5397267666877394E-3</v>
      </c>
      <c r="F17" s="194">
        <v>7.5397267666877394E-3</v>
      </c>
      <c r="G17" s="198"/>
      <c r="H17" s="197">
        <v>2.5177302727707275E-2</v>
      </c>
      <c r="I17" s="198">
        <v>7.5397267666877394E-3</v>
      </c>
      <c r="J17" s="198">
        <v>7.8413158373552491E-3</v>
      </c>
      <c r="K17" s="198">
        <v>8.1549684708494587E-3</v>
      </c>
      <c r="L17" s="198">
        <v>8.4811672096834368E-3</v>
      </c>
      <c r="M17" s="198">
        <v>8.8204138980707749E-3</v>
      </c>
    </row>
    <row r="18" spans="2:13" s="39" customFormat="1" ht="15">
      <c r="B18" s="26">
        <f t="shared" si="0"/>
        <v>9</v>
      </c>
      <c r="C18" s="44" t="s">
        <v>162</v>
      </c>
      <c r="D18" s="85"/>
      <c r="E18" s="198">
        <v>22.17</v>
      </c>
      <c r="F18" s="194">
        <v>22.17</v>
      </c>
      <c r="G18" s="198"/>
      <c r="H18" s="197">
        <v>24.000902849999999</v>
      </c>
      <c r="I18" s="198">
        <v>24.960938964</v>
      </c>
      <c r="J18" s="198">
        <v>25.95937652256</v>
      </c>
      <c r="K18" s="198">
        <v>26.997751583462399</v>
      </c>
      <c r="L18" s="198">
        <v>28.077661646800895</v>
      </c>
      <c r="M18" s="198">
        <v>29.200768112672932</v>
      </c>
    </row>
    <row r="19" spans="2:13" s="39" customFormat="1" ht="15">
      <c r="B19" s="26">
        <f t="shared" si="0"/>
        <v>10</v>
      </c>
      <c r="C19" s="44" t="s">
        <v>334</v>
      </c>
      <c r="D19" s="85"/>
      <c r="E19" s="198">
        <v>0</v>
      </c>
      <c r="F19" s="194">
        <v>0</v>
      </c>
      <c r="G19" s="198"/>
      <c r="H19" s="197">
        <v>0</v>
      </c>
      <c r="I19" s="198">
        <v>0</v>
      </c>
      <c r="J19" s="198">
        <v>0</v>
      </c>
      <c r="K19" s="198">
        <v>0</v>
      </c>
      <c r="L19" s="198">
        <v>0</v>
      </c>
      <c r="M19" s="198">
        <v>0</v>
      </c>
    </row>
    <row r="20" spans="2:13">
      <c r="B20" s="26">
        <f t="shared" si="0"/>
        <v>11</v>
      </c>
      <c r="C20" s="84" t="s">
        <v>173</v>
      </c>
      <c r="D20" s="85"/>
      <c r="E20" s="198">
        <v>3.1837337054569564E-2</v>
      </c>
      <c r="F20" s="194">
        <v>3.1837337054569564E-2</v>
      </c>
      <c r="G20" s="198"/>
      <c r="H20" s="197">
        <v>2.7213423588731439E-2</v>
      </c>
      <c r="I20" s="198">
        <v>3.1837337054569564E-2</v>
      </c>
      <c r="J20" s="198">
        <v>3.3110830536752345E-2</v>
      </c>
      <c r="K20" s="198">
        <v>3.4435263758222437E-2</v>
      </c>
      <c r="L20" s="198">
        <v>3.5812674308551333E-2</v>
      </c>
      <c r="M20" s="198">
        <v>3.7245181280893387E-2</v>
      </c>
    </row>
    <row r="21" spans="2:13">
      <c r="B21" s="26">
        <f t="shared" si="0"/>
        <v>12</v>
      </c>
      <c r="C21" s="84" t="s">
        <v>9</v>
      </c>
      <c r="D21" s="85"/>
      <c r="E21" s="198">
        <v>3.3108548352767793</v>
      </c>
      <c r="F21" s="194">
        <v>3.3108548352767793</v>
      </c>
      <c r="G21" s="198"/>
      <c r="H21" s="197">
        <v>2.6852274328995729</v>
      </c>
      <c r="I21" s="198">
        <v>2.5478832217408138</v>
      </c>
      <c r="J21" s="198">
        <v>2.6497985506104467</v>
      </c>
      <c r="K21" s="198">
        <v>2.7557904926348646</v>
      </c>
      <c r="L21" s="198">
        <v>2.8660221123402594</v>
      </c>
      <c r="M21" s="198">
        <v>2.9806629968338698</v>
      </c>
    </row>
    <row r="22" spans="2:13" ht="15">
      <c r="B22" s="26"/>
      <c r="C22" s="37" t="s">
        <v>139</v>
      </c>
      <c r="D22" s="147">
        <v>4.4000000000000004</v>
      </c>
      <c r="E22" s="147">
        <f t="shared" ref="E22:M22" si="1">SUM(E10:E21)</f>
        <v>25.976932844317147</v>
      </c>
      <c r="F22" s="147">
        <f t="shared" si="1"/>
        <v>25.976932844317147</v>
      </c>
      <c r="G22" s="147">
        <v>4.4000000000000004</v>
      </c>
      <c r="H22" s="147">
        <f t="shared" si="1"/>
        <v>31.447591906475505</v>
      </c>
      <c r="I22" s="147">
        <f t="shared" si="1"/>
        <v>28.004900194781182</v>
      </c>
      <c r="J22" s="147">
        <f t="shared" si="1"/>
        <v>29.125096202572429</v>
      </c>
      <c r="K22" s="147">
        <f t="shared" si="1"/>
        <v>30.290100050675328</v>
      </c>
      <c r="L22" s="147">
        <f t="shared" si="1"/>
        <v>31.50170405270234</v>
      </c>
      <c r="M22" s="147">
        <f t="shared" si="1"/>
        <v>32.761772214810435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4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1"/>
  <sheetViews>
    <sheetView showGridLines="0" zoomScale="80" zoomScaleNormal="80" zoomScaleSheetLayoutView="70" workbookViewId="0">
      <selection activeCell="B2" sqref="B2:L4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4.28515625" style="5" customWidth="1"/>
    <col min="6" max="6" width="15.7109375" style="5" customWidth="1"/>
    <col min="7" max="7" width="18" style="5" bestFit="1" customWidth="1"/>
    <col min="8" max="12" width="15.7109375" style="5" customWidth="1"/>
    <col min="13" max="16384" width="9.28515625" style="5"/>
  </cols>
  <sheetData>
    <row r="2" spans="2:12" ht="15">
      <c r="G2" s="40" t="s">
        <v>529</v>
      </c>
    </row>
    <row r="3" spans="2:12" ht="15">
      <c r="G3" s="40" t="s">
        <v>511</v>
      </c>
    </row>
    <row r="4" spans="2:12" ht="15">
      <c r="G4" s="42" t="s">
        <v>336</v>
      </c>
    </row>
    <row r="5" spans="2:12" ht="15">
      <c r="B5" s="30"/>
      <c r="C5" s="88"/>
      <c r="D5" s="89"/>
      <c r="E5" s="89"/>
      <c r="F5" s="89"/>
    </row>
    <row r="6" spans="2:12" ht="15" customHeight="1">
      <c r="B6" s="286" t="s">
        <v>2</v>
      </c>
      <c r="C6" s="287" t="s">
        <v>18</v>
      </c>
      <c r="D6" s="201" t="s">
        <v>513</v>
      </c>
      <c r="E6" s="283" t="s">
        <v>514</v>
      </c>
      <c r="F6" s="283"/>
      <c r="G6" s="283"/>
      <c r="H6" s="287" t="s">
        <v>252</v>
      </c>
      <c r="I6" s="287"/>
      <c r="J6" s="287"/>
      <c r="K6" s="287"/>
      <c r="L6" s="287"/>
    </row>
    <row r="7" spans="2:12" ht="15">
      <c r="B7" s="286"/>
      <c r="C7" s="287"/>
      <c r="D7" s="21" t="s">
        <v>335</v>
      </c>
      <c r="E7" s="21" t="s">
        <v>260</v>
      </c>
      <c r="F7" s="21" t="s">
        <v>261</v>
      </c>
      <c r="G7" s="21" t="s">
        <v>269</v>
      </c>
      <c r="H7" s="21" t="s">
        <v>483</v>
      </c>
      <c r="I7" s="21" t="s">
        <v>484</v>
      </c>
      <c r="J7" s="21" t="s">
        <v>485</v>
      </c>
      <c r="K7" s="21" t="s">
        <v>486</v>
      </c>
      <c r="L7" s="21" t="s">
        <v>487</v>
      </c>
    </row>
    <row r="8" spans="2:12" ht="24.75" customHeight="1">
      <c r="B8" s="320"/>
      <c r="C8" s="321"/>
      <c r="D8" s="21" t="s">
        <v>3</v>
      </c>
      <c r="E8" s="21" t="s">
        <v>3</v>
      </c>
      <c r="F8" s="21" t="s">
        <v>5</v>
      </c>
      <c r="G8" s="21" t="s">
        <v>5</v>
      </c>
      <c r="H8" s="21" t="s">
        <v>8</v>
      </c>
      <c r="I8" s="21" t="s">
        <v>8</v>
      </c>
      <c r="J8" s="21" t="s">
        <v>8</v>
      </c>
      <c r="K8" s="21" t="s">
        <v>8</v>
      </c>
      <c r="L8" s="21" t="s">
        <v>8</v>
      </c>
    </row>
    <row r="9" spans="2:12" ht="15">
      <c r="B9" s="90">
        <v>1</v>
      </c>
      <c r="C9" s="91" t="s">
        <v>174</v>
      </c>
      <c r="D9" s="87"/>
      <c r="E9" s="87"/>
      <c r="F9" s="87"/>
      <c r="G9" s="87"/>
      <c r="H9" s="33"/>
      <c r="I9" s="33"/>
      <c r="J9" s="33"/>
      <c r="K9" s="33"/>
      <c r="L9" s="33"/>
    </row>
    <row r="10" spans="2:12" s="39" customFormat="1" ht="15">
      <c r="B10" s="92" t="s">
        <v>57</v>
      </c>
      <c r="C10" s="46" t="s">
        <v>58</v>
      </c>
      <c r="D10" s="93"/>
      <c r="E10" s="94"/>
      <c r="F10" s="94"/>
      <c r="G10" s="46"/>
      <c r="H10" s="46"/>
      <c r="I10" s="46"/>
      <c r="J10" s="46"/>
      <c r="K10" s="46"/>
      <c r="L10" s="46"/>
    </row>
    <row r="11" spans="2:12" s="39" customFormat="1" ht="15">
      <c r="B11" s="95"/>
      <c r="C11" s="35" t="s">
        <v>59</v>
      </c>
      <c r="D11" s="93"/>
      <c r="E11" s="94"/>
      <c r="F11" s="94"/>
      <c r="G11" s="46"/>
      <c r="H11" s="46"/>
      <c r="I11" s="46"/>
      <c r="J11" s="46"/>
      <c r="K11" s="46"/>
      <c r="L11" s="46"/>
    </row>
    <row r="12" spans="2:12" s="39" customFormat="1" ht="15">
      <c r="B12" s="95"/>
      <c r="C12" s="35" t="s">
        <v>60</v>
      </c>
      <c r="D12" s="93"/>
      <c r="E12" s="94"/>
      <c r="F12" s="94"/>
      <c r="G12" s="46"/>
      <c r="H12" s="46"/>
      <c r="I12" s="46"/>
      <c r="J12" s="46"/>
      <c r="K12" s="46"/>
      <c r="L12" s="46"/>
    </row>
    <row r="13" spans="2:12" s="39" customFormat="1" ht="15">
      <c r="B13" s="95"/>
      <c r="C13" s="35" t="s">
        <v>61</v>
      </c>
      <c r="D13" s="93"/>
      <c r="E13" s="94"/>
      <c r="F13" s="94"/>
      <c r="G13" s="46"/>
      <c r="H13" s="46"/>
      <c r="I13" s="46"/>
      <c r="J13" s="46"/>
      <c r="K13" s="46"/>
      <c r="L13" s="46"/>
    </row>
    <row r="14" spans="2:12" s="39" customFormat="1" ht="15">
      <c r="B14" s="95"/>
      <c r="C14" s="96"/>
      <c r="D14" s="93"/>
      <c r="E14" s="94"/>
      <c r="F14" s="94"/>
      <c r="G14" s="46"/>
      <c r="H14" s="46"/>
      <c r="I14" s="46"/>
      <c r="J14" s="46"/>
      <c r="K14" s="46"/>
      <c r="L14" s="46"/>
    </row>
    <row r="15" spans="2:12" s="39" customFormat="1" ht="15">
      <c r="B15" s="92" t="s">
        <v>62</v>
      </c>
      <c r="C15" s="97" t="s">
        <v>63</v>
      </c>
      <c r="D15" s="93"/>
      <c r="E15" s="94"/>
      <c r="F15" s="94"/>
      <c r="G15" s="46"/>
      <c r="H15" s="46"/>
      <c r="I15" s="46"/>
      <c r="J15" s="46"/>
      <c r="K15" s="46"/>
      <c r="L15" s="46"/>
    </row>
    <row r="16" spans="2:12" s="39" customFormat="1" ht="15">
      <c r="B16" s="95"/>
      <c r="C16" s="35" t="s">
        <v>59</v>
      </c>
      <c r="D16" s="93"/>
      <c r="E16" s="94"/>
      <c r="F16" s="94"/>
      <c r="G16" s="46"/>
      <c r="H16" s="46"/>
      <c r="I16" s="46"/>
      <c r="J16" s="46"/>
      <c r="K16" s="46"/>
      <c r="L16" s="46"/>
    </row>
    <row r="17" spans="2:12">
      <c r="B17" s="95"/>
      <c r="C17" s="35" t="s">
        <v>60</v>
      </c>
      <c r="D17" s="93"/>
      <c r="E17" s="94"/>
      <c r="F17" s="94"/>
      <c r="G17" s="33"/>
      <c r="H17" s="33"/>
      <c r="I17" s="33"/>
      <c r="J17" s="33"/>
      <c r="K17" s="33"/>
      <c r="L17" s="33"/>
    </row>
    <row r="18" spans="2:12">
      <c r="B18" s="98"/>
      <c r="C18" s="35" t="s">
        <v>64</v>
      </c>
      <c r="D18" s="93"/>
      <c r="E18" s="94"/>
      <c r="F18" s="94"/>
      <c r="G18" s="33"/>
      <c r="H18" s="33"/>
      <c r="I18" s="33"/>
      <c r="J18" s="33"/>
      <c r="K18" s="33"/>
      <c r="L18" s="33"/>
    </row>
    <row r="19" spans="2:12" ht="15">
      <c r="B19" s="98"/>
      <c r="C19" s="97"/>
      <c r="D19" s="93"/>
      <c r="E19" s="94"/>
      <c r="F19" s="94"/>
      <c r="G19" s="33"/>
      <c r="H19" s="33"/>
      <c r="I19" s="33"/>
      <c r="J19" s="33"/>
      <c r="K19" s="33"/>
      <c r="L19" s="33"/>
    </row>
    <row r="20" spans="2:12" ht="17.25" customHeight="1">
      <c r="B20" s="92">
        <v>2</v>
      </c>
      <c r="C20" s="91" t="s">
        <v>175</v>
      </c>
      <c r="D20" s="93"/>
      <c r="E20" s="94"/>
      <c r="F20" s="94"/>
      <c r="G20" s="33"/>
      <c r="H20" s="33"/>
      <c r="I20" s="33"/>
      <c r="J20" s="33"/>
      <c r="K20" s="33"/>
      <c r="L20" s="33"/>
    </row>
    <row r="21" spans="2:12" ht="17.25" customHeight="1">
      <c r="B21" s="92"/>
      <c r="C21" s="91" t="s">
        <v>65</v>
      </c>
      <c r="D21" s="93"/>
      <c r="E21" s="93"/>
      <c r="F21" s="93"/>
      <c r="G21" s="33"/>
      <c r="H21" s="33"/>
      <c r="I21" s="33"/>
      <c r="J21" s="33"/>
      <c r="K21" s="33"/>
      <c r="L21" s="33"/>
    </row>
    <row r="22" spans="2:12" ht="17.25" customHeight="1">
      <c r="B22" s="92"/>
      <c r="C22" s="91" t="s">
        <v>65</v>
      </c>
      <c r="D22" s="93"/>
      <c r="E22" s="93"/>
      <c r="F22" s="93"/>
      <c r="G22" s="33"/>
      <c r="H22" s="33"/>
      <c r="I22" s="33"/>
      <c r="J22" s="33"/>
      <c r="K22" s="33"/>
      <c r="L22" s="33"/>
    </row>
    <row r="23" spans="2:12" ht="15">
      <c r="B23" s="95"/>
      <c r="C23" s="97" t="s">
        <v>66</v>
      </c>
      <c r="D23" s="93"/>
      <c r="E23" s="93"/>
      <c r="F23" s="93"/>
      <c r="G23" s="33"/>
      <c r="H23" s="33"/>
      <c r="I23" s="33"/>
      <c r="J23" s="33"/>
      <c r="K23" s="33"/>
      <c r="L23" s="33"/>
    </row>
    <row r="25" spans="2:12" ht="15">
      <c r="B25" s="99" t="s">
        <v>54</v>
      </c>
      <c r="C25" s="100"/>
      <c r="D25" s="100"/>
      <c r="E25" s="100"/>
      <c r="F25" s="100"/>
      <c r="G25" s="100"/>
    </row>
    <row r="26" spans="2:12">
      <c r="B26" s="5" t="s">
        <v>228</v>
      </c>
      <c r="D26" s="101"/>
      <c r="G26" s="100"/>
    </row>
    <row r="27" spans="2:12" ht="18" customHeight="1">
      <c r="B27" s="100"/>
      <c r="G27" s="100"/>
    </row>
    <row r="28" spans="2:12">
      <c r="B28" s="100"/>
      <c r="C28" s="100"/>
      <c r="D28" s="100"/>
      <c r="E28" s="100"/>
      <c r="F28" s="100"/>
      <c r="G28" s="100"/>
    </row>
    <row r="29" spans="2:12">
      <c r="B29" s="100"/>
      <c r="C29" s="100"/>
      <c r="D29" s="100"/>
      <c r="E29" s="100"/>
      <c r="F29" s="100"/>
      <c r="G29" s="100"/>
    </row>
    <row r="30" spans="2:12">
      <c r="B30" s="100"/>
      <c r="C30" s="100"/>
      <c r="D30" s="100"/>
      <c r="E30" s="100"/>
      <c r="F30" s="102"/>
      <c r="G30" s="100"/>
    </row>
    <row r="31" spans="2:12">
      <c r="B31" s="100"/>
      <c r="C31" s="100"/>
      <c r="D31" s="100"/>
      <c r="E31" s="100"/>
      <c r="F31" s="100"/>
      <c r="G31" s="100"/>
    </row>
  </sheetData>
  <mergeCells count="4">
    <mergeCell ref="B6:B8"/>
    <mergeCell ref="C6:C8"/>
    <mergeCell ref="H6:L6"/>
    <mergeCell ref="E6:G6"/>
  </mergeCells>
  <pageMargins left="0.75" right="0.75" top="1" bottom="1" header="0.5" footer="0.5"/>
  <pageSetup paperSize="9" scale="73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8"/>
  <sheetViews>
    <sheetView showGridLines="0" view="pageBreakPreview" zoomScale="70" zoomScaleNormal="95" zoomScaleSheetLayoutView="70" workbookViewId="0">
      <selection activeCell="B4" sqref="B4:O4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33.42578125" style="5" customWidth="1"/>
    <col min="4" max="4" width="11" style="41" customWidth="1"/>
    <col min="5" max="5" width="14" style="41" customWidth="1"/>
    <col min="6" max="6" width="12.140625" style="5" customWidth="1"/>
    <col min="7" max="7" width="15" style="5" customWidth="1"/>
    <col min="8" max="8" width="13.7109375" style="5" customWidth="1"/>
    <col min="9" max="9" width="18.28515625" style="5" customWidth="1"/>
    <col min="10" max="14" width="12.7109375" style="5" customWidth="1"/>
    <col min="15" max="15" width="15.7109375" style="5" customWidth="1"/>
    <col min="16" max="16384" width="9.28515625" style="5"/>
  </cols>
  <sheetData>
    <row r="2" spans="2:15" ht="15.75">
      <c r="B2" s="268" t="s">
        <v>529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</row>
    <row r="3" spans="2:15" ht="15.75">
      <c r="B3" s="268" t="s">
        <v>511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</row>
    <row r="4" spans="2:15" s="19" customFormat="1" ht="15.75">
      <c r="B4" s="268" t="s">
        <v>546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</row>
    <row r="5" spans="2:15" s="19" customFormat="1" ht="15">
      <c r="C5" s="88"/>
      <c r="D5" s="41"/>
      <c r="E5" s="41"/>
      <c r="F5" s="103"/>
      <c r="G5" s="103"/>
      <c r="H5" s="103"/>
    </row>
    <row r="6" spans="2:15" ht="15" customHeight="1">
      <c r="B6" s="280" t="s">
        <v>210</v>
      </c>
      <c r="C6" s="322" t="s">
        <v>18</v>
      </c>
      <c r="D6" s="322" t="s">
        <v>39</v>
      </c>
      <c r="E6" s="282" t="s">
        <v>513</v>
      </c>
      <c r="F6" s="283"/>
      <c r="G6" s="284"/>
      <c r="H6" s="282" t="s">
        <v>514</v>
      </c>
      <c r="I6" s="283"/>
      <c r="J6" s="287" t="s">
        <v>252</v>
      </c>
      <c r="K6" s="287"/>
      <c r="L6" s="287"/>
      <c r="M6" s="287"/>
      <c r="N6" s="287"/>
      <c r="O6" s="280" t="s">
        <v>11</v>
      </c>
    </row>
    <row r="7" spans="2:15" ht="30">
      <c r="B7" s="322"/>
      <c r="C7" s="322"/>
      <c r="D7" s="322"/>
      <c r="E7" s="21" t="s">
        <v>397</v>
      </c>
      <c r="F7" s="21" t="s">
        <v>270</v>
      </c>
      <c r="G7" s="21" t="s">
        <v>226</v>
      </c>
      <c r="H7" s="21" t="s">
        <v>397</v>
      </c>
      <c r="I7" s="21" t="s">
        <v>269</v>
      </c>
      <c r="J7" s="21" t="s">
        <v>483</v>
      </c>
      <c r="K7" s="21" t="s">
        <v>484</v>
      </c>
      <c r="L7" s="21" t="s">
        <v>485</v>
      </c>
      <c r="M7" s="21" t="s">
        <v>486</v>
      </c>
      <c r="N7" s="21" t="s">
        <v>487</v>
      </c>
      <c r="O7" s="280"/>
    </row>
    <row r="8" spans="2:15" ht="15">
      <c r="B8" s="322"/>
      <c r="C8" s="322"/>
      <c r="D8" s="322"/>
      <c r="E8" s="21" t="s">
        <v>10</v>
      </c>
      <c r="F8" s="21" t="s">
        <v>12</v>
      </c>
      <c r="G8" s="21" t="s">
        <v>259</v>
      </c>
      <c r="H8" s="21" t="s">
        <v>10</v>
      </c>
      <c r="I8" s="21" t="s">
        <v>5</v>
      </c>
      <c r="J8" s="21" t="s">
        <v>8</v>
      </c>
      <c r="K8" s="21" t="s">
        <v>8</v>
      </c>
      <c r="L8" s="21" t="s">
        <v>8</v>
      </c>
      <c r="M8" s="21" t="s">
        <v>8</v>
      </c>
      <c r="N8" s="21" t="s">
        <v>8</v>
      </c>
      <c r="O8" s="281"/>
    </row>
    <row r="9" spans="2:15" ht="15">
      <c r="B9" s="21"/>
      <c r="C9" s="104"/>
      <c r="D9" s="105"/>
      <c r="E9" s="105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2:15" ht="15">
      <c r="B10" s="106">
        <v>1</v>
      </c>
      <c r="C10" s="107" t="s">
        <v>230</v>
      </c>
      <c r="D10" s="106" t="s">
        <v>40</v>
      </c>
      <c r="E10" s="21">
        <v>500</v>
      </c>
      <c r="F10" s="108"/>
      <c r="G10" s="108">
        <v>500</v>
      </c>
      <c r="H10" s="108"/>
      <c r="I10" s="108"/>
      <c r="J10" s="33"/>
      <c r="K10" s="33"/>
      <c r="L10" s="33"/>
      <c r="M10" s="33"/>
      <c r="N10" s="33"/>
      <c r="O10" s="33"/>
    </row>
    <row r="11" spans="2:15" ht="15">
      <c r="B11" s="106"/>
      <c r="C11" s="107" t="s">
        <v>367</v>
      </c>
      <c r="D11" s="106"/>
      <c r="E11" s="21" t="s">
        <v>507</v>
      </c>
      <c r="F11" s="108"/>
      <c r="G11" s="108"/>
      <c r="H11" s="108"/>
      <c r="I11" s="108"/>
      <c r="J11" s="33"/>
      <c r="K11" s="33"/>
      <c r="L11" s="33"/>
      <c r="M11" s="33"/>
      <c r="N11" s="33"/>
      <c r="O11" s="33"/>
    </row>
    <row r="12" spans="2:15" ht="13.5" customHeight="1">
      <c r="B12" s="106"/>
      <c r="C12" s="107" t="s">
        <v>239</v>
      </c>
      <c r="D12" s="106"/>
      <c r="E12" s="21" t="s">
        <v>508</v>
      </c>
      <c r="F12" s="108"/>
      <c r="G12" s="108"/>
      <c r="H12" s="108"/>
      <c r="I12" s="108"/>
      <c r="J12" s="33"/>
      <c r="K12" s="33"/>
      <c r="L12" s="33"/>
      <c r="M12" s="33"/>
      <c r="N12" s="33"/>
      <c r="O12" s="33"/>
    </row>
    <row r="13" spans="2:15" ht="15">
      <c r="B13" s="106"/>
      <c r="C13" s="107"/>
      <c r="D13" s="106"/>
      <c r="E13" s="106"/>
      <c r="F13" s="108"/>
      <c r="G13" s="108"/>
      <c r="H13" s="108"/>
      <c r="I13" s="108"/>
      <c r="J13" s="33"/>
      <c r="K13" s="33"/>
      <c r="L13" s="33"/>
      <c r="M13" s="33"/>
      <c r="N13" s="33"/>
      <c r="O13" s="33"/>
    </row>
    <row r="14" spans="2:15" ht="15">
      <c r="B14" s="21">
        <v>2</v>
      </c>
      <c r="C14" s="104" t="s">
        <v>185</v>
      </c>
      <c r="D14" s="106"/>
      <c r="E14" s="106"/>
      <c r="F14" s="108"/>
      <c r="G14" s="108"/>
      <c r="H14" s="108"/>
      <c r="I14" s="108"/>
      <c r="J14" s="33"/>
      <c r="K14" s="33"/>
      <c r="L14" s="33"/>
      <c r="M14" s="33"/>
      <c r="N14" s="33"/>
      <c r="O14" s="33"/>
    </row>
    <row r="15" spans="2:15" ht="28.5">
      <c r="B15" s="106">
        <f>B14+0.1</f>
        <v>2.1</v>
      </c>
      <c r="C15" s="107" t="s">
        <v>41</v>
      </c>
      <c r="D15" s="106" t="s">
        <v>42</v>
      </c>
      <c r="E15" s="106">
        <v>80</v>
      </c>
      <c r="F15" s="106">
        <v>80</v>
      </c>
      <c r="G15" s="106">
        <f>F15</f>
        <v>80</v>
      </c>
      <c r="H15" s="106">
        <v>80</v>
      </c>
      <c r="I15" s="106">
        <v>80</v>
      </c>
      <c r="J15" s="106">
        <v>85</v>
      </c>
      <c r="K15" s="106">
        <v>85</v>
      </c>
      <c r="L15" s="106">
        <v>85</v>
      </c>
      <c r="M15" s="106">
        <v>85</v>
      </c>
      <c r="N15" s="106">
        <v>85</v>
      </c>
      <c r="O15" s="33"/>
    </row>
    <row r="16" spans="2:15">
      <c r="B16" s="106">
        <f>B15+0.1</f>
        <v>2.2000000000000002</v>
      </c>
      <c r="C16" s="107" t="s">
        <v>165</v>
      </c>
      <c r="D16" s="106" t="s">
        <v>42</v>
      </c>
      <c r="E16" s="106"/>
      <c r="F16" s="106">
        <v>76.959999999999994</v>
      </c>
      <c r="G16" s="106">
        <f t="shared" ref="G16:G38" si="0">F16</f>
        <v>76.959999999999994</v>
      </c>
      <c r="H16" s="106"/>
      <c r="I16" s="106">
        <v>92.53</v>
      </c>
      <c r="J16" s="106">
        <v>85</v>
      </c>
      <c r="K16" s="106">
        <v>85</v>
      </c>
      <c r="L16" s="106">
        <v>85</v>
      </c>
      <c r="M16" s="106">
        <v>85</v>
      </c>
      <c r="N16" s="106">
        <v>85</v>
      </c>
      <c r="O16" s="33"/>
    </row>
    <row r="17" spans="2:15" ht="15">
      <c r="B17" s="106"/>
      <c r="C17" s="107"/>
      <c r="D17" s="106"/>
      <c r="E17" s="106"/>
      <c r="F17" s="108"/>
      <c r="G17" s="106"/>
      <c r="H17" s="108"/>
      <c r="I17" s="108"/>
      <c r="J17" s="33"/>
      <c r="K17" s="33"/>
      <c r="L17" s="33"/>
      <c r="M17" s="33"/>
      <c r="N17" s="33"/>
      <c r="O17" s="33"/>
    </row>
    <row r="18" spans="2:15" ht="15">
      <c r="B18" s="21">
        <v>3</v>
      </c>
      <c r="C18" s="104" t="s">
        <v>186</v>
      </c>
      <c r="D18" s="106"/>
      <c r="E18" s="106"/>
      <c r="F18" s="108"/>
      <c r="G18" s="106"/>
      <c r="H18" s="108"/>
      <c r="I18" s="108"/>
      <c r="J18" s="33"/>
      <c r="K18" s="33"/>
      <c r="L18" s="33"/>
      <c r="M18" s="33"/>
      <c r="N18" s="33"/>
      <c r="O18" s="33"/>
    </row>
    <row r="19" spans="2:15">
      <c r="B19" s="106">
        <f>B18+0.1</f>
        <v>3.1</v>
      </c>
      <c r="C19" s="107" t="s">
        <v>43</v>
      </c>
      <c r="D19" s="106" t="s">
        <v>42</v>
      </c>
      <c r="E19" s="106">
        <v>80</v>
      </c>
      <c r="F19" s="106">
        <v>80</v>
      </c>
      <c r="G19" s="106">
        <f t="shared" si="0"/>
        <v>80</v>
      </c>
      <c r="H19" s="106">
        <v>80</v>
      </c>
      <c r="I19" s="106">
        <v>80</v>
      </c>
      <c r="J19" s="106">
        <v>85</v>
      </c>
      <c r="K19" s="106">
        <v>85</v>
      </c>
      <c r="L19" s="106">
        <v>85</v>
      </c>
      <c r="M19" s="106">
        <v>85</v>
      </c>
      <c r="N19" s="106">
        <v>85</v>
      </c>
      <c r="O19" s="33"/>
    </row>
    <row r="20" spans="2:15">
      <c r="B20" s="106">
        <f>B19+0.1</f>
        <v>3.2</v>
      </c>
      <c r="C20" s="107" t="s">
        <v>166</v>
      </c>
      <c r="D20" s="106" t="s">
        <v>42</v>
      </c>
      <c r="E20" s="106"/>
      <c r="F20" s="106">
        <v>72.28</v>
      </c>
      <c r="G20" s="106">
        <f t="shared" si="0"/>
        <v>72.28</v>
      </c>
      <c r="H20" s="106"/>
      <c r="I20" s="106">
        <v>85.35</v>
      </c>
      <c r="J20" s="106">
        <v>85.07</v>
      </c>
      <c r="K20" s="106">
        <v>85</v>
      </c>
      <c r="L20" s="106">
        <v>85.04</v>
      </c>
      <c r="M20" s="106">
        <v>85</v>
      </c>
      <c r="N20" s="106">
        <v>85.07</v>
      </c>
      <c r="O20" s="33"/>
    </row>
    <row r="21" spans="2:15" ht="15">
      <c r="B21" s="106"/>
      <c r="C21" s="107"/>
      <c r="D21" s="106"/>
      <c r="E21" s="106"/>
      <c r="F21" s="21"/>
      <c r="G21" s="106"/>
      <c r="H21" s="21"/>
      <c r="I21" s="21"/>
      <c r="J21" s="33"/>
      <c r="K21" s="33"/>
      <c r="L21" s="33"/>
      <c r="M21" s="33"/>
      <c r="N21" s="33"/>
      <c r="O21" s="33"/>
    </row>
    <row r="22" spans="2:15" ht="15">
      <c r="B22" s="21">
        <v>4</v>
      </c>
      <c r="C22" s="104" t="s">
        <v>56</v>
      </c>
      <c r="D22" s="106"/>
      <c r="E22" s="106"/>
      <c r="F22" s="21"/>
      <c r="G22" s="106"/>
      <c r="H22" s="21"/>
      <c r="I22" s="21"/>
      <c r="J22" s="33"/>
      <c r="K22" s="33"/>
      <c r="L22" s="33"/>
      <c r="M22" s="33"/>
      <c r="N22" s="33"/>
      <c r="O22" s="33"/>
    </row>
    <row r="23" spans="2:15">
      <c r="B23" s="106">
        <f>B22+0.1</f>
        <v>4.0999999999999996</v>
      </c>
      <c r="C23" s="107" t="s">
        <v>44</v>
      </c>
      <c r="D23" s="106" t="s">
        <v>45</v>
      </c>
      <c r="E23" s="199">
        <f>F23</f>
        <v>2978.8</v>
      </c>
      <c r="F23" s="199">
        <v>2978.8</v>
      </c>
      <c r="G23" s="106">
        <f t="shared" si="0"/>
        <v>2978.8</v>
      </c>
      <c r="H23" s="199">
        <f>I23</f>
        <v>3521.3117739999998</v>
      </c>
      <c r="I23" s="199">
        <v>3521.3117739999998</v>
      </c>
      <c r="J23" s="199">
        <f>J30</f>
        <v>3530.38</v>
      </c>
      <c r="K23" s="199">
        <f t="shared" ref="K23:N23" si="1">K30</f>
        <v>3527.54</v>
      </c>
      <c r="L23" s="199">
        <f t="shared" si="1"/>
        <v>3529.25</v>
      </c>
      <c r="M23" s="199">
        <f t="shared" si="1"/>
        <v>3537.21</v>
      </c>
      <c r="N23" s="199">
        <f t="shared" si="1"/>
        <v>3530.38</v>
      </c>
      <c r="O23" s="33"/>
    </row>
    <row r="24" spans="2:15" ht="28.5">
      <c r="B24" s="106">
        <f>B23+0.1</f>
        <v>4.1999999999999993</v>
      </c>
      <c r="C24" s="109" t="s">
        <v>167</v>
      </c>
      <c r="D24" s="106" t="s">
        <v>45</v>
      </c>
      <c r="E24" s="199"/>
      <c r="F24" s="199">
        <f>F30+F29</f>
        <v>3166.03</v>
      </c>
      <c r="G24" s="199">
        <f>F24</f>
        <v>3166.03</v>
      </c>
      <c r="H24" s="199"/>
      <c r="I24" s="199">
        <v>3748.5381630000002</v>
      </c>
      <c r="J24" s="199">
        <v>3726</v>
      </c>
      <c r="K24" s="199">
        <v>3723</v>
      </c>
      <c r="L24" s="199">
        <v>3724.8</v>
      </c>
      <c r="M24" s="199">
        <v>3733.2</v>
      </c>
      <c r="N24" s="199">
        <v>3726</v>
      </c>
      <c r="O24" s="33"/>
    </row>
    <row r="25" spans="2:15" ht="15">
      <c r="B25" s="106"/>
      <c r="C25" s="109"/>
      <c r="D25" s="106"/>
      <c r="E25" s="106"/>
      <c r="F25" s="21"/>
      <c r="G25" s="106"/>
      <c r="H25" s="21"/>
      <c r="I25" s="21"/>
      <c r="J25" s="33"/>
      <c r="K25" s="33"/>
      <c r="L25" s="33"/>
      <c r="M25" s="33"/>
      <c r="N25" s="33"/>
      <c r="O25" s="33"/>
    </row>
    <row r="26" spans="2:15" ht="15">
      <c r="B26" s="21">
        <v>5</v>
      </c>
      <c r="C26" s="110" t="s">
        <v>183</v>
      </c>
      <c r="D26" s="106"/>
      <c r="E26" s="106"/>
      <c r="F26" s="21"/>
      <c r="G26" s="106"/>
      <c r="H26" s="21"/>
      <c r="I26" s="21"/>
      <c r="J26" s="33"/>
      <c r="K26" s="33"/>
      <c r="L26" s="33"/>
      <c r="M26" s="33"/>
      <c r="N26" s="33"/>
      <c r="O26" s="33"/>
    </row>
    <row r="27" spans="2:15" ht="28.5">
      <c r="B27" s="106">
        <f>B26+0.1</f>
        <v>5.0999999999999996</v>
      </c>
      <c r="C27" s="109" t="s">
        <v>46</v>
      </c>
      <c r="D27" s="106" t="s">
        <v>42</v>
      </c>
      <c r="E27" s="199">
        <v>7.5</v>
      </c>
      <c r="F27" s="199">
        <v>7.5</v>
      </c>
      <c r="G27" s="106">
        <f t="shared" si="0"/>
        <v>7.5</v>
      </c>
      <c r="H27" s="199">
        <v>7.5</v>
      </c>
      <c r="I27" s="199">
        <v>7.5</v>
      </c>
      <c r="J27" s="199">
        <v>5.25</v>
      </c>
      <c r="K27" s="199">
        <v>5.25</v>
      </c>
      <c r="L27" s="199">
        <v>5.25</v>
      </c>
      <c r="M27" s="199">
        <v>5.25</v>
      </c>
      <c r="N27" s="199">
        <v>5.25</v>
      </c>
      <c r="O27" s="33"/>
    </row>
    <row r="28" spans="2:15" ht="16.5" customHeight="1">
      <c r="B28" s="106">
        <f>B27+0.1</f>
        <v>5.1999999999999993</v>
      </c>
      <c r="C28" s="109" t="s">
        <v>168</v>
      </c>
      <c r="D28" s="106" t="s">
        <v>42</v>
      </c>
      <c r="E28" s="199">
        <v>7.5</v>
      </c>
      <c r="F28" s="199">
        <v>5.91</v>
      </c>
      <c r="G28" s="106">
        <f t="shared" si="0"/>
        <v>5.91</v>
      </c>
      <c r="H28" s="199"/>
      <c r="I28" s="199">
        <v>6.0620000000000003</v>
      </c>
      <c r="J28" s="199">
        <v>5.25</v>
      </c>
      <c r="K28" s="199">
        <v>5.25</v>
      </c>
      <c r="L28" s="199">
        <v>5.25</v>
      </c>
      <c r="M28" s="199">
        <v>5.25</v>
      </c>
      <c r="N28" s="199">
        <v>5.25</v>
      </c>
      <c r="O28" s="33"/>
    </row>
    <row r="29" spans="2:15" ht="16.5" customHeight="1">
      <c r="B29" s="106">
        <f>B28+0.1</f>
        <v>5.2999999999999989</v>
      </c>
      <c r="C29" s="109" t="s">
        <v>168</v>
      </c>
      <c r="D29" s="106" t="s">
        <v>45</v>
      </c>
      <c r="E29" s="199"/>
      <c r="F29" s="199">
        <v>187.23</v>
      </c>
      <c r="G29" s="106">
        <f t="shared" si="0"/>
        <v>187.23</v>
      </c>
      <c r="H29" s="199"/>
      <c r="I29" s="199">
        <v>227.23000000000002</v>
      </c>
      <c r="J29" s="199">
        <v>195.62</v>
      </c>
      <c r="K29" s="199">
        <v>195.46</v>
      </c>
      <c r="L29" s="199">
        <v>195.55</v>
      </c>
      <c r="M29" s="199">
        <v>195.99</v>
      </c>
      <c r="N29" s="199">
        <v>195.62</v>
      </c>
      <c r="O29" s="33"/>
    </row>
    <row r="30" spans="2:15">
      <c r="B30" s="106">
        <f>B29+0.1</f>
        <v>5.3999999999999986</v>
      </c>
      <c r="C30" s="109" t="s">
        <v>47</v>
      </c>
      <c r="D30" s="106" t="s">
        <v>45</v>
      </c>
      <c r="E30" s="199"/>
      <c r="F30" s="199">
        <v>2978.8</v>
      </c>
      <c r="G30" s="106">
        <f t="shared" si="0"/>
        <v>2978.8</v>
      </c>
      <c r="H30" s="199"/>
      <c r="I30" s="199">
        <v>3521.3117739999998</v>
      </c>
      <c r="J30" s="199">
        <f t="shared" ref="J30:N30" si="2">J24-J29</f>
        <v>3530.38</v>
      </c>
      <c r="K30" s="199">
        <f t="shared" si="2"/>
        <v>3527.54</v>
      </c>
      <c r="L30" s="199">
        <f t="shared" si="2"/>
        <v>3529.25</v>
      </c>
      <c r="M30" s="199">
        <f t="shared" si="2"/>
        <v>3537.21</v>
      </c>
      <c r="N30" s="199">
        <f t="shared" si="2"/>
        <v>3530.38</v>
      </c>
      <c r="O30" s="33"/>
    </row>
    <row r="31" spans="2:15" ht="15">
      <c r="B31" s="106"/>
      <c r="C31" s="109"/>
      <c r="D31" s="106"/>
      <c r="E31" s="106"/>
      <c r="F31" s="21"/>
      <c r="G31" s="106"/>
      <c r="H31" s="21"/>
      <c r="I31" s="21"/>
      <c r="J31" s="33"/>
      <c r="K31" s="33"/>
      <c r="L31" s="33"/>
      <c r="M31" s="33"/>
      <c r="N31" s="33"/>
      <c r="O31" s="33"/>
    </row>
    <row r="32" spans="2:15" ht="15">
      <c r="B32" s="21">
        <v>6</v>
      </c>
      <c r="C32" s="110" t="s">
        <v>225</v>
      </c>
      <c r="D32" s="106"/>
      <c r="E32" s="106"/>
      <c r="F32" s="21"/>
      <c r="G32" s="106"/>
      <c r="H32" s="21"/>
      <c r="I32" s="21"/>
      <c r="J32" s="33"/>
      <c r="K32" s="33"/>
      <c r="L32" s="33"/>
      <c r="M32" s="33"/>
      <c r="N32" s="33"/>
      <c r="O32" s="33"/>
    </row>
    <row r="33" spans="2:15" ht="28.5">
      <c r="B33" s="106">
        <f>B32+0.1</f>
        <v>6.1</v>
      </c>
      <c r="C33" s="109" t="s">
        <v>48</v>
      </c>
      <c r="D33" s="106" t="s">
        <v>49</v>
      </c>
      <c r="E33" s="106">
        <v>2450</v>
      </c>
      <c r="F33" s="106">
        <v>2450</v>
      </c>
      <c r="G33" s="106">
        <f t="shared" si="0"/>
        <v>2450</v>
      </c>
      <c r="H33" s="106">
        <v>2450</v>
      </c>
      <c r="I33" s="106">
        <v>2450</v>
      </c>
      <c r="J33" s="106">
        <v>2450</v>
      </c>
      <c r="K33" s="106">
        <v>2450</v>
      </c>
      <c r="L33" s="106">
        <v>2450</v>
      </c>
      <c r="M33" s="106">
        <v>2450</v>
      </c>
      <c r="N33" s="106">
        <v>2450</v>
      </c>
      <c r="O33" s="33"/>
    </row>
    <row r="34" spans="2:15" ht="28.5">
      <c r="B34" s="106">
        <f>B33+0.1</f>
        <v>6.1999999999999993</v>
      </c>
      <c r="C34" s="107" t="s">
        <v>169</v>
      </c>
      <c r="D34" s="106" t="s">
        <v>49</v>
      </c>
      <c r="E34" s="106"/>
      <c r="F34" s="106">
        <v>2343.64</v>
      </c>
      <c r="G34" s="106">
        <f t="shared" si="0"/>
        <v>2343.64</v>
      </c>
      <c r="H34" s="106"/>
      <c r="I34" s="106">
        <v>2347</v>
      </c>
      <c r="J34" s="106">
        <v>2450</v>
      </c>
      <c r="K34" s="106">
        <v>2450</v>
      </c>
      <c r="L34" s="106">
        <v>2450</v>
      </c>
      <c r="M34" s="106">
        <v>2450</v>
      </c>
      <c r="N34" s="106">
        <v>2450</v>
      </c>
      <c r="O34" s="33"/>
    </row>
    <row r="35" spans="2:15" ht="15">
      <c r="B35" s="106"/>
      <c r="C35" s="107"/>
      <c r="D35" s="106"/>
      <c r="E35" s="106"/>
      <c r="F35" s="21"/>
      <c r="G35" s="106"/>
      <c r="H35" s="21"/>
      <c r="I35" s="21"/>
      <c r="J35" s="33"/>
      <c r="K35" s="33"/>
      <c r="L35" s="33"/>
      <c r="M35" s="33"/>
      <c r="N35" s="33"/>
      <c r="O35" s="33"/>
    </row>
    <row r="36" spans="2:15" ht="30">
      <c r="B36" s="21">
        <v>7</v>
      </c>
      <c r="C36" s="104" t="s">
        <v>187</v>
      </c>
      <c r="D36" s="106"/>
      <c r="E36" s="106"/>
      <c r="F36" s="21"/>
      <c r="G36" s="106"/>
      <c r="H36" s="21"/>
      <c r="I36" s="21"/>
      <c r="J36" s="33"/>
      <c r="K36" s="33"/>
      <c r="L36" s="33"/>
      <c r="M36" s="33"/>
      <c r="N36" s="33"/>
      <c r="O36" s="33"/>
    </row>
    <row r="37" spans="2:15" ht="28.5">
      <c r="B37" s="106">
        <f>B36+0.1</f>
        <v>7.1</v>
      </c>
      <c r="C37" s="107" t="s">
        <v>50</v>
      </c>
      <c r="D37" s="106" t="s">
        <v>51</v>
      </c>
      <c r="E37" s="106">
        <v>2</v>
      </c>
      <c r="F37" s="106">
        <v>2</v>
      </c>
      <c r="G37" s="106">
        <f t="shared" si="0"/>
        <v>2</v>
      </c>
      <c r="H37" s="106">
        <v>2</v>
      </c>
      <c r="I37" s="106">
        <v>2</v>
      </c>
      <c r="J37" s="106">
        <v>0.5</v>
      </c>
      <c r="K37" s="106">
        <v>0.5</v>
      </c>
      <c r="L37" s="106">
        <v>0.5</v>
      </c>
      <c r="M37" s="106">
        <v>0.5</v>
      </c>
      <c r="N37" s="106">
        <v>0.5</v>
      </c>
      <c r="O37" s="33"/>
    </row>
    <row r="38" spans="2:15" ht="28.5">
      <c r="B38" s="106">
        <f>B37+0.1</f>
        <v>7.1999999999999993</v>
      </c>
      <c r="C38" s="107" t="s">
        <v>170</v>
      </c>
      <c r="D38" s="106" t="s">
        <v>51</v>
      </c>
      <c r="E38" s="106"/>
      <c r="F38" s="106">
        <v>0.42</v>
      </c>
      <c r="G38" s="106">
        <f t="shared" si="0"/>
        <v>0.42</v>
      </c>
      <c r="H38" s="106"/>
      <c r="I38" s="233">
        <f>1250.82/3748.54</f>
        <v>0.33368191349165272</v>
      </c>
      <c r="J38" s="106">
        <v>0.5</v>
      </c>
      <c r="K38" s="106">
        <v>0.5</v>
      </c>
      <c r="L38" s="106">
        <v>0.5</v>
      </c>
      <c r="M38" s="106">
        <v>0.5</v>
      </c>
      <c r="N38" s="106">
        <v>0.5</v>
      </c>
      <c r="O38" s="33"/>
    </row>
    <row r="39" spans="2:15" ht="15">
      <c r="B39" s="106"/>
      <c r="C39" s="107"/>
      <c r="D39" s="106"/>
      <c r="E39" s="106"/>
      <c r="F39" s="21"/>
      <c r="G39" s="106"/>
      <c r="H39" s="21"/>
      <c r="I39" s="21"/>
      <c r="J39" s="33"/>
      <c r="K39" s="33"/>
      <c r="L39" s="33"/>
      <c r="M39" s="33"/>
      <c r="N39" s="33"/>
      <c r="O39" s="33"/>
    </row>
    <row r="40" spans="2:15" ht="15">
      <c r="B40" s="21">
        <v>8</v>
      </c>
      <c r="C40" s="104" t="s">
        <v>53</v>
      </c>
      <c r="D40" s="106"/>
      <c r="E40" s="106"/>
      <c r="F40" s="21"/>
      <c r="G40" s="21"/>
      <c r="H40" s="21"/>
      <c r="I40" s="21"/>
      <c r="J40" s="33"/>
      <c r="K40" s="33"/>
      <c r="L40" s="33"/>
      <c r="M40" s="33"/>
      <c r="N40" s="33"/>
      <c r="O40" s="33"/>
    </row>
    <row r="41" spans="2:15">
      <c r="B41" s="106">
        <f>B40+0.1</f>
        <v>8.1</v>
      </c>
      <c r="C41" s="107" t="s">
        <v>52</v>
      </c>
      <c r="D41" s="106" t="s">
        <v>42</v>
      </c>
      <c r="E41" s="106">
        <v>0.8</v>
      </c>
      <c r="F41" s="106">
        <v>0.8</v>
      </c>
      <c r="G41" s="106">
        <v>0.8</v>
      </c>
      <c r="H41" s="106">
        <v>0.8</v>
      </c>
      <c r="I41" s="106">
        <v>0.8</v>
      </c>
      <c r="J41" s="106">
        <v>0.8</v>
      </c>
      <c r="K41" s="106">
        <v>0.8</v>
      </c>
      <c r="L41" s="106">
        <v>0.8</v>
      </c>
      <c r="M41" s="106">
        <v>0.8</v>
      </c>
      <c r="N41" s="106">
        <v>0.8</v>
      </c>
      <c r="O41" s="33"/>
    </row>
    <row r="42" spans="2:15">
      <c r="B42" s="106">
        <f>B41+0.1</f>
        <v>8.1999999999999993</v>
      </c>
      <c r="C42" s="107" t="s">
        <v>171</v>
      </c>
      <c r="D42" s="106" t="s">
        <v>42</v>
      </c>
      <c r="E42" s="106"/>
      <c r="F42" s="106">
        <v>0.8</v>
      </c>
      <c r="G42" s="106">
        <v>0.8</v>
      </c>
      <c r="H42" s="106"/>
      <c r="I42" s="106">
        <v>0.8</v>
      </c>
      <c r="J42" s="106">
        <v>0.8</v>
      </c>
      <c r="K42" s="106">
        <v>0.8</v>
      </c>
      <c r="L42" s="106">
        <v>0.8</v>
      </c>
      <c r="M42" s="106">
        <v>0.8</v>
      </c>
      <c r="N42" s="106">
        <v>0.8</v>
      </c>
      <c r="O42" s="33"/>
    </row>
    <row r="43" spans="2:15" ht="15">
      <c r="B43" s="21"/>
      <c r="C43" s="104"/>
      <c r="D43" s="105"/>
      <c r="E43" s="106"/>
      <c r="F43" s="21"/>
      <c r="G43" s="21"/>
      <c r="H43" s="21"/>
      <c r="I43" s="21"/>
      <c r="J43" s="33"/>
      <c r="K43" s="33"/>
      <c r="L43" s="33"/>
      <c r="M43" s="33"/>
      <c r="N43" s="33"/>
      <c r="O43" s="33"/>
    </row>
    <row r="44" spans="2:15" ht="15">
      <c r="B44" s="45"/>
      <c r="C44" s="111"/>
      <c r="D44" s="112"/>
      <c r="E44" s="112"/>
      <c r="F44" s="45"/>
      <c r="G44" s="45"/>
      <c r="H44" s="45"/>
      <c r="I44" s="45"/>
    </row>
    <row r="45" spans="2:15" ht="16.5">
      <c r="D45" s="113"/>
      <c r="E45" s="113"/>
      <c r="F45" s="114"/>
      <c r="G45" s="114"/>
      <c r="H45" s="114"/>
      <c r="I45" s="114"/>
    </row>
    <row r="46" spans="2:15" ht="16.5">
      <c r="B46" s="19"/>
      <c r="F46" s="114"/>
      <c r="G46" s="114"/>
      <c r="H46" s="114"/>
      <c r="I46" s="114"/>
    </row>
    <row r="47" spans="2:15" ht="16.5">
      <c r="C47" s="55"/>
      <c r="F47" s="114"/>
      <c r="G47" s="114"/>
      <c r="H47" s="114"/>
      <c r="I47" s="114"/>
    </row>
    <row r="48" spans="2:15">
      <c r="F48" s="115"/>
      <c r="G48" s="115"/>
      <c r="H48" s="115"/>
      <c r="I48" s="115"/>
    </row>
  </sheetData>
  <mergeCells count="10">
    <mergeCell ref="B2:O2"/>
    <mergeCell ref="B3:O3"/>
    <mergeCell ref="B4:O4"/>
    <mergeCell ref="B6:B8"/>
    <mergeCell ref="C6:C8"/>
    <mergeCell ref="D6:D8"/>
    <mergeCell ref="J6:N6"/>
    <mergeCell ref="O6:O8"/>
    <mergeCell ref="E6:G6"/>
    <mergeCell ref="H6:I6"/>
  </mergeCells>
  <pageMargins left="1.41" right="0.5" top="0.43" bottom="0.63" header="0.5" footer="0.5"/>
  <pageSetup paperSize="9" scale="61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B2:V53"/>
  <sheetViews>
    <sheetView view="pageBreakPreview" zoomScale="60" workbookViewId="0">
      <selection activeCell="J2" sqref="J2:P5"/>
    </sheetView>
  </sheetViews>
  <sheetFormatPr defaultColWidth="9.28515625" defaultRowHeight="14.25"/>
  <cols>
    <col min="1" max="1" width="2.28515625" style="116" customWidth="1"/>
    <col min="2" max="2" width="9.140625" style="116" customWidth="1"/>
    <col min="3" max="3" width="39.28515625" style="116" customWidth="1"/>
    <col min="4" max="4" width="10.42578125" style="117" customWidth="1"/>
    <col min="5" max="22" width="12.42578125" style="116" customWidth="1"/>
    <col min="23" max="16384" width="9.28515625" style="116"/>
  </cols>
  <sheetData>
    <row r="2" spans="2:22" ht="15">
      <c r="J2" s="266"/>
      <c r="K2" s="266"/>
      <c r="L2" s="266"/>
      <c r="M2" s="267" t="s">
        <v>529</v>
      </c>
      <c r="N2" s="266"/>
      <c r="O2" s="266"/>
      <c r="P2" s="266"/>
    </row>
    <row r="3" spans="2:22" ht="15">
      <c r="J3" s="266"/>
      <c r="K3" s="266"/>
      <c r="L3" s="266"/>
      <c r="M3" s="267" t="s">
        <v>511</v>
      </c>
      <c r="N3" s="266"/>
      <c r="O3" s="266"/>
      <c r="P3" s="266"/>
    </row>
    <row r="4" spans="2:22" ht="15">
      <c r="J4" s="266"/>
      <c r="K4" s="266"/>
      <c r="L4" s="266"/>
      <c r="M4" s="267" t="s">
        <v>368</v>
      </c>
      <c r="N4" s="266"/>
      <c r="O4" s="266"/>
      <c r="P4" s="266"/>
    </row>
    <row r="5" spans="2:22">
      <c r="J5" s="266"/>
      <c r="K5" s="266"/>
      <c r="L5" s="266"/>
      <c r="M5" s="266"/>
      <c r="N5" s="266"/>
      <c r="O5" s="266"/>
      <c r="P5" s="266"/>
    </row>
    <row r="6" spans="2:22" ht="15">
      <c r="B6" s="323" t="s">
        <v>210</v>
      </c>
      <c r="C6" s="323" t="s">
        <v>18</v>
      </c>
      <c r="D6" s="323" t="s">
        <v>39</v>
      </c>
      <c r="E6" s="323" t="s">
        <v>513</v>
      </c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 t="s">
        <v>514</v>
      </c>
      <c r="R6" s="323"/>
      <c r="S6" s="323"/>
      <c r="T6" s="323"/>
      <c r="U6" s="323"/>
      <c r="V6" s="323"/>
    </row>
    <row r="7" spans="2:22" ht="15">
      <c r="B7" s="323"/>
      <c r="C7" s="323"/>
      <c r="D7" s="323"/>
      <c r="E7" s="119" t="s">
        <v>141</v>
      </c>
      <c r="F7" s="119" t="s">
        <v>142</v>
      </c>
      <c r="G7" s="119" t="s">
        <v>143</v>
      </c>
      <c r="H7" s="119" t="s">
        <v>144</v>
      </c>
      <c r="I7" s="119" t="s">
        <v>145</v>
      </c>
      <c r="J7" s="119" t="s">
        <v>146</v>
      </c>
      <c r="K7" s="119" t="s">
        <v>147</v>
      </c>
      <c r="L7" s="119" t="s">
        <v>148</v>
      </c>
      <c r="M7" s="119" t="s">
        <v>149</v>
      </c>
      <c r="N7" s="119" t="s">
        <v>150</v>
      </c>
      <c r="O7" s="119" t="s">
        <v>151</v>
      </c>
      <c r="P7" s="119" t="s">
        <v>152</v>
      </c>
      <c r="Q7" s="119" t="s">
        <v>141</v>
      </c>
      <c r="R7" s="119" t="s">
        <v>142</v>
      </c>
      <c r="S7" s="119" t="s">
        <v>143</v>
      </c>
      <c r="T7" s="119" t="s">
        <v>144</v>
      </c>
      <c r="U7" s="119" t="s">
        <v>145</v>
      </c>
      <c r="V7" s="119" t="s">
        <v>146</v>
      </c>
    </row>
    <row r="8" spans="2:22" ht="15">
      <c r="B8" s="119" t="s">
        <v>67</v>
      </c>
      <c r="C8" s="121" t="s">
        <v>341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2:22" ht="34.5" customHeight="1">
      <c r="B9" s="120">
        <v>1</v>
      </c>
      <c r="C9" s="34" t="s">
        <v>455</v>
      </c>
      <c r="D9" s="120" t="s">
        <v>343</v>
      </c>
      <c r="E9" s="34">
        <v>100648.0013</v>
      </c>
      <c r="F9" s="34">
        <v>135112.53130000003</v>
      </c>
      <c r="G9" s="34">
        <v>179850.29130000039</v>
      </c>
      <c r="H9" s="34">
        <v>325482.83000000042</v>
      </c>
      <c r="I9" s="34">
        <v>300041.81000000052</v>
      </c>
      <c r="J9" s="34">
        <v>295350.47000000067</v>
      </c>
      <c r="K9" s="34">
        <v>199884.58000000147</v>
      </c>
      <c r="L9" s="34">
        <v>193785.48000000126</v>
      </c>
      <c r="M9" s="34">
        <v>322239.12000000197</v>
      </c>
      <c r="N9" s="34">
        <v>340589.00000000169</v>
      </c>
      <c r="O9" s="34">
        <v>358420.88000000129</v>
      </c>
      <c r="P9" s="34">
        <v>394663.71000000194</v>
      </c>
      <c r="Q9" s="185">
        <v>419344.62000000203</v>
      </c>
      <c r="R9" s="185">
        <v>383928.68000000168</v>
      </c>
      <c r="S9" s="185">
        <v>350921.50000000163</v>
      </c>
      <c r="T9" s="185">
        <v>313434.63000000134</v>
      </c>
      <c r="U9" s="185">
        <v>241377.9300000011</v>
      </c>
      <c r="V9" s="185">
        <v>185456.74000000115</v>
      </c>
    </row>
    <row r="10" spans="2:22" ht="34.5" customHeight="1">
      <c r="B10" s="120">
        <f>B9+1</f>
        <v>2</v>
      </c>
      <c r="C10" s="34" t="s">
        <v>342</v>
      </c>
      <c r="D10" s="188" t="s">
        <v>488</v>
      </c>
      <c r="E10" s="186">
        <v>46.733567846581032</v>
      </c>
      <c r="F10" s="186">
        <v>66.764902291943216</v>
      </c>
      <c r="G10" s="186">
        <v>86.650624804231541</v>
      </c>
      <c r="H10" s="186">
        <v>157.97229946477364</v>
      </c>
      <c r="I10" s="186">
        <v>147.18677604203029</v>
      </c>
      <c r="J10" s="186">
        <v>146.6645851585543</v>
      </c>
      <c r="K10" s="186">
        <v>98.557806458654596</v>
      </c>
      <c r="L10" s="186">
        <v>100.48117983325758</v>
      </c>
      <c r="M10" s="186">
        <v>172.71668117210774</v>
      </c>
      <c r="N10" s="186">
        <v>185.42789790262731</v>
      </c>
      <c r="O10" s="186">
        <v>193.08398775722807</v>
      </c>
      <c r="P10" s="186">
        <v>212.41975225429599</v>
      </c>
      <c r="Q10" s="186">
        <v>223.73654778833441</v>
      </c>
      <c r="R10" s="186">
        <v>205.57214733886119</v>
      </c>
      <c r="S10" s="186">
        <v>171.97786801971461</v>
      </c>
      <c r="T10" s="186">
        <v>154.15349879643045</v>
      </c>
      <c r="U10" s="186">
        <v>120.96042657067036</v>
      </c>
      <c r="V10" s="186">
        <v>93.93726722542857</v>
      </c>
    </row>
    <row r="11" spans="2:22" ht="34.5" customHeight="1">
      <c r="B11" s="119" t="s">
        <v>71</v>
      </c>
      <c r="C11" s="121" t="s">
        <v>344</v>
      </c>
      <c r="D11" s="120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</row>
    <row r="12" spans="2:22" ht="34.5" customHeight="1">
      <c r="B12" s="120">
        <f>B10+1</f>
        <v>3</v>
      </c>
      <c r="C12" s="122" t="s">
        <v>456</v>
      </c>
      <c r="D12" s="120" t="s">
        <v>343</v>
      </c>
      <c r="E12" s="185">
        <v>405650.27</v>
      </c>
      <c r="F12" s="185">
        <v>421791.01</v>
      </c>
      <c r="G12" s="185">
        <v>382810.07</v>
      </c>
      <c r="H12" s="185">
        <v>243450.41</v>
      </c>
      <c r="I12" s="185">
        <v>369902.83</v>
      </c>
      <c r="J12" s="185">
        <v>346604.66</v>
      </c>
      <c r="K12" s="185">
        <v>412038.86999999901</v>
      </c>
      <c r="L12" s="185">
        <v>457554.10000000102</v>
      </c>
      <c r="M12" s="185">
        <v>438417.97</v>
      </c>
      <c r="N12" s="185">
        <v>418554.010000001</v>
      </c>
      <c r="O12" s="185">
        <v>414168.89</v>
      </c>
      <c r="P12" s="185">
        <v>451546.6</v>
      </c>
      <c r="Q12" s="185">
        <v>353229.38999999978</v>
      </c>
      <c r="R12" s="185">
        <v>374749.42000000027</v>
      </c>
      <c r="S12" s="185">
        <v>365524.06000000029</v>
      </c>
      <c r="T12" s="185">
        <v>299048.15000000008</v>
      </c>
      <c r="U12" s="185">
        <v>369795.9</v>
      </c>
      <c r="V12" s="185">
        <v>385553.2900000001</v>
      </c>
    </row>
    <row r="13" spans="2:22" ht="34.5" customHeight="1">
      <c r="B13" s="120">
        <f>B12+1</f>
        <v>4</v>
      </c>
      <c r="C13" s="122" t="s">
        <v>457</v>
      </c>
      <c r="D13" s="120" t="s">
        <v>343</v>
      </c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</row>
    <row r="14" spans="2:22" ht="34.5" customHeight="1">
      <c r="B14" s="120">
        <f>B13+1</f>
        <v>5</v>
      </c>
      <c r="C14" s="122" t="s">
        <v>458</v>
      </c>
      <c r="D14" s="120" t="s">
        <v>343</v>
      </c>
      <c r="E14" s="185">
        <v>405650.27</v>
      </c>
      <c r="F14" s="185">
        <v>421791.01</v>
      </c>
      <c r="G14" s="185">
        <v>382810.07</v>
      </c>
      <c r="H14" s="185">
        <v>243450.41</v>
      </c>
      <c r="I14" s="185">
        <v>369902.83</v>
      </c>
      <c r="J14" s="185">
        <v>346604.66</v>
      </c>
      <c r="K14" s="185">
        <v>412038.86999999901</v>
      </c>
      <c r="L14" s="185">
        <v>457554.10000000102</v>
      </c>
      <c r="M14" s="185">
        <v>438417.97</v>
      </c>
      <c r="N14" s="185">
        <v>418554.010000001</v>
      </c>
      <c r="O14" s="185">
        <v>414168.89</v>
      </c>
      <c r="P14" s="185">
        <v>451546.6</v>
      </c>
      <c r="Q14" s="185">
        <v>353229.38999999978</v>
      </c>
      <c r="R14" s="185">
        <v>374749.42000000027</v>
      </c>
      <c r="S14" s="185">
        <v>365524.06000000029</v>
      </c>
      <c r="T14" s="185">
        <v>299048.15000000008</v>
      </c>
      <c r="U14" s="185">
        <v>369795.9</v>
      </c>
      <c r="V14" s="185">
        <v>385553.2900000001</v>
      </c>
    </row>
    <row r="15" spans="2:22" ht="34.5" customHeight="1">
      <c r="B15" s="120">
        <f>B14+1</f>
        <v>6</v>
      </c>
      <c r="C15" s="122" t="s">
        <v>345</v>
      </c>
      <c r="D15" s="120" t="s">
        <v>343</v>
      </c>
      <c r="E15" s="185">
        <v>3245.2021599999862</v>
      </c>
      <c r="F15" s="185">
        <v>3374.3280800000066</v>
      </c>
      <c r="G15" s="185">
        <v>3062.4805599999963</v>
      </c>
      <c r="H15" s="185">
        <v>1947.6032800000103</v>
      </c>
      <c r="I15" s="185">
        <v>2959.2226399999927</v>
      </c>
      <c r="J15" s="185">
        <v>2772.8372799999779</v>
      </c>
      <c r="K15" s="185">
        <v>3296.3109599999734</v>
      </c>
      <c r="L15" s="185">
        <v>3660.4328000000096</v>
      </c>
      <c r="M15" s="185">
        <v>3507.3437600000179</v>
      </c>
      <c r="N15" s="185">
        <v>3348.4320799999987</v>
      </c>
      <c r="O15" s="185">
        <v>3313.3511200000066</v>
      </c>
      <c r="P15" s="185">
        <v>3612.3728000000119</v>
      </c>
      <c r="Q15" s="185">
        <v>2825.8351200000034</v>
      </c>
      <c r="R15" s="185">
        <v>2997.9953600000008</v>
      </c>
      <c r="S15" s="185">
        <v>2924.192480000027</v>
      </c>
      <c r="T15" s="185">
        <v>2392.3852000000188</v>
      </c>
      <c r="U15" s="185">
        <v>2958.3671999999788</v>
      </c>
      <c r="V15" s="185">
        <v>3084.4263200000278</v>
      </c>
    </row>
    <row r="16" spans="2:22" ht="34.5" customHeight="1">
      <c r="B16" s="120">
        <f>B15+1</f>
        <v>7</v>
      </c>
      <c r="C16" s="122" t="s">
        <v>459</v>
      </c>
      <c r="D16" s="120" t="s">
        <v>343</v>
      </c>
      <c r="E16" s="138">
        <f>E14-E15</f>
        <v>402405.06784000003</v>
      </c>
      <c r="F16" s="138">
        <f t="shared" ref="F16:V16" si="0">F14-F15</f>
        <v>418416.68192</v>
      </c>
      <c r="G16" s="138">
        <f t="shared" si="0"/>
        <v>379747.58944000001</v>
      </c>
      <c r="H16" s="138">
        <f t="shared" si="0"/>
        <v>241502.80671999999</v>
      </c>
      <c r="I16" s="138">
        <f t="shared" si="0"/>
        <v>366943.60736000002</v>
      </c>
      <c r="J16" s="138">
        <f t="shared" si="0"/>
        <v>343831.82272</v>
      </c>
      <c r="K16" s="138">
        <f t="shared" si="0"/>
        <v>408742.55903999903</v>
      </c>
      <c r="L16" s="138">
        <f t="shared" si="0"/>
        <v>453893.66720000101</v>
      </c>
      <c r="M16" s="138">
        <f t="shared" si="0"/>
        <v>434910.62623999995</v>
      </c>
      <c r="N16" s="138">
        <f t="shared" si="0"/>
        <v>415205.577920001</v>
      </c>
      <c r="O16" s="138">
        <f t="shared" si="0"/>
        <v>410855.53888000001</v>
      </c>
      <c r="P16" s="138">
        <f t="shared" si="0"/>
        <v>447934.22719999996</v>
      </c>
      <c r="Q16" s="138">
        <f t="shared" si="0"/>
        <v>350403.55487999978</v>
      </c>
      <c r="R16" s="138">
        <f t="shared" si="0"/>
        <v>371751.42464000027</v>
      </c>
      <c r="S16" s="138">
        <f t="shared" si="0"/>
        <v>362599.86752000026</v>
      </c>
      <c r="T16" s="138">
        <f t="shared" si="0"/>
        <v>296655.76480000006</v>
      </c>
      <c r="U16" s="138">
        <f t="shared" si="0"/>
        <v>366837.53280000004</v>
      </c>
      <c r="V16" s="138">
        <f t="shared" si="0"/>
        <v>382468.86368000007</v>
      </c>
    </row>
    <row r="17" spans="2:22" ht="34.5" customHeight="1">
      <c r="B17" s="119" t="s">
        <v>72</v>
      </c>
      <c r="C17" s="135" t="s">
        <v>346</v>
      </c>
      <c r="D17" s="120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2:22" ht="34.5" customHeight="1">
      <c r="B18" s="120">
        <f>B16+1</f>
        <v>8</v>
      </c>
      <c r="C18" s="122" t="s">
        <v>460</v>
      </c>
      <c r="D18" s="188" t="s">
        <v>488</v>
      </c>
      <c r="E18" s="186">
        <v>193.23183790499999</v>
      </c>
      <c r="F18" s="186">
        <v>193.86014522899998</v>
      </c>
      <c r="G18" s="186">
        <v>183.53720026999974</v>
      </c>
      <c r="H18" s="186">
        <v>118.60331467299996</v>
      </c>
      <c r="I18" s="186">
        <v>184.40769582999965</v>
      </c>
      <c r="J18" s="186">
        <v>165.66655148600034</v>
      </c>
      <c r="K18" s="186">
        <v>208.28106104033324</v>
      </c>
      <c r="L18" s="186">
        <v>244.92760525933357</v>
      </c>
      <c r="M18" s="186">
        <v>233.5967484353331</v>
      </c>
      <c r="N18" s="186">
        <v>212.03547428900026</v>
      </c>
      <c r="O18" s="186">
        <v>212.46525175400006</v>
      </c>
      <c r="P18" s="186">
        <v>228.00372218299984</v>
      </c>
      <c r="Q18" s="186">
        <v>184.11515661900035</v>
      </c>
      <c r="R18" s="186">
        <v>164.53440654899975</v>
      </c>
      <c r="S18" s="186">
        <v>177.76111893799995</v>
      </c>
      <c r="T18" s="186">
        <v>147.0410428909999</v>
      </c>
      <c r="U18" s="186">
        <v>183.71341298599981</v>
      </c>
      <c r="V18" s="186">
        <v>194.61170495800027</v>
      </c>
    </row>
    <row r="19" spans="2:22" ht="34.5" customHeight="1">
      <c r="B19" s="120">
        <f>B18+1</f>
        <v>9</v>
      </c>
      <c r="C19" s="122" t="s">
        <v>461</v>
      </c>
      <c r="D19" s="188" t="s">
        <v>488</v>
      </c>
      <c r="E19" s="186">
        <v>-0.83516510499998631</v>
      </c>
      <c r="F19" s="186">
        <v>-5.0506671270000094</v>
      </c>
      <c r="G19" s="186">
        <v>-9.0982244599999884</v>
      </c>
      <c r="H19" s="186">
        <v>-4.7220511269999923</v>
      </c>
      <c r="I19" s="186">
        <v>-9.3063879749999963</v>
      </c>
      <c r="J19" s="186">
        <v>-5.3913488449999916</v>
      </c>
      <c r="K19" s="186">
        <v>-2.8960677057151867</v>
      </c>
      <c r="L19" s="186">
        <v>-9.7002618649999999</v>
      </c>
      <c r="M19" s="186">
        <v>-4.6610092450000007</v>
      </c>
      <c r="N19" s="186">
        <v>-2.1359374819999801</v>
      </c>
      <c r="O19" s="186">
        <v>-2.4947205729999973</v>
      </c>
      <c r="P19" s="186">
        <v>-1.9981046470000021</v>
      </c>
      <c r="Q19" s="186">
        <v>-3.9877953100000174</v>
      </c>
      <c r="R19" s="186">
        <v>-9.9460530210000009</v>
      </c>
      <c r="S19" s="186">
        <v>-8.027760365999999</v>
      </c>
      <c r="T19" s="186">
        <v>-6.1236465810000089</v>
      </c>
      <c r="U19" s="186">
        <v>-7.501833371000008</v>
      </c>
      <c r="V19" s="186">
        <v>-5.8878228380000044</v>
      </c>
    </row>
    <row r="20" spans="2:22" ht="34.5" customHeight="1">
      <c r="B20" s="120">
        <f>B19+1</f>
        <v>10</v>
      </c>
      <c r="C20" s="122" t="s">
        <v>347</v>
      </c>
      <c r="D20" s="188" t="s">
        <v>488</v>
      </c>
      <c r="E20" s="186">
        <v>0.69813317099999994</v>
      </c>
      <c r="F20" s="186">
        <v>0.70267827100000002</v>
      </c>
      <c r="G20" s="186">
        <v>0.86940595099999995</v>
      </c>
      <c r="H20" s="186">
        <v>0.88533460300000011</v>
      </c>
      <c r="I20" s="186">
        <v>0.71306572499999998</v>
      </c>
      <c r="J20" s="186">
        <v>0.72974251300000004</v>
      </c>
      <c r="K20" s="186">
        <v>0.70595548433333333</v>
      </c>
      <c r="L20" s="186">
        <v>0.78780898433333335</v>
      </c>
      <c r="M20" s="186">
        <v>0.71182621933333334</v>
      </c>
      <c r="N20" s="186">
        <v>2.1708245904959997</v>
      </c>
      <c r="O20" s="186">
        <v>1.097929309</v>
      </c>
      <c r="P20" s="186">
        <v>1.4348647889999999</v>
      </c>
      <c r="Q20" s="186">
        <v>0.74496517700000009</v>
      </c>
      <c r="R20" s="186">
        <v>2.5661117999999998</v>
      </c>
      <c r="S20" s="186">
        <v>1.6397645381112602</v>
      </c>
      <c r="T20" s="186">
        <v>3.9464664914629726</v>
      </c>
      <c r="U20" s="186">
        <v>3.065783117033519</v>
      </c>
      <c r="V20" s="186">
        <v>2.83593151937764</v>
      </c>
    </row>
    <row r="21" spans="2:22" ht="34.5" customHeight="1">
      <c r="B21" s="120">
        <f>B20+1</f>
        <v>11</v>
      </c>
      <c r="C21" s="122" t="s">
        <v>348</v>
      </c>
      <c r="D21" s="188" t="s">
        <v>488</v>
      </c>
      <c r="E21" s="138">
        <f>E18+E19+E20</f>
        <v>193.094805971</v>
      </c>
      <c r="F21" s="138">
        <f t="shared" ref="F21:V21" si="1">F18+F19+F20</f>
        <v>189.51215637299998</v>
      </c>
      <c r="G21" s="138">
        <f t="shared" si="1"/>
        <v>175.30838176099977</v>
      </c>
      <c r="H21" s="138">
        <f t="shared" si="1"/>
        <v>114.76659814899998</v>
      </c>
      <c r="I21" s="138">
        <f t="shared" si="1"/>
        <v>175.81437357999965</v>
      </c>
      <c r="J21" s="138">
        <f t="shared" si="1"/>
        <v>161.00494515400035</v>
      </c>
      <c r="K21" s="138">
        <f t="shared" si="1"/>
        <v>206.0909488189514</v>
      </c>
      <c r="L21" s="138">
        <f t="shared" si="1"/>
        <v>236.01515237866693</v>
      </c>
      <c r="M21" s="138">
        <f t="shared" si="1"/>
        <v>229.64756540966644</v>
      </c>
      <c r="N21" s="138">
        <f t="shared" si="1"/>
        <v>212.0703613974963</v>
      </c>
      <c r="O21" s="138">
        <f t="shared" si="1"/>
        <v>211.06846049000006</v>
      </c>
      <c r="P21" s="138">
        <f t="shared" si="1"/>
        <v>227.44048232499983</v>
      </c>
      <c r="Q21" s="138">
        <f t="shared" si="1"/>
        <v>180.87232648600033</v>
      </c>
      <c r="R21" s="138">
        <f t="shared" si="1"/>
        <v>157.15446532799973</v>
      </c>
      <c r="S21" s="138">
        <f t="shared" si="1"/>
        <v>171.37312311011121</v>
      </c>
      <c r="T21" s="138">
        <f t="shared" si="1"/>
        <v>144.86386280146289</v>
      </c>
      <c r="U21" s="138">
        <f t="shared" si="1"/>
        <v>179.27736273203334</v>
      </c>
      <c r="V21" s="138">
        <f t="shared" si="1"/>
        <v>191.55981363937792</v>
      </c>
    </row>
    <row r="22" spans="2:22" ht="34.5" customHeight="1">
      <c r="B22" s="119" t="s">
        <v>349</v>
      </c>
      <c r="C22" s="135" t="s">
        <v>350</v>
      </c>
      <c r="D22" s="120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2:22" ht="34.5" customHeight="1">
      <c r="B23" s="120">
        <f>B21+1</f>
        <v>12</v>
      </c>
      <c r="C23" s="122" t="s">
        <v>351</v>
      </c>
      <c r="D23" s="120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2:22" ht="34.5" customHeight="1">
      <c r="B24" s="120"/>
      <c r="C24" s="122" t="s">
        <v>352</v>
      </c>
      <c r="D24" s="188" t="s">
        <v>488</v>
      </c>
      <c r="E24" s="186">
        <v>8.7517444411780172</v>
      </c>
      <c r="F24" s="186">
        <v>10.409482825844005</v>
      </c>
      <c r="G24" s="186">
        <v>9.6404630476874988</v>
      </c>
      <c r="H24" s="186">
        <v>5.3982991000924994</v>
      </c>
      <c r="I24" s="186">
        <v>8.2092240872424984</v>
      </c>
      <c r="J24" s="186">
        <v>7.4943742652600038</v>
      </c>
      <c r="K24" s="186">
        <v>10.935121333165011</v>
      </c>
      <c r="L24" s="186">
        <v>10.652681752502502</v>
      </c>
      <c r="M24" s="186">
        <v>9.8530764756075051</v>
      </c>
      <c r="N24" s="186">
        <v>9.6538882814700049</v>
      </c>
      <c r="O24" s="186">
        <v>9.8950108251075033</v>
      </c>
      <c r="P24" s="186">
        <v>9.6983018881550009</v>
      </c>
      <c r="Q24" s="186">
        <v>7.5478450940924944</v>
      </c>
      <c r="R24" s="186">
        <v>7.6133445626099956</v>
      </c>
      <c r="S24" s="186">
        <v>7.5732678431584981</v>
      </c>
      <c r="T24" s="186">
        <v>6.7139635554729997</v>
      </c>
      <c r="U24" s="186">
        <v>7.8345862803084998</v>
      </c>
      <c r="V24" s="186">
        <v>8.3461683585765059</v>
      </c>
    </row>
    <row r="25" spans="2:22" ht="34.5" customHeight="1">
      <c r="B25" s="120"/>
      <c r="C25" s="122" t="s">
        <v>353</v>
      </c>
      <c r="D25" s="188" t="s">
        <v>488</v>
      </c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</row>
    <row r="26" spans="2:22" ht="34.5" customHeight="1">
      <c r="B26" s="120"/>
      <c r="C26" s="122" t="s">
        <v>354</v>
      </c>
      <c r="D26" s="188" t="s">
        <v>488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2:22" ht="34.5" customHeight="1">
      <c r="B27" s="120"/>
      <c r="C27" s="122" t="s">
        <v>9</v>
      </c>
      <c r="D27" s="188" t="s">
        <v>488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2:22" ht="34.5" customHeight="1">
      <c r="B28" s="120">
        <f>B23+1</f>
        <v>13</v>
      </c>
      <c r="C28" s="122" t="s">
        <v>462</v>
      </c>
      <c r="D28" s="188" t="s">
        <v>488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spans="2:22" ht="34.5" customHeight="1">
      <c r="B29" s="120">
        <f>B28+1</f>
        <v>14</v>
      </c>
      <c r="C29" s="122" t="s">
        <v>355</v>
      </c>
      <c r="D29" s="188" t="s">
        <v>488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2:22" ht="34.5" customHeight="1">
      <c r="B30" s="120">
        <f>B29+1</f>
        <v>15</v>
      </c>
      <c r="C30" s="122" t="s">
        <v>463</v>
      </c>
      <c r="D30" s="188" t="s">
        <v>488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spans="2:22" ht="34.5" customHeight="1">
      <c r="B31" s="120">
        <f>B30+1</f>
        <v>16</v>
      </c>
      <c r="C31" s="122" t="s">
        <v>356</v>
      </c>
      <c r="D31" s="188" t="s">
        <v>488</v>
      </c>
      <c r="E31" s="139">
        <f>SUM(E24:E30)</f>
        <v>8.7517444411780172</v>
      </c>
      <c r="F31" s="139">
        <f t="shared" ref="F31:V31" si="2">SUM(F24:F30)</f>
        <v>10.409482825844005</v>
      </c>
      <c r="G31" s="139">
        <f t="shared" si="2"/>
        <v>9.6404630476874988</v>
      </c>
      <c r="H31" s="139">
        <f t="shared" si="2"/>
        <v>5.3982991000924994</v>
      </c>
      <c r="I31" s="139">
        <f t="shared" si="2"/>
        <v>8.2092240872424984</v>
      </c>
      <c r="J31" s="139">
        <f t="shared" si="2"/>
        <v>7.4943742652600038</v>
      </c>
      <c r="K31" s="139">
        <f t="shared" si="2"/>
        <v>10.935121333165011</v>
      </c>
      <c r="L31" s="139">
        <f t="shared" si="2"/>
        <v>10.652681752502502</v>
      </c>
      <c r="M31" s="139">
        <f t="shared" si="2"/>
        <v>9.8530764756075051</v>
      </c>
      <c r="N31" s="139">
        <f t="shared" si="2"/>
        <v>9.6538882814700049</v>
      </c>
      <c r="O31" s="139">
        <f t="shared" si="2"/>
        <v>9.8950108251075033</v>
      </c>
      <c r="P31" s="139">
        <f t="shared" si="2"/>
        <v>9.6983018881550009</v>
      </c>
      <c r="Q31" s="139">
        <f t="shared" si="2"/>
        <v>7.5478450940924944</v>
      </c>
      <c r="R31" s="139">
        <f t="shared" si="2"/>
        <v>7.6133445626099956</v>
      </c>
      <c r="S31" s="139">
        <f t="shared" si="2"/>
        <v>7.5732678431584981</v>
      </c>
      <c r="T31" s="139">
        <f t="shared" si="2"/>
        <v>6.7139635554729997</v>
      </c>
      <c r="U31" s="139">
        <f t="shared" si="2"/>
        <v>7.8345862803084998</v>
      </c>
      <c r="V31" s="139">
        <f t="shared" si="2"/>
        <v>8.3461683585765059</v>
      </c>
    </row>
    <row r="32" spans="2:22" ht="34.5" customHeight="1">
      <c r="B32" s="120">
        <f>B31+1</f>
        <v>17</v>
      </c>
      <c r="C32" s="122" t="s">
        <v>464</v>
      </c>
      <c r="D32" s="188" t="s">
        <v>488</v>
      </c>
      <c r="E32" s="139">
        <f>E21+E31</f>
        <v>201.846550412178</v>
      </c>
      <c r="F32" s="139">
        <f t="shared" ref="F32:V32" si="3">F21+F31</f>
        <v>199.92163919884399</v>
      </c>
      <c r="G32" s="139">
        <f t="shared" si="3"/>
        <v>184.94884480868726</v>
      </c>
      <c r="H32" s="139">
        <f t="shared" si="3"/>
        <v>120.16489724909248</v>
      </c>
      <c r="I32" s="139">
        <f t="shared" si="3"/>
        <v>184.02359766724214</v>
      </c>
      <c r="J32" s="139">
        <f t="shared" si="3"/>
        <v>168.49931941926036</v>
      </c>
      <c r="K32" s="139">
        <f t="shared" si="3"/>
        <v>217.0260701521164</v>
      </c>
      <c r="L32" s="139">
        <f t="shared" si="3"/>
        <v>246.66783413116943</v>
      </c>
      <c r="M32" s="139">
        <f t="shared" si="3"/>
        <v>239.50064188527395</v>
      </c>
      <c r="N32" s="139">
        <f t="shared" si="3"/>
        <v>221.72424967896632</v>
      </c>
      <c r="O32" s="139">
        <f t="shared" si="3"/>
        <v>220.96347131510757</v>
      </c>
      <c r="P32" s="139">
        <f t="shared" si="3"/>
        <v>237.13878421315485</v>
      </c>
      <c r="Q32" s="139">
        <f t="shared" si="3"/>
        <v>188.42017158009281</v>
      </c>
      <c r="R32" s="139">
        <f t="shared" si="3"/>
        <v>164.76780989060973</v>
      </c>
      <c r="S32" s="139">
        <f t="shared" si="3"/>
        <v>178.94639095326971</v>
      </c>
      <c r="T32" s="139">
        <f t="shared" si="3"/>
        <v>151.57782635693587</v>
      </c>
      <c r="U32" s="139">
        <f t="shared" si="3"/>
        <v>187.11194901234182</v>
      </c>
      <c r="V32" s="139">
        <f t="shared" si="3"/>
        <v>199.90598199795443</v>
      </c>
    </row>
    <row r="33" spans="2:22" ht="34.5" customHeight="1">
      <c r="B33" s="119" t="s">
        <v>357</v>
      </c>
      <c r="C33" s="135" t="s">
        <v>201</v>
      </c>
      <c r="D33" s="120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2:22" ht="34.5" customHeight="1">
      <c r="B34" s="120">
        <f>B32+1</f>
        <v>18</v>
      </c>
      <c r="C34" s="122" t="s">
        <v>465</v>
      </c>
      <c r="D34" s="120" t="s">
        <v>358</v>
      </c>
      <c r="E34" s="138">
        <f t="shared" ref="E34:V34" si="4">IFERROR((E10+E32)/(E9+E16),0)*10000000</f>
        <v>4941.4293144801186</v>
      </c>
      <c r="F34" s="138">
        <f t="shared" si="4"/>
        <v>4817.9307455050739</v>
      </c>
      <c r="G34" s="138">
        <f t="shared" si="4"/>
        <v>4853.4756645926072</v>
      </c>
      <c r="H34" s="138">
        <f t="shared" si="4"/>
        <v>4905.5421989679262</v>
      </c>
      <c r="I34" s="138">
        <f t="shared" si="4"/>
        <v>4965.7813362732632</v>
      </c>
      <c r="J34" s="138">
        <f t="shared" si="4"/>
        <v>4930.7358505920765</v>
      </c>
      <c r="K34" s="138">
        <f t="shared" si="4"/>
        <v>5185.1758879590489</v>
      </c>
      <c r="L34" s="138">
        <f t="shared" si="4"/>
        <v>5359.8917838438283</v>
      </c>
      <c r="M34" s="138">
        <f t="shared" si="4"/>
        <v>5444.3302015809795</v>
      </c>
      <c r="N34" s="138">
        <f t="shared" si="4"/>
        <v>5387.074206090545</v>
      </c>
      <c r="O34" s="138">
        <f t="shared" si="4"/>
        <v>5382.2975579461063</v>
      </c>
      <c r="P34" s="138">
        <f t="shared" si="4"/>
        <v>5335.3861506160101</v>
      </c>
      <c r="Q34" s="138">
        <f t="shared" si="4"/>
        <v>5354.435811850798</v>
      </c>
      <c r="R34" s="138">
        <f t="shared" si="4"/>
        <v>4900.7503963055497</v>
      </c>
      <c r="S34" s="138">
        <f t="shared" si="4"/>
        <v>4918.2025226896503</v>
      </c>
      <c r="T34" s="138">
        <f t="shared" si="4"/>
        <v>5011.2463293835435</v>
      </c>
      <c r="U34" s="138">
        <f t="shared" si="4"/>
        <v>5065.1848633502323</v>
      </c>
      <c r="V34" s="138">
        <f t="shared" si="4"/>
        <v>5173.9743254989698</v>
      </c>
    </row>
    <row r="35" spans="2:22" ht="34.5" customHeight="1">
      <c r="B35" s="120">
        <f>B34+1</f>
        <v>19</v>
      </c>
      <c r="C35" s="122" t="s">
        <v>359</v>
      </c>
      <c r="D35" s="120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2:22" ht="34.5" customHeight="1">
      <c r="B36" s="120">
        <f>B35+1</f>
        <v>20</v>
      </c>
      <c r="C36" s="122" t="s">
        <v>466</v>
      </c>
      <c r="D36" s="120" t="s">
        <v>358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spans="2:22" ht="34.5" customHeight="1">
      <c r="B37" s="119" t="s">
        <v>360</v>
      </c>
      <c r="C37" s="121" t="s">
        <v>361</v>
      </c>
      <c r="D37" s="120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2:22" ht="34.5" customHeight="1">
      <c r="B38" s="120">
        <f>B36+1</f>
        <v>21</v>
      </c>
      <c r="C38" s="122" t="s">
        <v>467</v>
      </c>
      <c r="D38" s="120" t="s">
        <v>362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spans="2:22" ht="34.5" customHeight="1">
      <c r="B39" s="120">
        <f>B38+1</f>
        <v>22</v>
      </c>
      <c r="C39" s="122" t="s">
        <v>468</v>
      </c>
      <c r="D39" s="120" t="s">
        <v>362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2:22" ht="34.5" customHeight="1">
      <c r="B40" s="120">
        <f t="shared" ref="B40:B47" si="5">B39+1</f>
        <v>23</v>
      </c>
      <c r="C40" s="122" t="s">
        <v>469</v>
      </c>
      <c r="D40" s="120" t="s">
        <v>362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2:22" ht="34.5" customHeight="1">
      <c r="B41" s="120">
        <f t="shared" si="5"/>
        <v>24</v>
      </c>
      <c r="C41" s="122" t="s">
        <v>470</v>
      </c>
      <c r="D41" s="120" t="s">
        <v>362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2:22" ht="34.5" customHeight="1">
      <c r="B42" s="120">
        <f t="shared" si="5"/>
        <v>25</v>
      </c>
      <c r="C42" s="122" t="s">
        <v>471</v>
      </c>
      <c r="D42" s="120" t="s">
        <v>362</v>
      </c>
      <c r="E42" s="185">
        <v>4273</v>
      </c>
      <c r="F42" s="185">
        <v>4185</v>
      </c>
      <c r="G42" s="185">
        <v>4303</v>
      </c>
      <c r="H42" s="185">
        <v>4527</v>
      </c>
      <c r="I42" s="185">
        <v>4503</v>
      </c>
      <c r="J42" s="185">
        <v>4400</v>
      </c>
      <c r="K42" s="185">
        <v>4185</v>
      </c>
      <c r="L42" s="185">
        <v>4395</v>
      </c>
      <c r="M42" s="185">
        <v>3981</v>
      </c>
      <c r="N42" s="185">
        <v>3999</v>
      </c>
      <c r="O42" s="185">
        <v>3751</v>
      </c>
      <c r="P42" s="185">
        <v>4027</v>
      </c>
      <c r="Q42" s="185">
        <v>4323</v>
      </c>
      <c r="R42" s="185">
        <v>4762</v>
      </c>
      <c r="S42" s="185">
        <v>5076</v>
      </c>
      <c r="T42" s="185">
        <v>3719</v>
      </c>
      <c r="U42" s="185">
        <v>3783</v>
      </c>
      <c r="V42" s="185">
        <v>3714</v>
      </c>
    </row>
    <row r="43" spans="2:22" ht="34.5" customHeight="1">
      <c r="B43" s="120">
        <f t="shared" si="5"/>
        <v>26</v>
      </c>
      <c r="C43" s="122" t="s">
        <v>472</v>
      </c>
      <c r="D43" s="120" t="s">
        <v>362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2:22" ht="34.5" customHeight="1">
      <c r="B44" s="120">
        <f t="shared" si="5"/>
        <v>27</v>
      </c>
      <c r="C44" s="122" t="s">
        <v>473</v>
      </c>
      <c r="D44" s="120" t="s">
        <v>362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2:22" ht="34.5" customHeight="1">
      <c r="B45" s="120">
        <f t="shared" si="5"/>
        <v>28</v>
      </c>
      <c r="C45" s="122" t="s">
        <v>474</v>
      </c>
      <c r="D45" s="120" t="s">
        <v>362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2:22" ht="34.5" customHeight="1">
      <c r="B46" s="120">
        <f t="shared" si="5"/>
        <v>29</v>
      </c>
      <c r="C46" s="122" t="s">
        <v>474</v>
      </c>
      <c r="D46" s="120" t="s">
        <v>362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2:22" ht="34.5" customHeight="1">
      <c r="B47" s="120">
        <f t="shared" si="5"/>
        <v>30</v>
      </c>
      <c r="C47" s="122" t="s">
        <v>475</v>
      </c>
      <c r="D47" s="120" t="s">
        <v>362</v>
      </c>
      <c r="E47" s="185">
        <v>3752</v>
      </c>
      <c r="F47" s="185">
        <v>3739</v>
      </c>
      <c r="G47" s="185">
        <v>4040</v>
      </c>
      <c r="H47" s="185">
        <v>3687</v>
      </c>
      <c r="I47" s="185">
        <v>4057</v>
      </c>
      <c r="J47" s="185">
        <v>3818</v>
      </c>
      <c r="K47" s="185">
        <v>3568</v>
      </c>
      <c r="L47" s="185">
        <v>3915</v>
      </c>
      <c r="M47" s="185">
        <v>3664</v>
      </c>
      <c r="N47" s="185">
        <v>3737</v>
      </c>
      <c r="O47" s="185">
        <v>3775.51</v>
      </c>
      <c r="P47" s="185">
        <v>3762</v>
      </c>
      <c r="Q47" s="185">
        <v>3756</v>
      </c>
      <c r="R47" s="185">
        <v>4365</v>
      </c>
      <c r="S47" s="185">
        <v>4270</v>
      </c>
      <c r="T47" s="185">
        <v>3798</v>
      </c>
      <c r="U47" s="185">
        <v>3577</v>
      </c>
      <c r="V47" s="185">
        <v>3337</v>
      </c>
    </row>
    <row r="49" spans="2:3" ht="15">
      <c r="B49" s="118" t="s">
        <v>272</v>
      </c>
    </row>
    <row r="50" spans="2:3">
      <c r="B50" s="117">
        <v>1</v>
      </c>
      <c r="C50" s="116" t="s">
        <v>363</v>
      </c>
    </row>
    <row r="51" spans="2:3">
      <c r="B51" s="117">
        <f>B50+1</f>
        <v>2</v>
      </c>
      <c r="C51" s="116" t="s">
        <v>364</v>
      </c>
    </row>
    <row r="52" spans="2:3">
      <c r="B52" s="117">
        <f>B51+1</f>
        <v>3</v>
      </c>
      <c r="C52" s="116" t="s">
        <v>365</v>
      </c>
    </row>
    <row r="53" spans="2:3">
      <c r="B53" s="117">
        <f>B52+1</f>
        <v>4</v>
      </c>
      <c r="C53" s="116" t="s">
        <v>366</v>
      </c>
    </row>
  </sheetData>
  <mergeCells count="5">
    <mergeCell ref="B6:B7"/>
    <mergeCell ref="C6:C7"/>
    <mergeCell ref="D6:D7"/>
    <mergeCell ref="E6:P6"/>
    <mergeCell ref="Q6:V6"/>
  </mergeCells>
  <pageMargins left="0.2" right="0.70866141732283472" top="0.35433070866141736" bottom="0.43307086614173229" header="0.31496062992125984" footer="0.31496062992125984"/>
  <pageSetup paperSize="9" scale="4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2:V53"/>
  <sheetViews>
    <sheetView showGridLines="0" view="pageBreakPreview" topLeftCell="A16" zoomScale="60" zoomScaleNormal="86" workbookViewId="0">
      <selection activeCell="O29" sqref="O29"/>
    </sheetView>
  </sheetViews>
  <sheetFormatPr defaultColWidth="9.28515625" defaultRowHeight="14.25"/>
  <cols>
    <col min="1" max="1" width="2.28515625" style="116" customWidth="1"/>
    <col min="2" max="2" width="9.28515625" style="116"/>
    <col min="3" max="3" width="43.5703125" style="116" customWidth="1"/>
    <col min="4" max="4" width="12.7109375" style="117" customWidth="1"/>
    <col min="5" max="16384" width="9.28515625" style="116"/>
  </cols>
  <sheetData>
    <row r="2" spans="2:22" ht="15">
      <c r="M2" s="40" t="s">
        <v>529</v>
      </c>
    </row>
    <row r="3" spans="2:22" ht="15">
      <c r="M3" s="40" t="s">
        <v>511</v>
      </c>
    </row>
    <row r="4" spans="2:22" ht="15">
      <c r="M4" s="265" t="s">
        <v>547</v>
      </c>
    </row>
    <row r="6" spans="2:22" ht="15">
      <c r="B6" s="323" t="s">
        <v>210</v>
      </c>
      <c r="C6" s="323" t="s">
        <v>18</v>
      </c>
      <c r="D6" s="323" t="s">
        <v>39</v>
      </c>
      <c r="E6" s="323" t="s">
        <v>513</v>
      </c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 t="s">
        <v>514</v>
      </c>
      <c r="R6" s="323"/>
      <c r="S6" s="323"/>
      <c r="T6" s="323"/>
      <c r="U6" s="323"/>
      <c r="V6" s="323"/>
    </row>
    <row r="7" spans="2:22" ht="15">
      <c r="B7" s="323"/>
      <c r="C7" s="323"/>
      <c r="D7" s="323"/>
      <c r="E7" s="119" t="s">
        <v>141</v>
      </c>
      <c r="F7" s="119" t="s">
        <v>142</v>
      </c>
      <c r="G7" s="119" t="s">
        <v>143</v>
      </c>
      <c r="H7" s="119" t="s">
        <v>144</v>
      </c>
      <c r="I7" s="119" t="s">
        <v>145</v>
      </c>
      <c r="J7" s="119" t="s">
        <v>146</v>
      </c>
      <c r="K7" s="119" t="s">
        <v>147</v>
      </c>
      <c r="L7" s="119" t="s">
        <v>148</v>
      </c>
      <c r="M7" s="119" t="s">
        <v>149</v>
      </c>
      <c r="N7" s="119" t="s">
        <v>150</v>
      </c>
      <c r="O7" s="119" t="s">
        <v>151</v>
      </c>
      <c r="P7" s="119" t="s">
        <v>152</v>
      </c>
      <c r="Q7" s="119" t="s">
        <v>141</v>
      </c>
      <c r="R7" s="119" t="s">
        <v>142</v>
      </c>
      <c r="S7" s="119" t="s">
        <v>143</v>
      </c>
      <c r="T7" s="119" t="s">
        <v>144</v>
      </c>
      <c r="U7" s="119" t="s">
        <v>145</v>
      </c>
      <c r="V7" s="119" t="s">
        <v>146</v>
      </c>
    </row>
    <row r="8" spans="2:22" ht="15">
      <c r="B8" s="119" t="s">
        <v>67</v>
      </c>
      <c r="C8" s="135" t="s">
        <v>341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2:22">
      <c r="B9" s="120">
        <v>1</v>
      </c>
      <c r="C9" s="122" t="s">
        <v>437</v>
      </c>
      <c r="D9" s="120" t="s">
        <v>509</v>
      </c>
      <c r="E9" s="130">
        <v>1675.1260000000002</v>
      </c>
      <c r="F9" s="130">
        <v>1542.4880000000003</v>
      </c>
      <c r="G9" s="130">
        <v>1648.027</v>
      </c>
      <c r="H9" s="130">
        <v>1553.2540000000001</v>
      </c>
      <c r="I9" s="130">
        <v>1413.8150000000003</v>
      </c>
      <c r="J9" s="130">
        <v>1650.3940000000002</v>
      </c>
      <c r="K9" s="130">
        <v>1573.4180000000001</v>
      </c>
      <c r="L9" s="130">
        <v>1551.009</v>
      </c>
      <c r="M9" s="130">
        <v>1350.069</v>
      </c>
      <c r="N9" s="130">
        <v>1546.57</v>
      </c>
      <c r="O9" s="130">
        <v>1606.5340000000001</v>
      </c>
      <c r="P9" s="130">
        <v>1400.6740000000002</v>
      </c>
      <c r="Q9" s="130">
        <v>1509.74</v>
      </c>
      <c r="R9" s="130">
        <v>1623.1599999999999</v>
      </c>
      <c r="S9" s="130">
        <v>1636.4649999999999</v>
      </c>
      <c r="T9" s="130">
        <v>1619.895</v>
      </c>
      <c r="U9" s="130">
        <v>1461.623</v>
      </c>
      <c r="V9" s="130">
        <v>1993.9310000000003</v>
      </c>
    </row>
    <row r="10" spans="2:22">
      <c r="B10" s="120">
        <f>B9+1</f>
        <v>2</v>
      </c>
      <c r="C10" s="122" t="s">
        <v>342</v>
      </c>
      <c r="D10" s="188" t="s">
        <v>488</v>
      </c>
      <c r="E10" s="130">
        <v>9.3683293954056044</v>
      </c>
      <c r="F10" s="130">
        <v>9.1597011893410709</v>
      </c>
      <c r="G10" s="130">
        <v>10.556621837757381</v>
      </c>
      <c r="H10" s="130">
        <v>9.9425376057547208</v>
      </c>
      <c r="I10" s="130">
        <v>9.2789274076716897</v>
      </c>
      <c r="J10" s="130">
        <v>11.041267153087055</v>
      </c>
      <c r="K10" s="130">
        <v>10.504146821922291</v>
      </c>
      <c r="L10" s="130">
        <v>10.478834477480062</v>
      </c>
      <c r="M10" s="130">
        <v>8.7164015227317844</v>
      </c>
      <c r="N10" s="130">
        <v>10.036739919127777</v>
      </c>
      <c r="O10" s="130">
        <v>10.326826155718427</v>
      </c>
      <c r="P10" s="130">
        <v>9.0895445143190301</v>
      </c>
      <c r="Q10" s="130">
        <v>9.7245682479794091</v>
      </c>
      <c r="R10" s="130">
        <v>10.411214579314539</v>
      </c>
      <c r="S10" s="130">
        <v>10.35212134212626</v>
      </c>
      <c r="T10" s="130">
        <v>10.245166741653044</v>
      </c>
      <c r="U10" s="130">
        <v>9.3416437450243137</v>
      </c>
      <c r="V10" s="130">
        <v>12.915014934794941</v>
      </c>
    </row>
    <row r="11" spans="2:22" ht="15">
      <c r="B11" s="119" t="s">
        <v>71</v>
      </c>
      <c r="C11" s="135" t="s">
        <v>344</v>
      </c>
      <c r="D11" s="12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</row>
    <row r="12" spans="2:22">
      <c r="B12" s="120">
        <f>B10+1</f>
        <v>3</v>
      </c>
      <c r="C12" s="122" t="s">
        <v>438</v>
      </c>
      <c r="D12" s="120" t="s">
        <v>509</v>
      </c>
      <c r="E12" s="130">
        <v>299.15899999999999</v>
      </c>
      <c r="F12" s="130">
        <v>250.524</v>
      </c>
      <c r="G12" s="130">
        <v>0</v>
      </c>
      <c r="H12" s="130">
        <v>390.42500000000001</v>
      </c>
      <c r="I12" s="130">
        <v>610.16599999999994</v>
      </c>
      <c r="J12" s="130">
        <v>0</v>
      </c>
      <c r="K12" s="130">
        <v>224.59100000000001</v>
      </c>
      <c r="L12" s="130">
        <v>192.96799999999999</v>
      </c>
      <c r="M12" s="130">
        <v>335.14100000000002</v>
      </c>
      <c r="N12" s="130">
        <v>349.73400000000004</v>
      </c>
      <c r="O12" s="130">
        <v>0</v>
      </c>
      <c r="P12" s="130">
        <v>354.52499999999998</v>
      </c>
      <c r="Q12" s="130">
        <v>224.09</v>
      </c>
      <c r="R12" s="130">
        <v>250.309</v>
      </c>
      <c r="S12" s="130">
        <v>0</v>
      </c>
      <c r="T12" s="130">
        <v>606.20399999999995</v>
      </c>
      <c r="U12" s="130">
        <v>722.71699999999987</v>
      </c>
      <c r="V12" s="130">
        <v>368.44499999999999</v>
      </c>
    </row>
    <row r="13" spans="2:22" ht="28.5">
      <c r="B13" s="120">
        <f>B12+1</f>
        <v>4</v>
      </c>
      <c r="C13" s="122" t="s">
        <v>439</v>
      </c>
      <c r="D13" s="120" t="s">
        <v>509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2:22" ht="15">
      <c r="B14" s="120">
        <f>B13+1</f>
        <v>5</v>
      </c>
      <c r="C14" s="122" t="s">
        <v>440</v>
      </c>
      <c r="D14" s="120" t="s">
        <v>509</v>
      </c>
      <c r="E14" s="138">
        <f>E12+E13</f>
        <v>299.15899999999999</v>
      </c>
      <c r="F14" s="138">
        <f t="shared" ref="F14:V14" si="0">F12+F13</f>
        <v>250.524</v>
      </c>
      <c r="G14" s="138">
        <f t="shared" si="0"/>
        <v>0</v>
      </c>
      <c r="H14" s="138">
        <f t="shared" si="0"/>
        <v>390.42500000000001</v>
      </c>
      <c r="I14" s="138">
        <f t="shared" si="0"/>
        <v>610.16599999999994</v>
      </c>
      <c r="J14" s="138">
        <f t="shared" si="0"/>
        <v>0</v>
      </c>
      <c r="K14" s="138">
        <f t="shared" si="0"/>
        <v>224.59100000000001</v>
      </c>
      <c r="L14" s="138">
        <f t="shared" si="0"/>
        <v>192.96799999999999</v>
      </c>
      <c r="M14" s="138">
        <f t="shared" si="0"/>
        <v>335.14100000000002</v>
      </c>
      <c r="N14" s="138">
        <f t="shared" si="0"/>
        <v>349.73400000000004</v>
      </c>
      <c r="O14" s="138">
        <f t="shared" si="0"/>
        <v>0</v>
      </c>
      <c r="P14" s="138">
        <f t="shared" si="0"/>
        <v>354.52499999999998</v>
      </c>
      <c r="Q14" s="138">
        <f t="shared" si="0"/>
        <v>224.09</v>
      </c>
      <c r="R14" s="138">
        <f t="shared" si="0"/>
        <v>250.309</v>
      </c>
      <c r="S14" s="138">
        <f t="shared" si="0"/>
        <v>0</v>
      </c>
      <c r="T14" s="138">
        <f t="shared" si="0"/>
        <v>606.20399999999995</v>
      </c>
      <c r="U14" s="138">
        <f t="shared" si="0"/>
        <v>722.71699999999987</v>
      </c>
      <c r="V14" s="138">
        <f t="shared" si="0"/>
        <v>368.44499999999999</v>
      </c>
    </row>
    <row r="15" spans="2:22">
      <c r="B15" s="120">
        <f>B14+1</f>
        <v>6</v>
      </c>
      <c r="C15" s="122" t="s">
        <v>345</v>
      </c>
      <c r="D15" s="120" t="s">
        <v>509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2:22" ht="15">
      <c r="B16" s="120">
        <f>B15+1</f>
        <v>7</v>
      </c>
      <c r="C16" s="122" t="s">
        <v>441</v>
      </c>
      <c r="D16" s="120" t="s">
        <v>509</v>
      </c>
      <c r="E16" s="138">
        <f>E14-E15</f>
        <v>299.15899999999999</v>
      </c>
      <c r="F16" s="138">
        <f t="shared" ref="F16:V16" si="1">F14-F15</f>
        <v>250.524</v>
      </c>
      <c r="G16" s="138">
        <f t="shared" si="1"/>
        <v>0</v>
      </c>
      <c r="H16" s="138">
        <f t="shared" si="1"/>
        <v>390.42500000000001</v>
      </c>
      <c r="I16" s="138">
        <f t="shared" si="1"/>
        <v>610.16599999999994</v>
      </c>
      <c r="J16" s="138">
        <f t="shared" si="1"/>
        <v>0</v>
      </c>
      <c r="K16" s="138">
        <f t="shared" si="1"/>
        <v>224.59100000000001</v>
      </c>
      <c r="L16" s="138">
        <f t="shared" si="1"/>
        <v>192.96799999999999</v>
      </c>
      <c r="M16" s="138">
        <f t="shared" si="1"/>
        <v>335.14100000000002</v>
      </c>
      <c r="N16" s="138">
        <f t="shared" si="1"/>
        <v>349.73400000000004</v>
      </c>
      <c r="O16" s="138">
        <f t="shared" si="1"/>
        <v>0</v>
      </c>
      <c r="P16" s="138">
        <f t="shared" si="1"/>
        <v>354.52499999999998</v>
      </c>
      <c r="Q16" s="138">
        <f t="shared" si="1"/>
        <v>224.09</v>
      </c>
      <c r="R16" s="138">
        <f t="shared" si="1"/>
        <v>250.309</v>
      </c>
      <c r="S16" s="138">
        <f t="shared" si="1"/>
        <v>0</v>
      </c>
      <c r="T16" s="138">
        <f t="shared" si="1"/>
        <v>606.20399999999995</v>
      </c>
      <c r="U16" s="138">
        <f t="shared" si="1"/>
        <v>722.71699999999987</v>
      </c>
      <c r="V16" s="138">
        <f t="shared" si="1"/>
        <v>368.44499999999999</v>
      </c>
    </row>
    <row r="17" spans="2:22" ht="15">
      <c r="B17" s="119" t="s">
        <v>72</v>
      </c>
      <c r="C17" s="135" t="s">
        <v>346</v>
      </c>
      <c r="D17" s="120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2:22">
      <c r="B18" s="120">
        <f>B16+1</f>
        <v>8</v>
      </c>
      <c r="C18" s="122" t="s">
        <v>442</v>
      </c>
      <c r="D18" s="188" t="s">
        <v>488</v>
      </c>
      <c r="E18" s="130">
        <v>2.4292259999999999</v>
      </c>
      <c r="F18" s="130">
        <v>2.2762948000000001</v>
      </c>
      <c r="G18" s="130">
        <v>0</v>
      </c>
      <c r="H18" s="130">
        <v>2.8994477000000001</v>
      </c>
      <c r="I18" s="130">
        <v>4.3363094999999996</v>
      </c>
      <c r="J18" s="130">
        <v>0</v>
      </c>
      <c r="K18" s="130">
        <v>1.5786418</v>
      </c>
      <c r="L18" s="130">
        <v>1.0678806999999999</v>
      </c>
      <c r="M18" s="130">
        <v>2.2879725</v>
      </c>
      <c r="N18" s="130">
        <v>2.3393503999999998</v>
      </c>
      <c r="O18" s="130">
        <v>0</v>
      </c>
      <c r="P18" s="130">
        <v>2.292799</v>
      </c>
      <c r="Q18" s="130">
        <v>1.4407839</v>
      </c>
      <c r="R18" s="130">
        <v>1.4915972</v>
      </c>
      <c r="S18" s="130">
        <v>0</v>
      </c>
      <c r="T18" s="130">
        <v>3.8772250000000001</v>
      </c>
      <c r="U18" s="130">
        <v>4.7595647999999997</v>
      </c>
      <c r="V18" s="130">
        <v>2.7224032999999999</v>
      </c>
    </row>
    <row r="19" spans="2:22" ht="28.5">
      <c r="B19" s="120">
        <f>B18+1</f>
        <v>9</v>
      </c>
      <c r="C19" s="122" t="s">
        <v>443</v>
      </c>
      <c r="D19" s="188" t="s">
        <v>488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2:22" ht="28.5">
      <c r="B20" s="120">
        <f>B19+1</f>
        <v>10</v>
      </c>
      <c r="C20" s="122" t="s">
        <v>347</v>
      </c>
      <c r="D20" s="188" t="s">
        <v>488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2:22" ht="15">
      <c r="B21" s="120">
        <f>B20+1</f>
        <v>11</v>
      </c>
      <c r="C21" s="122" t="s">
        <v>348</v>
      </c>
      <c r="D21" s="188" t="s">
        <v>488</v>
      </c>
      <c r="E21" s="139">
        <f>E18+E19+E20</f>
        <v>2.4292259999999999</v>
      </c>
      <c r="F21" s="139">
        <f t="shared" ref="F21:V21" si="2">F18+F19+F20</f>
        <v>2.2762948000000001</v>
      </c>
      <c r="G21" s="139">
        <f t="shared" si="2"/>
        <v>0</v>
      </c>
      <c r="H21" s="139">
        <f t="shared" si="2"/>
        <v>2.8994477000000001</v>
      </c>
      <c r="I21" s="139">
        <f t="shared" si="2"/>
        <v>4.3363094999999996</v>
      </c>
      <c r="J21" s="139">
        <f t="shared" si="2"/>
        <v>0</v>
      </c>
      <c r="K21" s="139">
        <f t="shared" si="2"/>
        <v>1.5786418</v>
      </c>
      <c r="L21" s="139">
        <f t="shared" si="2"/>
        <v>1.0678806999999999</v>
      </c>
      <c r="M21" s="139">
        <f t="shared" si="2"/>
        <v>2.2879725</v>
      </c>
      <c r="N21" s="139">
        <f t="shared" si="2"/>
        <v>2.3393503999999998</v>
      </c>
      <c r="O21" s="139">
        <f t="shared" si="2"/>
        <v>0</v>
      </c>
      <c r="P21" s="139">
        <f t="shared" si="2"/>
        <v>2.292799</v>
      </c>
      <c r="Q21" s="139">
        <f t="shared" si="2"/>
        <v>1.4407839</v>
      </c>
      <c r="R21" s="139">
        <f t="shared" si="2"/>
        <v>1.4915972</v>
      </c>
      <c r="S21" s="139">
        <f t="shared" si="2"/>
        <v>0</v>
      </c>
      <c r="T21" s="139">
        <f t="shared" si="2"/>
        <v>3.8772250000000001</v>
      </c>
      <c r="U21" s="139">
        <f t="shared" si="2"/>
        <v>4.7595647999999997</v>
      </c>
      <c r="V21" s="139">
        <f t="shared" si="2"/>
        <v>2.7224032999999999</v>
      </c>
    </row>
    <row r="22" spans="2:22" ht="15">
      <c r="B22" s="119" t="s">
        <v>349</v>
      </c>
      <c r="C22" s="135" t="s">
        <v>350</v>
      </c>
      <c r="D22" s="120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2:22">
      <c r="B23" s="120">
        <f>B21+1</f>
        <v>12</v>
      </c>
      <c r="C23" s="122" t="s">
        <v>351</v>
      </c>
      <c r="D23" s="120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2:22">
      <c r="B24" s="120"/>
      <c r="C24" s="122" t="s">
        <v>352</v>
      </c>
      <c r="D24" s="188" t="s">
        <v>488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2:22">
      <c r="B25" s="120"/>
      <c r="C25" s="122" t="s">
        <v>353</v>
      </c>
      <c r="D25" s="188" t="s">
        <v>488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2:22">
      <c r="B26" s="120"/>
      <c r="C26" s="122" t="s">
        <v>354</v>
      </c>
      <c r="D26" s="188" t="s">
        <v>488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2:22">
      <c r="B27" s="120"/>
      <c r="C27" s="122" t="s">
        <v>9</v>
      </c>
      <c r="D27" s="188" t="s">
        <v>488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2:22" ht="28.5">
      <c r="B28" s="120">
        <f>B23+1</f>
        <v>13</v>
      </c>
      <c r="C28" s="122" t="s">
        <v>444</v>
      </c>
      <c r="D28" s="188" t="s">
        <v>488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spans="2:22">
      <c r="B29" s="120">
        <f>B28+1</f>
        <v>14</v>
      </c>
      <c r="C29" s="122" t="s">
        <v>355</v>
      </c>
      <c r="D29" s="188" t="s">
        <v>488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2:22" ht="28.5">
      <c r="B30" s="120">
        <f>B29+1</f>
        <v>15</v>
      </c>
      <c r="C30" s="122" t="s">
        <v>548</v>
      </c>
      <c r="D30" s="188" t="s">
        <v>488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spans="2:22" ht="28.5">
      <c r="B31" s="120">
        <f>B30+1</f>
        <v>16</v>
      </c>
      <c r="C31" s="122" t="s">
        <v>356</v>
      </c>
      <c r="D31" s="188" t="s">
        <v>488</v>
      </c>
      <c r="E31" s="138">
        <f>SUM(E24:E30)</f>
        <v>0</v>
      </c>
      <c r="F31" s="138">
        <f t="shared" ref="F31:V31" si="3">SUM(F24:F30)</f>
        <v>0</v>
      </c>
      <c r="G31" s="138">
        <f t="shared" si="3"/>
        <v>0</v>
      </c>
      <c r="H31" s="138">
        <f t="shared" si="3"/>
        <v>0</v>
      </c>
      <c r="I31" s="138">
        <f t="shared" si="3"/>
        <v>0</v>
      </c>
      <c r="J31" s="138">
        <f t="shared" si="3"/>
        <v>0</v>
      </c>
      <c r="K31" s="138">
        <f t="shared" si="3"/>
        <v>0</v>
      </c>
      <c r="L31" s="138">
        <f t="shared" si="3"/>
        <v>0</v>
      </c>
      <c r="M31" s="138">
        <f t="shared" si="3"/>
        <v>0</v>
      </c>
      <c r="N31" s="138">
        <f t="shared" si="3"/>
        <v>0</v>
      </c>
      <c r="O31" s="138">
        <f t="shared" si="3"/>
        <v>0</v>
      </c>
      <c r="P31" s="138">
        <f t="shared" si="3"/>
        <v>0</v>
      </c>
      <c r="Q31" s="138">
        <f t="shared" si="3"/>
        <v>0</v>
      </c>
      <c r="R31" s="138">
        <f t="shared" si="3"/>
        <v>0</v>
      </c>
      <c r="S31" s="138">
        <f t="shared" si="3"/>
        <v>0</v>
      </c>
      <c r="T31" s="138">
        <f t="shared" si="3"/>
        <v>0</v>
      </c>
      <c r="U31" s="138">
        <f t="shared" si="3"/>
        <v>0</v>
      </c>
      <c r="V31" s="138">
        <f t="shared" si="3"/>
        <v>0</v>
      </c>
    </row>
    <row r="32" spans="2:22" ht="28.5">
      <c r="B32" s="120">
        <f>B31+1</f>
        <v>17</v>
      </c>
      <c r="C32" s="122" t="s">
        <v>445</v>
      </c>
      <c r="D32" s="188" t="s">
        <v>488</v>
      </c>
      <c r="E32" s="139">
        <f>E21+E31</f>
        <v>2.4292259999999999</v>
      </c>
      <c r="F32" s="139">
        <f t="shared" ref="F32:V32" si="4">F21+F31</f>
        <v>2.2762948000000001</v>
      </c>
      <c r="G32" s="139">
        <f t="shared" si="4"/>
        <v>0</v>
      </c>
      <c r="H32" s="139">
        <f t="shared" si="4"/>
        <v>2.8994477000000001</v>
      </c>
      <c r="I32" s="139">
        <f t="shared" si="4"/>
        <v>4.3363094999999996</v>
      </c>
      <c r="J32" s="139">
        <f t="shared" si="4"/>
        <v>0</v>
      </c>
      <c r="K32" s="139">
        <f t="shared" si="4"/>
        <v>1.5786418</v>
      </c>
      <c r="L32" s="139">
        <f t="shared" si="4"/>
        <v>1.0678806999999999</v>
      </c>
      <c r="M32" s="139">
        <f t="shared" si="4"/>
        <v>2.2879725</v>
      </c>
      <c r="N32" s="139">
        <f t="shared" si="4"/>
        <v>2.3393503999999998</v>
      </c>
      <c r="O32" s="139">
        <f t="shared" si="4"/>
        <v>0</v>
      </c>
      <c r="P32" s="139">
        <f t="shared" si="4"/>
        <v>2.292799</v>
      </c>
      <c r="Q32" s="139">
        <f t="shared" si="4"/>
        <v>1.4407839</v>
      </c>
      <c r="R32" s="139">
        <f t="shared" si="4"/>
        <v>1.4915972</v>
      </c>
      <c r="S32" s="139">
        <f t="shared" si="4"/>
        <v>0</v>
      </c>
      <c r="T32" s="139">
        <f t="shared" si="4"/>
        <v>3.8772250000000001</v>
      </c>
      <c r="U32" s="139">
        <f t="shared" si="4"/>
        <v>4.7595647999999997</v>
      </c>
      <c r="V32" s="139">
        <f t="shared" si="4"/>
        <v>2.7224032999999999</v>
      </c>
    </row>
    <row r="33" spans="2:22" ht="15">
      <c r="B33" s="119" t="s">
        <v>357</v>
      </c>
      <c r="C33" s="135" t="s">
        <v>201</v>
      </c>
      <c r="D33" s="120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2:22" ht="15">
      <c r="B34" s="120">
        <f>B32+1</f>
        <v>18</v>
      </c>
      <c r="C34" s="122" t="s">
        <v>446</v>
      </c>
      <c r="D34" s="120" t="s">
        <v>510</v>
      </c>
      <c r="E34" s="138">
        <f t="shared" ref="E34:V34" si="5">IFERROR((E10+E32)/(E9+E16),0)*10000000</f>
        <v>59756.090915980232</v>
      </c>
      <c r="F34" s="138">
        <f t="shared" si="5"/>
        <v>63780.922767617121</v>
      </c>
      <c r="G34" s="138">
        <f t="shared" si="5"/>
        <v>64056.12188245327</v>
      </c>
      <c r="H34" s="138">
        <f t="shared" si="5"/>
        <v>66070.504984386411</v>
      </c>
      <c r="I34" s="138">
        <f t="shared" si="5"/>
        <v>67269.588537005475</v>
      </c>
      <c r="J34" s="138">
        <f t="shared" si="5"/>
        <v>66900.795525717214</v>
      </c>
      <c r="K34" s="138">
        <f t="shared" si="5"/>
        <v>67200.935156177147</v>
      </c>
      <c r="L34" s="138">
        <f t="shared" si="5"/>
        <v>66209.102399171898</v>
      </c>
      <c r="M34" s="138">
        <f t="shared" si="5"/>
        <v>65299.71945770429</v>
      </c>
      <c r="N34" s="138">
        <f t="shared" si="5"/>
        <v>65264.273656163648</v>
      </c>
      <c r="O34" s="138">
        <f t="shared" si="5"/>
        <v>64280.159372403112</v>
      </c>
      <c r="P34" s="138">
        <f t="shared" si="5"/>
        <v>64849.304918240217</v>
      </c>
      <c r="Q34" s="138">
        <f t="shared" si="5"/>
        <v>64397.040932383279</v>
      </c>
      <c r="R34" s="138">
        <f t="shared" si="5"/>
        <v>63533.540076267811</v>
      </c>
      <c r="S34" s="138">
        <f t="shared" si="5"/>
        <v>63259.045211026576</v>
      </c>
      <c r="T34" s="138">
        <f t="shared" si="5"/>
        <v>63440.088431166107</v>
      </c>
      <c r="U34" s="138">
        <f t="shared" si="5"/>
        <v>64555.923276707435</v>
      </c>
      <c r="V34" s="138">
        <f t="shared" si="5"/>
        <v>66193.604383023441</v>
      </c>
    </row>
    <row r="35" spans="2:22">
      <c r="B35" s="120">
        <f>B34+1</f>
        <v>19</v>
      </c>
      <c r="C35" s="122" t="s">
        <v>359</v>
      </c>
      <c r="D35" s="120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2:22" ht="28.5">
      <c r="B36" s="120">
        <f>B35+1</f>
        <v>20</v>
      </c>
      <c r="C36" s="122" t="s">
        <v>447</v>
      </c>
      <c r="D36" s="120" t="s">
        <v>510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spans="2:22" ht="15">
      <c r="B37" s="119" t="s">
        <v>360</v>
      </c>
      <c r="C37" s="135" t="s">
        <v>361</v>
      </c>
      <c r="D37" s="120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2:22" ht="28.5">
      <c r="B38" s="120">
        <f>B36+1</f>
        <v>21</v>
      </c>
      <c r="C38" s="122" t="s">
        <v>549</v>
      </c>
      <c r="D38" s="120" t="s">
        <v>362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spans="2:22" ht="28.5">
      <c r="B39" s="120">
        <f>B38+1</f>
        <v>22</v>
      </c>
      <c r="C39" s="122" t="s">
        <v>448</v>
      </c>
      <c r="D39" s="120" t="s">
        <v>362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2:22" ht="28.5">
      <c r="B40" s="120">
        <f t="shared" ref="B40:B47" si="6">B39+1</f>
        <v>23</v>
      </c>
      <c r="C40" s="122" t="s">
        <v>550</v>
      </c>
      <c r="D40" s="120" t="s">
        <v>362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2:22" ht="28.5">
      <c r="B41" s="120">
        <f t="shared" si="6"/>
        <v>24</v>
      </c>
      <c r="C41" s="122" t="s">
        <v>449</v>
      </c>
      <c r="D41" s="120" t="s">
        <v>362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2:22">
      <c r="B42" s="120">
        <f t="shared" si="6"/>
        <v>25</v>
      </c>
      <c r="C42" s="122" t="s">
        <v>450</v>
      </c>
      <c r="D42" s="120" t="s">
        <v>362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spans="2:22" ht="42.75">
      <c r="B43" s="120">
        <f t="shared" si="6"/>
        <v>26</v>
      </c>
      <c r="C43" s="122" t="s">
        <v>451</v>
      </c>
      <c r="D43" s="120" t="s">
        <v>362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2:22" ht="28.5">
      <c r="B44" s="120">
        <f t="shared" si="6"/>
        <v>27</v>
      </c>
      <c r="C44" s="122" t="s">
        <v>452</v>
      </c>
      <c r="D44" s="120" t="s">
        <v>362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2:22" ht="28.5">
      <c r="B45" s="120">
        <f t="shared" si="6"/>
        <v>28</v>
      </c>
      <c r="C45" s="122" t="s">
        <v>453</v>
      </c>
      <c r="D45" s="120" t="s">
        <v>362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2:22" ht="28.5">
      <c r="B46" s="120">
        <f t="shared" si="6"/>
        <v>29</v>
      </c>
      <c r="C46" s="122" t="s">
        <v>453</v>
      </c>
      <c r="D46" s="120" t="s">
        <v>362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2:22">
      <c r="B47" s="120">
        <f t="shared" si="6"/>
        <v>30</v>
      </c>
      <c r="C47" s="122" t="s">
        <v>454</v>
      </c>
      <c r="D47" s="120" t="s">
        <v>362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9" spans="2:3" ht="15">
      <c r="B49" s="118" t="s">
        <v>272</v>
      </c>
    </row>
    <row r="50" spans="2:3">
      <c r="B50" s="117">
        <v>1</v>
      </c>
      <c r="C50" s="116" t="s">
        <v>363</v>
      </c>
    </row>
    <row r="51" spans="2:3">
      <c r="B51" s="117">
        <f>B50+1</f>
        <v>2</v>
      </c>
      <c r="C51" s="116" t="s">
        <v>364</v>
      </c>
    </row>
    <row r="52" spans="2:3">
      <c r="B52" s="117">
        <f>B51+1</f>
        <v>3</v>
      </c>
      <c r="C52" s="116" t="s">
        <v>365</v>
      </c>
    </row>
    <row r="53" spans="2:3">
      <c r="B53" s="117">
        <f>B52+1</f>
        <v>4</v>
      </c>
      <c r="C53" s="116" t="s">
        <v>366</v>
      </c>
    </row>
  </sheetData>
  <mergeCells count="5">
    <mergeCell ref="E6:P6"/>
    <mergeCell ref="Q6:V6"/>
    <mergeCell ref="B6:B7"/>
    <mergeCell ref="C6:C7"/>
    <mergeCell ref="D6:D7"/>
  </mergeCells>
  <phoneticPr fontId="12" type="noConversion"/>
  <pageMargins left="0.3" right="0.2" top="0.74803149606299213" bottom="0.74803149606299213" header="0.31496062992125984" footer="0.31496062992125984"/>
  <pageSetup paperSize="9" scale="62" orientation="landscape" verticalDpi="0" r:id="rId1"/>
  <rowBreaks count="1" manualBreakCount="1">
    <brk id="36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B2:N28"/>
  <sheetViews>
    <sheetView showGridLines="0" zoomScale="80" zoomScaleNormal="80" workbookViewId="0">
      <selection activeCell="B5" sqref="B5"/>
    </sheetView>
  </sheetViews>
  <sheetFormatPr defaultColWidth="9.28515625" defaultRowHeight="18"/>
  <cols>
    <col min="1" max="1" width="0.85546875" style="222" customWidth="1"/>
    <col min="2" max="2" width="33.7109375" style="222" customWidth="1"/>
    <col min="3" max="3" width="10.42578125" style="222" customWidth="1"/>
    <col min="4" max="4" width="11.7109375" style="222" customWidth="1"/>
    <col min="5" max="5" width="13.85546875" style="222" customWidth="1"/>
    <col min="6" max="6" width="11.140625" style="222" customWidth="1"/>
    <col min="7" max="7" width="15" style="222" customWidth="1"/>
    <col min="8" max="8" width="13.42578125" style="222" customWidth="1"/>
    <col min="9" max="9" width="14" style="222" customWidth="1"/>
    <col min="10" max="10" width="13.5703125" style="222" customWidth="1"/>
    <col min="11" max="11" width="13.140625" style="222" customWidth="1"/>
    <col min="12" max="12" width="13.85546875" style="222" customWidth="1"/>
    <col min="13" max="13" width="13.140625" style="222" customWidth="1"/>
    <col min="14" max="14" width="13.85546875" style="222" customWidth="1"/>
    <col min="15" max="16384" width="9.28515625" style="222"/>
  </cols>
  <sheetData>
    <row r="2" spans="2:14">
      <c r="B2" s="268" t="s">
        <v>530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</row>
    <row r="3" spans="2:14">
      <c r="B3" s="268" t="s">
        <v>512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</row>
    <row r="4" spans="2:14">
      <c r="B4" s="268" t="s">
        <v>551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</row>
    <row r="6" spans="2:14" ht="15" customHeight="1">
      <c r="B6" s="331" t="s">
        <v>18</v>
      </c>
      <c r="C6" s="331" t="s">
        <v>227</v>
      </c>
      <c r="D6" s="331" t="s">
        <v>39</v>
      </c>
      <c r="E6" s="327" t="s">
        <v>515</v>
      </c>
      <c r="F6" s="328"/>
      <c r="G6" s="329"/>
      <c r="H6" s="327" t="s">
        <v>516</v>
      </c>
      <c r="I6" s="328"/>
      <c r="J6" s="330" t="s">
        <v>252</v>
      </c>
      <c r="K6" s="330"/>
      <c r="L6" s="330"/>
      <c r="M6" s="330"/>
      <c r="N6" s="330"/>
    </row>
    <row r="7" spans="2:14" ht="54">
      <c r="B7" s="331"/>
      <c r="C7" s="331"/>
      <c r="D7" s="331"/>
      <c r="E7" s="223" t="s">
        <v>397</v>
      </c>
      <c r="F7" s="223" t="s">
        <v>270</v>
      </c>
      <c r="G7" s="223" t="s">
        <v>226</v>
      </c>
      <c r="H7" s="223" t="s">
        <v>433</v>
      </c>
      <c r="I7" s="223" t="s">
        <v>269</v>
      </c>
      <c r="J7" s="223" t="s">
        <v>483</v>
      </c>
      <c r="K7" s="223" t="s">
        <v>484</v>
      </c>
      <c r="L7" s="223" t="s">
        <v>485</v>
      </c>
      <c r="M7" s="223" t="s">
        <v>486</v>
      </c>
      <c r="N7" s="223" t="s">
        <v>487</v>
      </c>
    </row>
    <row r="8" spans="2:14" ht="36">
      <c r="B8" s="331"/>
      <c r="C8" s="331"/>
      <c r="D8" s="331"/>
      <c r="E8" s="223" t="s">
        <v>10</v>
      </c>
      <c r="F8" s="223" t="s">
        <v>12</v>
      </c>
      <c r="G8" s="223" t="s">
        <v>259</v>
      </c>
      <c r="H8" s="223" t="s">
        <v>10</v>
      </c>
      <c r="I8" s="223" t="s">
        <v>5</v>
      </c>
      <c r="J8" s="223" t="s">
        <v>8</v>
      </c>
      <c r="K8" s="223" t="s">
        <v>8</v>
      </c>
      <c r="L8" s="223" t="s">
        <v>8</v>
      </c>
      <c r="M8" s="223" t="s">
        <v>8</v>
      </c>
      <c r="N8" s="223" t="s">
        <v>8</v>
      </c>
    </row>
    <row r="9" spans="2:14">
      <c r="B9" s="224" t="s">
        <v>183</v>
      </c>
      <c r="C9" s="225" t="s">
        <v>375</v>
      </c>
      <c r="D9" s="225" t="s">
        <v>42</v>
      </c>
      <c r="E9" s="256">
        <v>7.5</v>
      </c>
      <c r="F9" s="242">
        <v>5.9138533452636191</v>
      </c>
      <c r="G9" s="243">
        <f>F9</f>
        <v>5.9138533452636191</v>
      </c>
      <c r="H9" s="243">
        <v>7.5</v>
      </c>
      <c r="I9" s="242">
        <v>6.0617180519701739</v>
      </c>
      <c r="J9" s="244">
        <v>5.25</v>
      </c>
      <c r="K9" s="244">
        <v>5.25</v>
      </c>
      <c r="L9" s="244">
        <v>5.25</v>
      </c>
      <c r="M9" s="244">
        <v>5.25</v>
      </c>
      <c r="N9" s="244">
        <v>5.25</v>
      </c>
    </row>
    <row r="10" spans="2:14">
      <c r="B10" s="226" t="s">
        <v>225</v>
      </c>
      <c r="C10" s="227" t="s">
        <v>385</v>
      </c>
      <c r="D10" s="227" t="s">
        <v>49</v>
      </c>
      <c r="E10" s="244">
        <v>2450</v>
      </c>
      <c r="F10" s="248">
        <v>2343.1132563716915</v>
      </c>
      <c r="G10" s="243">
        <f t="shared" ref="G10:G15" si="0">F10</f>
        <v>2343.1132563716915</v>
      </c>
      <c r="H10" s="244">
        <v>2450</v>
      </c>
      <c r="I10" s="248">
        <v>2346.7869497398738</v>
      </c>
      <c r="J10" s="244">
        <v>2450</v>
      </c>
      <c r="K10" s="244">
        <v>2450</v>
      </c>
      <c r="L10" s="244">
        <v>2450</v>
      </c>
      <c r="M10" s="244">
        <v>2450</v>
      </c>
      <c r="N10" s="244">
        <v>2450</v>
      </c>
    </row>
    <row r="11" spans="2:14">
      <c r="B11" s="224" t="s">
        <v>369</v>
      </c>
      <c r="C11" s="225" t="s">
        <v>376</v>
      </c>
      <c r="D11" s="225" t="s">
        <v>51</v>
      </c>
      <c r="E11" s="244">
        <v>2</v>
      </c>
      <c r="F11" s="257">
        <v>0.41897497508122467</v>
      </c>
      <c r="G11" s="243">
        <f t="shared" si="0"/>
        <v>0.41897497508122467</v>
      </c>
      <c r="H11" s="244">
        <v>2</v>
      </c>
      <c r="I11" s="245">
        <v>0.33368225338526997</v>
      </c>
      <c r="J11" s="244">
        <v>0.5</v>
      </c>
      <c r="K11" s="244">
        <v>0.5</v>
      </c>
      <c r="L11" s="244">
        <v>0.5</v>
      </c>
      <c r="M11" s="244">
        <v>0.5</v>
      </c>
      <c r="N11" s="244">
        <v>0.5</v>
      </c>
    </row>
    <row r="12" spans="2:14">
      <c r="B12" s="224" t="s">
        <v>370</v>
      </c>
      <c r="C12" s="225" t="s">
        <v>377</v>
      </c>
      <c r="D12" s="225" t="s">
        <v>378</v>
      </c>
      <c r="E12" s="244">
        <v>9390</v>
      </c>
      <c r="F12" s="241">
        <v>9390</v>
      </c>
      <c r="G12" s="243">
        <f t="shared" si="0"/>
        <v>9390</v>
      </c>
      <c r="H12" s="241">
        <v>9390</v>
      </c>
      <c r="I12" s="244">
        <v>9390</v>
      </c>
      <c r="J12" s="244">
        <v>9390</v>
      </c>
      <c r="K12" s="244">
        <v>9390</v>
      </c>
      <c r="L12" s="244">
        <v>9390</v>
      </c>
      <c r="M12" s="244">
        <v>9390</v>
      </c>
      <c r="N12" s="244">
        <v>9390</v>
      </c>
    </row>
    <row r="13" spans="2:14">
      <c r="B13" s="224" t="s">
        <v>371</v>
      </c>
      <c r="C13" s="225" t="s">
        <v>379</v>
      </c>
      <c r="D13" s="225" t="s">
        <v>380</v>
      </c>
      <c r="E13" s="243">
        <v>6.5970133714012197E-2</v>
      </c>
      <c r="F13" s="242">
        <f>65970.1337140122/1000000</f>
        <v>6.5970133714012211E-2</v>
      </c>
      <c r="G13" s="243">
        <f t="shared" si="0"/>
        <v>6.5970133714012211E-2</v>
      </c>
      <c r="H13" s="243">
        <v>6.5875778271453897E-2</v>
      </c>
      <c r="I13" s="245">
        <f>65875.7782714539/1000000</f>
        <v>6.5875778271453911E-2</v>
      </c>
      <c r="J13" s="243">
        <v>6.6293140190300803E-2</v>
      </c>
      <c r="K13" s="243">
        <f>J13*1.02</f>
        <v>6.7619002994106822E-2</v>
      </c>
      <c r="L13" s="243">
        <f>K13*1.02</f>
        <v>6.8971383053988963E-2</v>
      </c>
      <c r="M13" s="243">
        <f>L13*1.02</f>
        <v>7.035081071506874E-2</v>
      </c>
      <c r="N13" s="243">
        <f>M13*1.02</f>
        <v>7.1757826929370119E-2</v>
      </c>
    </row>
    <row r="14" spans="2:14">
      <c r="B14" s="224" t="s">
        <v>386</v>
      </c>
      <c r="C14" s="225" t="s">
        <v>381</v>
      </c>
      <c r="D14" s="225" t="s">
        <v>362</v>
      </c>
      <c r="E14" s="241">
        <v>4005.8752681518376</v>
      </c>
      <c r="F14" s="248">
        <v>4005.8752681518376</v>
      </c>
      <c r="G14" s="243">
        <f t="shared" si="0"/>
        <v>4005.8752681518376</v>
      </c>
      <c r="H14" s="241">
        <v>4023.5841139044555</v>
      </c>
      <c r="I14" s="249">
        <v>4023.5841139044555</v>
      </c>
      <c r="J14" s="241">
        <v>4086.7172322407018</v>
      </c>
      <c r="K14" s="241">
        <v>4086.7172322407018</v>
      </c>
      <c r="L14" s="241">
        <v>4086.7172322407018</v>
      </c>
      <c r="M14" s="241">
        <v>4086.7172322407018</v>
      </c>
      <c r="N14" s="241">
        <v>4086.7172322407018</v>
      </c>
    </row>
    <row r="15" spans="2:14">
      <c r="B15" s="224" t="s">
        <v>372</v>
      </c>
      <c r="C15" s="225" t="s">
        <v>382</v>
      </c>
      <c r="D15" s="225" t="s">
        <v>383</v>
      </c>
      <c r="E15" s="243">
        <v>5.1784140749397167</v>
      </c>
      <c r="F15" s="242">
        <f>5178.41407493972/1000</f>
        <v>5.1784140749397203</v>
      </c>
      <c r="G15" s="243">
        <f t="shared" si="0"/>
        <v>5.1784140749397203</v>
      </c>
      <c r="H15" s="243">
        <v>5.1542290905697605</v>
      </c>
      <c r="I15" s="245">
        <f>5154.22909056976/1000</f>
        <v>5.1542290905697596</v>
      </c>
      <c r="J15" s="243">
        <v>5.2788421250027957</v>
      </c>
      <c r="K15" s="243">
        <f>J15*1.02</f>
        <v>5.3844189675028513</v>
      </c>
      <c r="L15" s="243">
        <f>K15*1.02</f>
        <v>5.492107346852908</v>
      </c>
      <c r="M15" s="243">
        <f>L15*1.02</f>
        <v>5.6019494937899665</v>
      </c>
      <c r="N15" s="243">
        <f>M15*1.02</f>
        <v>5.7139884836657657</v>
      </c>
    </row>
    <row r="16" spans="2:14">
      <c r="B16" s="224" t="s">
        <v>373</v>
      </c>
      <c r="C16" s="225"/>
      <c r="D16" s="225" t="s">
        <v>384</v>
      </c>
      <c r="E16" s="246">
        <f t="shared" ref="E16:I16" si="1">(E10-(E11*E12/1000))/E14</f>
        <v>0.60691355502980371</v>
      </c>
      <c r="F16" s="258">
        <f t="shared" si="1"/>
        <v>0.58393707361609615</v>
      </c>
      <c r="G16" s="246">
        <f t="shared" si="1"/>
        <v>0.58393707361609615</v>
      </c>
      <c r="H16" s="246">
        <f t="shared" si="1"/>
        <v>0.60424236978129486</v>
      </c>
      <c r="I16" s="258">
        <f t="shared" si="1"/>
        <v>0.58247910495558708</v>
      </c>
      <c r="J16" s="243">
        <f t="shared" ref="J16:N16" si="2">(J10-(J11*J12/1000))/J14</f>
        <v>0.598354341892959</v>
      </c>
      <c r="K16" s="243">
        <f t="shared" si="2"/>
        <v>0.598354341892959</v>
      </c>
      <c r="L16" s="243">
        <f t="shared" si="2"/>
        <v>0.598354341892959</v>
      </c>
      <c r="M16" s="243">
        <f t="shared" si="2"/>
        <v>0.598354341892959</v>
      </c>
      <c r="N16" s="243">
        <f t="shared" si="2"/>
        <v>0.598354341892959</v>
      </c>
    </row>
    <row r="17" spans="2:14">
      <c r="B17" s="224" t="s">
        <v>524</v>
      </c>
      <c r="C17" s="225"/>
      <c r="D17" s="225" t="s">
        <v>525</v>
      </c>
      <c r="E17" s="246">
        <f t="shared" ref="E17:H17" si="3">IFERROR(((E10-E11*E12/1000)*E15/E14)*100/(100-E9),0)</f>
        <v>3.3976753466357139</v>
      </c>
      <c r="F17" s="246">
        <f t="shared" si="3"/>
        <v>3.2139353862468765</v>
      </c>
      <c r="G17" s="246">
        <f t="shared" si="3"/>
        <v>3.2139353862468765</v>
      </c>
      <c r="H17" s="246">
        <f t="shared" si="3"/>
        <v>3.3669228108989846</v>
      </c>
      <c r="I17" s="243">
        <f t="shared" ref="I17:N17" si="4">IFERROR(((I10-I11*I12/1000)*I15/I14)*100/(100-I9),0)</f>
        <v>3.1959608853311474</v>
      </c>
      <c r="J17" s="243">
        <f t="shared" si="4"/>
        <v>3.3336338846046192</v>
      </c>
      <c r="K17" s="243">
        <f t="shared" si="4"/>
        <v>3.4003065622967115</v>
      </c>
      <c r="L17" s="243">
        <f t="shared" si="4"/>
        <v>3.4683126935426452</v>
      </c>
      <c r="M17" s="243">
        <f t="shared" si="4"/>
        <v>3.5376789474134989</v>
      </c>
      <c r="N17" s="243">
        <f t="shared" si="4"/>
        <v>3.6084325263617689</v>
      </c>
    </row>
    <row r="18" spans="2:14">
      <c r="B18" s="224" t="s">
        <v>526</v>
      </c>
      <c r="C18" s="225"/>
      <c r="D18" s="225" t="s">
        <v>525</v>
      </c>
      <c r="E18" s="246">
        <f t="shared" ref="E18:H18" si="5">(E11*E13)/(100-E9)*100</f>
        <v>0.14263812694921557</v>
      </c>
      <c r="F18" s="246">
        <f t="shared" si="5"/>
        <v>2.9377157117893203E-2</v>
      </c>
      <c r="G18" s="246">
        <f t="shared" si="5"/>
        <v>2.9377157117893203E-2</v>
      </c>
      <c r="H18" s="246">
        <f t="shared" si="5"/>
        <v>0.14243411518152194</v>
      </c>
      <c r="I18" s="243">
        <f t="shared" ref="I18:N18" si="6">(I11*I13)/(100-I9)*100</f>
        <v>2.3400021462270493E-2</v>
      </c>
      <c r="J18" s="243">
        <f t="shared" si="6"/>
        <v>3.4983187435514936E-2</v>
      </c>
      <c r="K18" s="243">
        <f t="shared" si="6"/>
        <v>3.5682851184225234E-2</v>
      </c>
      <c r="L18" s="243">
        <f t="shared" si="6"/>
        <v>3.6396508207909746E-2</v>
      </c>
      <c r="M18" s="243">
        <f t="shared" si="6"/>
        <v>3.7124438372067935E-2</v>
      </c>
      <c r="N18" s="243">
        <f t="shared" si="6"/>
        <v>3.7866927139509295E-2</v>
      </c>
    </row>
    <row r="19" spans="2:14">
      <c r="B19" s="228" t="s">
        <v>374</v>
      </c>
      <c r="C19" s="225"/>
      <c r="D19" s="228" t="s">
        <v>221</v>
      </c>
      <c r="E19" s="247">
        <f t="shared" ref="E19:N19" si="7">IFERROR(((E10-E11*E12/1000)*E15/E14+E11*E13)*100/(100-E9),0)</f>
        <v>3.5403134735849298</v>
      </c>
      <c r="F19" s="247">
        <f t="shared" si="7"/>
        <v>3.2433125433647696</v>
      </c>
      <c r="G19" s="247">
        <f t="shared" si="7"/>
        <v>3.2433125433647696</v>
      </c>
      <c r="H19" s="247">
        <f t="shared" si="7"/>
        <v>3.5093569260805064</v>
      </c>
      <c r="I19" s="247">
        <f t="shared" si="7"/>
        <v>3.2193609067934177</v>
      </c>
      <c r="J19" s="247">
        <f t="shared" si="7"/>
        <v>3.3686170720401347</v>
      </c>
      <c r="K19" s="247">
        <f t="shared" si="7"/>
        <v>3.4359894134809368</v>
      </c>
      <c r="L19" s="247">
        <f t="shared" si="7"/>
        <v>3.504709201750555</v>
      </c>
      <c r="M19" s="247">
        <f t="shared" si="7"/>
        <v>3.5748033857855668</v>
      </c>
      <c r="N19" s="247">
        <f t="shared" si="7"/>
        <v>3.6462994535012778</v>
      </c>
    </row>
    <row r="20" spans="2:14">
      <c r="E20" s="229"/>
      <c r="F20" s="229"/>
      <c r="G20" s="229"/>
      <c r="H20" s="229"/>
      <c r="I20" s="229"/>
      <c r="J20" s="229"/>
      <c r="K20" s="229"/>
      <c r="L20" s="229"/>
      <c r="M20" s="229"/>
      <c r="N20" s="229"/>
    </row>
    <row r="21" spans="2:14">
      <c r="E21" s="229"/>
      <c r="F21" s="229"/>
      <c r="G21" s="229"/>
      <c r="H21" s="229"/>
      <c r="I21" s="229"/>
      <c r="J21" s="229"/>
      <c r="K21" s="229"/>
      <c r="L21" s="229"/>
      <c r="M21" s="229"/>
      <c r="N21" s="229"/>
    </row>
    <row r="22" spans="2:14" ht="39" customHeight="1">
      <c r="B22" s="324" t="s">
        <v>538</v>
      </c>
      <c r="C22" s="325"/>
      <c r="D22" s="325"/>
      <c r="E22" s="325"/>
      <c r="F22" s="325"/>
      <c r="G22" s="325"/>
      <c r="H22" s="325"/>
      <c r="I22" s="325"/>
      <c r="J22" s="325"/>
      <c r="K22" s="325"/>
      <c r="L22" s="325"/>
      <c r="M22" s="325"/>
      <c r="N22" s="326"/>
    </row>
    <row r="23" spans="2:14">
      <c r="E23" s="229"/>
      <c r="F23" s="229"/>
      <c r="G23" s="229"/>
      <c r="H23" s="229"/>
      <c r="I23" s="229"/>
      <c r="J23" s="229"/>
      <c r="K23" s="229"/>
      <c r="L23" s="229"/>
      <c r="M23" s="229"/>
      <c r="N23" s="229"/>
    </row>
    <row r="24" spans="2:14">
      <c r="E24" s="229"/>
    </row>
    <row r="26" spans="2:14">
      <c r="J26" s="240"/>
      <c r="K26" s="240"/>
      <c r="L26" s="240"/>
      <c r="M26" s="240"/>
      <c r="N26" s="240"/>
    </row>
    <row r="27" spans="2:14">
      <c r="J27" s="240"/>
      <c r="K27" s="240"/>
      <c r="L27" s="240"/>
      <c r="M27" s="240"/>
      <c r="N27" s="240"/>
    </row>
    <row r="28" spans="2:14">
      <c r="J28" s="240"/>
      <c r="K28" s="240"/>
      <c r="L28" s="240"/>
      <c r="M28" s="240"/>
      <c r="N28" s="240"/>
    </row>
  </sheetData>
  <mergeCells count="10">
    <mergeCell ref="B2:N2"/>
    <mergeCell ref="B3:N3"/>
    <mergeCell ref="B4:N4"/>
    <mergeCell ref="B22:N22"/>
    <mergeCell ref="E6:G6"/>
    <mergeCell ref="H6:I6"/>
    <mergeCell ref="J6:N6"/>
    <mergeCell ref="B6:B8"/>
    <mergeCell ref="D6:D8"/>
    <mergeCell ref="C6:C8"/>
  </mergeCells>
  <pageMargins left="0.23" right="0.2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P24"/>
  <sheetViews>
    <sheetView showGridLines="0" zoomScale="95" zoomScaleNormal="95" workbookViewId="0">
      <selection activeCell="E25" sqref="E25"/>
    </sheetView>
  </sheetViews>
  <sheetFormatPr defaultColWidth="9.28515625" defaultRowHeight="14.25"/>
  <cols>
    <col min="1" max="1" width="3" style="19" customWidth="1"/>
    <col min="2" max="2" width="6.28515625" style="19" customWidth="1"/>
    <col min="3" max="3" width="37.28515625" style="19" customWidth="1"/>
    <col min="4" max="4" width="14.28515625" style="19" customWidth="1"/>
    <col min="5" max="5" width="11.5703125" style="19" customWidth="1"/>
    <col min="6" max="6" width="13.85546875" style="19" customWidth="1"/>
    <col min="7" max="7" width="13.140625" style="19" customWidth="1"/>
    <col min="8" max="8" width="14.140625" style="19" customWidth="1"/>
    <col min="9" max="9" width="15.5703125" style="19" customWidth="1"/>
    <col min="10" max="10" width="13.85546875" style="19" customWidth="1"/>
    <col min="11" max="11" width="12.42578125" style="19" customWidth="1"/>
    <col min="12" max="12" width="11.42578125" style="19" customWidth="1"/>
    <col min="13" max="13" width="13.5703125" style="19" customWidth="1"/>
    <col min="14" max="14" width="11.85546875" style="19" customWidth="1"/>
    <col min="15" max="15" width="12" style="19" customWidth="1"/>
    <col min="16" max="16" width="15.7109375" style="19" customWidth="1"/>
    <col min="17" max="16384" width="9.28515625" style="19"/>
  </cols>
  <sheetData>
    <row r="2" spans="2:16" ht="15.75">
      <c r="B2" s="268" t="s">
        <v>530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</row>
    <row r="3" spans="2:16" ht="15.75">
      <c r="B3" s="268" t="s">
        <v>512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</row>
    <row r="4" spans="2:16" s="4" customFormat="1" ht="15.75">
      <c r="B4" s="268" t="s">
        <v>539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</row>
    <row r="7" spans="2:16" ht="12.75" customHeight="1">
      <c r="B7" s="275" t="s">
        <v>210</v>
      </c>
      <c r="C7" s="278" t="s">
        <v>18</v>
      </c>
      <c r="D7" s="272" t="s">
        <v>39</v>
      </c>
      <c r="E7" s="278" t="s">
        <v>1</v>
      </c>
      <c r="F7" s="282" t="s">
        <v>481</v>
      </c>
      <c r="G7" s="283"/>
      <c r="H7" s="284"/>
      <c r="I7" s="282" t="s">
        <v>482</v>
      </c>
      <c r="J7" s="283"/>
      <c r="K7" s="280" t="s">
        <v>252</v>
      </c>
      <c r="L7" s="280"/>
      <c r="M7" s="280"/>
      <c r="N7" s="280"/>
      <c r="O7" s="280"/>
      <c r="P7" s="280" t="s">
        <v>11</v>
      </c>
    </row>
    <row r="8" spans="2:16" ht="30" customHeight="1">
      <c r="B8" s="276"/>
      <c r="C8" s="278"/>
      <c r="D8" s="273"/>
      <c r="E8" s="278"/>
      <c r="F8" s="21" t="s">
        <v>397</v>
      </c>
      <c r="G8" s="21" t="s">
        <v>258</v>
      </c>
      <c r="H8" s="21" t="s">
        <v>226</v>
      </c>
      <c r="I8" s="21" t="s">
        <v>397</v>
      </c>
      <c r="J8" s="21" t="s">
        <v>262</v>
      </c>
      <c r="K8" s="21" t="s">
        <v>483</v>
      </c>
      <c r="L8" s="21" t="s">
        <v>484</v>
      </c>
      <c r="M8" s="21" t="s">
        <v>485</v>
      </c>
      <c r="N8" s="21" t="s">
        <v>486</v>
      </c>
      <c r="O8" s="21" t="s">
        <v>487</v>
      </c>
      <c r="P8" s="280"/>
    </row>
    <row r="9" spans="2:16" ht="15">
      <c r="B9" s="277"/>
      <c r="C9" s="279"/>
      <c r="D9" s="274"/>
      <c r="E9" s="279"/>
      <c r="F9" s="21" t="s">
        <v>10</v>
      </c>
      <c r="G9" s="21" t="s">
        <v>12</v>
      </c>
      <c r="H9" s="21" t="s">
        <v>259</v>
      </c>
      <c r="I9" s="21" t="s">
        <v>10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  <c r="P9" s="281"/>
    </row>
    <row r="10" spans="2:16" ht="15">
      <c r="B10" s="28" t="s">
        <v>67</v>
      </c>
      <c r="C10" s="29" t="s">
        <v>265</v>
      </c>
      <c r="D10" s="26"/>
      <c r="E10" s="26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7"/>
    </row>
    <row r="11" spans="2:16" ht="15">
      <c r="B11" s="2">
        <v>1</v>
      </c>
      <c r="C11" s="3" t="s">
        <v>36</v>
      </c>
      <c r="D11" s="2" t="s">
        <v>222</v>
      </c>
      <c r="E11" s="23" t="s">
        <v>304</v>
      </c>
      <c r="F11" s="161">
        <f>'F2'!E14</f>
        <v>163.04310000000001</v>
      </c>
      <c r="G11" s="161">
        <f>'F2'!F14</f>
        <v>208.32463572061795</v>
      </c>
      <c r="H11" s="161">
        <f>'F2'!G14</f>
        <v>208.32463572061795</v>
      </c>
      <c r="I11" s="161">
        <f>'F2'!H14</f>
        <v>168.63659999999999</v>
      </c>
      <c r="J11" s="161">
        <f>'F2'!I14</f>
        <v>215.57492155771286</v>
      </c>
      <c r="K11" s="161">
        <f>'F2'!J14</f>
        <v>209.14928383280755</v>
      </c>
      <c r="L11" s="161">
        <f>'F2'!K14</f>
        <v>219.54300572783688</v>
      </c>
      <c r="M11" s="161">
        <f>'F2'!L14</f>
        <v>230.41415256126382</v>
      </c>
      <c r="N11" s="161">
        <f>'F2'!M14</f>
        <v>242.07857813723621</v>
      </c>
      <c r="O11" s="161">
        <f>'F2'!N14</f>
        <v>254.211739738387</v>
      </c>
      <c r="P11" s="253"/>
    </row>
    <row r="12" spans="2:16" ht="15">
      <c r="B12" s="2">
        <f t="shared" ref="B12:B17" si="0">B11+1</f>
        <v>2</v>
      </c>
      <c r="C12" s="24" t="s">
        <v>176</v>
      </c>
      <c r="D12" s="2" t="s">
        <v>222</v>
      </c>
      <c r="E12" s="23" t="s">
        <v>23</v>
      </c>
      <c r="F12" s="168">
        <v>131.41399999999999</v>
      </c>
      <c r="G12" s="168">
        <f>H12</f>
        <v>128.09296343514978</v>
      </c>
      <c r="H12" s="161">
        <f>'F4'!K21-'F4'!L21</f>
        <v>128.09296343514978</v>
      </c>
      <c r="I12" s="167">
        <v>74.16</v>
      </c>
      <c r="J12" s="161">
        <f>'F4'!K38-'F4'!L38</f>
        <v>17.493439370529206</v>
      </c>
      <c r="K12" s="161">
        <f>'F4'!K55-'F4'!L55</f>
        <v>17.504780264065506</v>
      </c>
      <c r="L12" s="161">
        <f>'F4'!K72-'F4'!L72</f>
        <v>18.5208802640655</v>
      </c>
      <c r="M12" s="161">
        <f>'F4'!K89-'F4'!L89</f>
        <v>18.71188026406551</v>
      </c>
      <c r="N12" s="161">
        <f>'F4'!K106-'F4'!L106</f>
        <v>20.50175526406548</v>
      </c>
      <c r="O12" s="161">
        <f>'F4'!K123-'F4'!L123</f>
        <v>20.501755264065455</v>
      </c>
      <c r="P12" s="254"/>
    </row>
    <row r="13" spans="2:16" ht="15">
      <c r="B13" s="2">
        <f t="shared" si="0"/>
        <v>3</v>
      </c>
      <c r="C13" s="3" t="s">
        <v>263</v>
      </c>
      <c r="D13" s="2" t="s">
        <v>222</v>
      </c>
      <c r="E13" s="22" t="s">
        <v>29</v>
      </c>
      <c r="F13" s="161">
        <f>'F5'!D22</f>
        <v>1.0900000000000001</v>
      </c>
      <c r="G13" s="161">
        <f>'F5'!E22</f>
        <v>0</v>
      </c>
      <c r="H13" s="161">
        <f>'F5'!F22</f>
        <v>0</v>
      </c>
      <c r="I13" s="161">
        <f>'F5'!G22</f>
        <v>0</v>
      </c>
      <c r="J13" s="161">
        <f>'F5'!H22</f>
        <v>0</v>
      </c>
      <c r="K13" s="161">
        <f>'F5'!I22</f>
        <v>0</v>
      </c>
      <c r="L13" s="161">
        <f>'F5'!J22</f>
        <v>0</v>
      </c>
      <c r="M13" s="161">
        <f>'F5'!K22</f>
        <v>0</v>
      </c>
      <c r="N13" s="161">
        <f>'F5'!L22</f>
        <v>0</v>
      </c>
      <c r="O13" s="161">
        <f>'F5'!M22</f>
        <v>0</v>
      </c>
      <c r="P13" s="254"/>
    </row>
    <row r="14" spans="2:16" ht="15">
      <c r="B14" s="2">
        <f t="shared" si="0"/>
        <v>4</v>
      </c>
      <c r="C14" s="24" t="s">
        <v>37</v>
      </c>
      <c r="D14" s="2" t="s">
        <v>222</v>
      </c>
      <c r="E14" s="22" t="s">
        <v>30</v>
      </c>
      <c r="F14" s="161">
        <f>'F6'!D20</f>
        <v>33.26</v>
      </c>
      <c r="G14" s="161">
        <f ca="1">'F6'!E20</f>
        <v>36.624392254468212</v>
      </c>
      <c r="H14" s="161">
        <f ca="1">'F6'!F20</f>
        <v>36.624392254468212</v>
      </c>
      <c r="I14" s="161">
        <f>'F6'!G20</f>
        <v>33.46</v>
      </c>
      <c r="J14" s="161">
        <f ca="1">'F6'!H20</f>
        <v>41.876058209379252</v>
      </c>
      <c r="K14" s="161">
        <f ca="1">'F6'!I20</f>
        <v>30.990658310153183</v>
      </c>
      <c r="L14" s="161">
        <f ca="1">'F6'!J20</f>
        <v>31.662611458419132</v>
      </c>
      <c r="M14" s="161">
        <f ca="1">'F6'!K20</f>
        <v>32.354816956524225</v>
      </c>
      <c r="N14" s="161">
        <f ca="1">'F6'!L20</f>
        <v>33.135232875024293</v>
      </c>
      <c r="O14" s="161">
        <f ca="1">'F6'!M20</f>
        <v>33.826990629952377</v>
      </c>
      <c r="P14" s="254"/>
    </row>
    <row r="15" spans="2:16" ht="15">
      <c r="B15" s="2">
        <f t="shared" si="0"/>
        <v>5</v>
      </c>
      <c r="C15" s="3" t="s">
        <v>264</v>
      </c>
      <c r="D15" s="2" t="s">
        <v>222</v>
      </c>
      <c r="E15" s="22" t="s">
        <v>31</v>
      </c>
      <c r="F15" s="161">
        <f>'F7'!D22</f>
        <v>143.61000000000001</v>
      </c>
      <c r="G15" s="161">
        <f>'F7'!E22</f>
        <v>158.3873480914919</v>
      </c>
      <c r="H15" s="161">
        <f>'F7'!F22</f>
        <v>158.3873480914919</v>
      </c>
      <c r="I15" s="161">
        <f>'F7'!G22</f>
        <v>143.61000000000001</v>
      </c>
      <c r="J15" s="161">
        <f>'F7'!H22</f>
        <v>158.39647113155334</v>
      </c>
      <c r="K15" s="161">
        <f>'F7'!I22</f>
        <v>158.75087165539338</v>
      </c>
      <c r="L15" s="161">
        <f>'F7'!J22</f>
        <v>159.16099032120479</v>
      </c>
      <c r="M15" s="161">
        <f>'F7'!K22</f>
        <v>159.71465052005018</v>
      </c>
      <c r="N15" s="161">
        <f>'F7'!L22</f>
        <v>160.20896779073655</v>
      </c>
      <c r="O15" s="161">
        <f>'F7'!M22</f>
        <v>160.56858376050883</v>
      </c>
      <c r="P15" s="254"/>
    </row>
    <row r="16" spans="2:16" ht="15">
      <c r="B16" s="2">
        <f t="shared" si="0"/>
        <v>6</v>
      </c>
      <c r="C16" s="3" t="s">
        <v>38</v>
      </c>
      <c r="D16" s="2" t="s">
        <v>222</v>
      </c>
      <c r="E16" s="22" t="s">
        <v>32</v>
      </c>
      <c r="F16" s="161"/>
      <c r="G16" s="161">
        <f>'F8'!E22</f>
        <v>25.976932844317147</v>
      </c>
      <c r="H16" s="161">
        <f>'F8'!F22</f>
        <v>25.976932844317147</v>
      </c>
      <c r="I16" s="161"/>
      <c r="J16" s="161">
        <f>'F8'!H22</f>
        <v>31.447591906475505</v>
      </c>
      <c r="K16" s="161">
        <f>'F8'!I22</f>
        <v>28.004900194781182</v>
      </c>
      <c r="L16" s="161">
        <f>'F8'!J22</f>
        <v>29.125096202572429</v>
      </c>
      <c r="M16" s="161">
        <f>'F8'!K22</f>
        <v>30.290100050675328</v>
      </c>
      <c r="N16" s="161">
        <f>'F8'!L22</f>
        <v>31.50170405270234</v>
      </c>
      <c r="O16" s="161">
        <f>'F8'!M22</f>
        <v>32.761772214810435</v>
      </c>
      <c r="P16" s="254"/>
    </row>
    <row r="17" spans="2:16" ht="15">
      <c r="B17" s="20">
        <f t="shared" si="0"/>
        <v>7</v>
      </c>
      <c r="C17" s="25" t="s">
        <v>265</v>
      </c>
      <c r="D17" s="20" t="s">
        <v>222</v>
      </c>
      <c r="E17" s="22"/>
      <c r="F17" s="161">
        <f>SUM(F11:F16)</f>
        <v>472.41709999999995</v>
      </c>
      <c r="G17" s="161">
        <f ca="1">SUM(G11:G15)-G16</f>
        <v>505.45240665741062</v>
      </c>
      <c r="H17" s="161">
        <f t="shared" ref="H17:O17" ca="1" si="1">SUM(H11:H15)-H16</f>
        <v>505.45240665741062</v>
      </c>
      <c r="I17" s="161">
        <f t="shared" si="1"/>
        <v>419.86660000000001</v>
      </c>
      <c r="J17" s="161">
        <f t="shared" ca="1" si="1"/>
        <v>401.89329836269917</v>
      </c>
      <c r="K17" s="161">
        <f t="shared" ca="1" si="1"/>
        <v>388.3906938676385</v>
      </c>
      <c r="L17" s="161">
        <f t="shared" ca="1" si="1"/>
        <v>399.76239156895389</v>
      </c>
      <c r="M17" s="161">
        <f t="shared" ca="1" si="1"/>
        <v>410.9054002512284</v>
      </c>
      <c r="N17" s="161">
        <f t="shared" ca="1" si="1"/>
        <v>424.42283001436022</v>
      </c>
      <c r="O17" s="161">
        <f t="shared" ca="1" si="1"/>
        <v>436.34729717810325</v>
      </c>
      <c r="P17" s="254"/>
    </row>
    <row r="18" spans="2:16" ht="15">
      <c r="B18" s="20" t="s">
        <v>71</v>
      </c>
      <c r="C18" s="20" t="s">
        <v>266</v>
      </c>
      <c r="D18" s="22"/>
      <c r="E18" s="22"/>
      <c r="F18" s="22"/>
      <c r="G18" s="3"/>
      <c r="H18" s="3"/>
      <c r="I18" s="3"/>
      <c r="J18" s="3"/>
      <c r="K18" s="3"/>
      <c r="L18" s="3"/>
      <c r="M18" s="3"/>
      <c r="N18" s="3"/>
      <c r="O18" s="3"/>
      <c r="P18" s="255"/>
    </row>
    <row r="19" spans="2:16" ht="15">
      <c r="B19" s="2">
        <v>1</v>
      </c>
      <c r="C19" s="22" t="s">
        <v>267</v>
      </c>
      <c r="D19" s="2" t="s">
        <v>221</v>
      </c>
      <c r="E19" s="22" t="s">
        <v>172</v>
      </c>
      <c r="F19" s="161">
        <f>'F12'!E19</f>
        <v>3.5403134735849298</v>
      </c>
      <c r="G19" s="161">
        <f>'F12'!F19</f>
        <v>3.2433125433647696</v>
      </c>
      <c r="H19" s="161">
        <f>'F12'!G19</f>
        <v>3.2433125433647696</v>
      </c>
      <c r="I19" s="161">
        <f>'F12'!H19</f>
        <v>3.5093569260805064</v>
      </c>
      <c r="J19" s="161">
        <f>'F12'!I19</f>
        <v>3.2193609067934177</v>
      </c>
      <c r="K19" s="161">
        <f>'F12'!J19</f>
        <v>3.3686170720401347</v>
      </c>
      <c r="L19" s="161">
        <f>'F12'!K19</f>
        <v>3.4359894134809368</v>
      </c>
      <c r="M19" s="161">
        <f>'F12'!L19</f>
        <v>3.504709201750555</v>
      </c>
      <c r="N19" s="161">
        <f>'F12'!M19</f>
        <v>3.5748033857855668</v>
      </c>
      <c r="O19" s="161">
        <f>'F12'!N19</f>
        <v>3.6462994535012778</v>
      </c>
      <c r="P19" s="255"/>
    </row>
    <row r="20" spans="2:16" ht="15">
      <c r="B20" s="2">
        <f>B19+1</f>
        <v>2</v>
      </c>
      <c r="C20" s="22" t="s">
        <v>268</v>
      </c>
      <c r="D20" s="2" t="s">
        <v>45</v>
      </c>
      <c r="E20" s="22" t="s">
        <v>34</v>
      </c>
      <c r="F20" s="161">
        <f>'F10'!F23</f>
        <v>2978.8</v>
      </c>
      <c r="G20" s="161">
        <f>'F10'!F30</f>
        <v>2978.8</v>
      </c>
      <c r="H20" s="161">
        <f>'F10'!G30</f>
        <v>2978.8</v>
      </c>
      <c r="I20" s="161">
        <f>J20</f>
        <v>3521.3117739999998</v>
      </c>
      <c r="J20" s="161">
        <f>'F10'!I30</f>
        <v>3521.3117739999998</v>
      </c>
      <c r="K20" s="161">
        <f>'F10'!J30</f>
        <v>3530.38</v>
      </c>
      <c r="L20" s="161">
        <f>'F10'!K30</f>
        <v>3527.54</v>
      </c>
      <c r="M20" s="161">
        <f>'F10'!L30</f>
        <v>3529.25</v>
      </c>
      <c r="N20" s="161">
        <f>'F10'!M30</f>
        <v>3537.21</v>
      </c>
      <c r="O20" s="161">
        <f>'F10'!N30</f>
        <v>3530.38</v>
      </c>
      <c r="P20" s="255"/>
    </row>
    <row r="21" spans="2:16" ht="15">
      <c r="B21" s="2">
        <f>B20+1</f>
        <v>3</v>
      </c>
      <c r="C21" s="22" t="s">
        <v>266</v>
      </c>
      <c r="D21" s="2" t="s">
        <v>222</v>
      </c>
      <c r="E21" s="22"/>
      <c r="F21" s="161">
        <f>F19*F20/10</f>
        <v>1054.5885775114789</v>
      </c>
      <c r="G21" s="161">
        <f t="shared" ref="G21:O21" si="2">G19*G20/10</f>
        <v>966.11794041749761</v>
      </c>
      <c r="H21" s="161">
        <f t="shared" si="2"/>
        <v>966.11794041749761</v>
      </c>
      <c r="I21" s="161">
        <f t="shared" si="2"/>
        <v>1235.7539862975734</v>
      </c>
      <c r="J21" s="161">
        <f t="shared" si="2"/>
        <v>1133.6373465846978</v>
      </c>
      <c r="K21" s="161">
        <f t="shared" si="2"/>
        <v>1189.2498338789051</v>
      </c>
      <c r="L21" s="161">
        <f t="shared" si="2"/>
        <v>1212.0590095630544</v>
      </c>
      <c r="M21" s="161">
        <f t="shared" si="2"/>
        <v>1236.8994950278145</v>
      </c>
      <c r="N21" s="161">
        <f t="shared" si="2"/>
        <v>1264.4830284234565</v>
      </c>
      <c r="O21" s="161">
        <f t="shared" si="2"/>
        <v>1287.2822664651842</v>
      </c>
      <c r="P21" s="255"/>
    </row>
    <row r="22" spans="2:16" ht="15">
      <c r="B22" s="20" t="s">
        <v>72</v>
      </c>
      <c r="C22" s="20" t="s">
        <v>432</v>
      </c>
      <c r="D22" s="2" t="s">
        <v>222</v>
      </c>
      <c r="E22" s="3"/>
      <c r="F22" s="161">
        <f>F17+F21</f>
        <v>1527.0056775114788</v>
      </c>
      <c r="G22" s="161">
        <f t="shared" ref="G22:O22" ca="1" si="3">G17+G21</f>
        <v>1471.5703470749081</v>
      </c>
      <c r="H22" s="161">
        <f t="shared" ca="1" si="3"/>
        <v>1471.5703470749081</v>
      </c>
      <c r="I22" s="161">
        <f t="shared" si="3"/>
        <v>1655.6205862975735</v>
      </c>
      <c r="J22" s="161">
        <f t="shared" ca="1" si="3"/>
        <v>1535.5306449473969</v>
      </c>
      <c r="K22" s="161">
        <f t="shared" ca="1" si="3"/>
        <v>1577.6405277465435</v>
      </c>
      <c r="L22" s="161">
        <f t="shared" ca="1" si="3"/>
        <v>1611.8214011320083</v>
      </c>
      <c r="M22" s="161">
        <f t="shared" ca="1" si="3"/>
        <v>1647.804895279043</v>
      </c>
      <c r="N22" s="161">
        <f t="shared" ca="1" si="3"/>
        <v>1688.9058584378167</v>
      </c>
      <c r="O22" s="161">
        <f t="shared" ca="1" si="3"/>
        <v>1723.6295636432874</v>
      </c>
      <c r="P22" s="255"/>
    </row>
    <row r="23" spans="2:16" hidden="1">
      <c r="F23" s="187">
        <f>SUM(F17+F16)</f>
        <v>472.41709999999995</v>
      </c>
      <c r="G23" s="187">
        <f t="shared" ref="G23:O23" ca="1" si="4">SUM(G17+G16)</f>
        <v>531.42933950172778</v>
      </c>
      <c r="H23" s="187">
        <f t="shared" ca="1" si="4"/>
        <v>531.42933950172778</v>
      </c>
      <c r="I23" s="187">
        <f t="shared" si="4"/>
        <v>419.86660000000001</v>
      </c>
      <c r="J23" s="187">
        <f t="shared" ca="1" si="4"/>
        <v>433.34089026917468</v>
      </c>
      <c r="K23" s="187">
        <f t="shared" ca="1" si="4"/>
        <v>416.39559406241966</v>
      </c>
      <c r="L23" s="187">
        <f t="shared" ca="1" si="4"/>
        <v>428.88748777152631</v>
      </c>
      <c r="M23" s="187">
        <f t="shared" ca="1" si="4"/>
        <v>441.19550030190373</v>
      </c>
      <c r="N23" s="187">
        <f t="shared" ca="1" si="4"/>
        <v>455.92453406706255</v>
      </c>
      <c r="O23" s="187">
        <f t="shared" ca="1" si="4"/>
        <v>469.10906939291368</v>
      </c>
    </row>
    <row r="24" spans="2:16">
      <c r="G24" s="264"/>
    </row>
  </sheetData>
  <mergeCells count="11">
    <mergeCell ref="B2:P2"/>
    <mergeCell ref="B3:P3"/>
    <mergeCell ref="B4:P4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6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Q72"/>
  <sheetViews>
    <sheetView showGridLines="0" view="pageBreakPreview" topLeftCell="A22" zoomScale="60" workbookViewId="0">
      <selection activeCell="I34" sqref="I34"/>
    </sheetView>
  </sheetViews>
  <sheetFormatPr defaultColWidth="9.28515625" defaultRowHeight="14.25"/>
  <cols>
    <col min="1" max="1" width="4.28515625" style="5" customWidth="1"/>
    <col min="2" max="2" width="32.140625" style="5" customWidth="1"/>
    <col min="3" max="15" width="10.7109375" style="5" customWidth="1"/>
    <col min="16" max="16384" width="9.28515625" style="5"/>
  </cols>
  <sheetData>
    <row r="1" spans="1:17" ht="15">
      <c r="B1" s="123"/>
    </row>
    <row r="2" spans="1:17" ht="14.25" customHeight="1">
      <c r="B2" s="292" t="s">
        <v>529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 spans="1:17" ht="14.25" customHeight="1">
      <c r="B3" s="292" t="s">
        <v>511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</row>
    <row r="4" spans="1:17" ht="15">
      <c r="B4" s="294" t="s">
        <v>388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</row>
    <row r="5" spans="1:17" ht="15">
      <c r="B5" s="30" t="s">
        <v>481</v>
      </c>
      <c r="C5" s="88"/>
      <c r="D5" s="88"/>
      <c r="E5" s="88"/>
      <c r="F5" s="88"/>
      <c r="G5" s="88"/>
      <c r="H5" s="88"/>
      <c r="I5" s="42"/>
    </row>
    <row r="6" spans="1:17" ht="15">
      <c r="B6" s="30" t="s">
        <v>12</v>
      </c>
      <c r="C6" s="31"/>
      <c r="D6" s="31"/>
      <c r="O6" s="31" t="s">
        <v>140</v>
      </c>
    </row>
    <row r="7" spans="1:17" s="39" customFormat="1" ht="15" customHeight="1">
      <c r="B7" s="37" t="s">
        <v>389</v>
      </c>
      <c r="C7" s="37" t="s">
        <v>141</v>
      </c>
      <c r="D7" s="37" t="s">
        <v>142</v>
      </c>
      <c r="E7" s="124" t="s">
        <v>143</v>
      </c>
      <c r="F7" s="124" t="s">
        <v>144</v>
      </c>
      <c r="G7" s="124" t="s">
        <v>145</v>
      </c>
      <c r="H7" s="124" t="s">
        <v>146</v>
      </c>
      <c r="I7" s="124" t="s">
        <v>147</v>
      </c>
      <c r="J7" s="124" t="s">
        <v>148</v>
      </c>
      <c r="K7" s="124" t="s">
        <v>149</v>
      </c>
      <c r="L7" s="124" t="s">
        <v>150</v>
      </c>
      <c r="M7" s="124" t="s">
        <v>151</v>
      </c>
      <c r="N7" s="124" t="s">
        <v>152</v>
      </c>
      <c r="O7" s="124" t="s">
        <v>139</v>
      </c>
    </row>
    <row r="8" spans="1:17" s="39" customFormat="1" ht="15">
      <c r="B8" s="86" t="s">
        <v>479</v>
      </c>
      <c r="C8" s="170">
        <v>199.78066094500002</v>
      </c>
      <c r="D8" s="170">
        <v>170.21113539300001</v>
      </c>
      <c r="E8" s="170">
        <v>-2.5061928019999997</v>
      </c>
      <c r="F8" s="170">
        <v>44.244605653999997</v>
      </c>
      <c r="G8" s="170">
        <v>196.046728823</v>
      </c>
      <c r="H8" s="170">
        <v>200.53351198850001</v>
      </c>
      <c r="I8" s="170">
        <v>192.22253503100001</v>
      </c>
      <c r="J8" s="170">
        <v>210.85047942600002</v>
      </c>
      <c r="K8" s="170">
        <v>224.48940226049999</v>
      </c>
      <c r="L8" s="170">
        <v>231.33852395600002</v>
      </c>
      <c r="M8" s="170">
        <v>196.91050774799999</v>
      </c>
      <c r="N8" s="170">
        <v>237.422928098</v>
      </c>
      <c r="O8" s="170">
        <f>SUM(C8:N8)</f>
        <v>2101.5448265209998</v>
      </c>
    </row>
    <row r="9" spans="1:17" s="39" customFormat="1" ht="15">
      <c r="B9" s="86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</row>
    <row r="10" spans="1:17" s="39" customFormat="1" ht="15">
      <c r="B10" s="86" t="s">
        <v>480</v>
      </c>
      <c r="C10" s="170">
        <v>83.395329054999991</v>
      </c>
      <c r="D10" s="170">
        <v>71.051990606999993</v>
      </c>
      <c r="E10" s="170">
        <v>-1.0461711980000001</v>
      </c>
      <c r="F10" s="170">
        <v>18.469222346000002</v>
      </c>
      <c r="G10" s="170">
        <v>81.836657176999978</v>
      </c>
      <c r="H10" s="170">
        <v>83.709595011499999</v>
      </c>
      <c r="I10" s="170">
        <v>80.240306969000017</v>
      </c>
      <c r="J10" s="170">
        <v>88.016252573999992</v>
      </c>
      <c r="K10" s="170">
        <v>93.709608739499998</v>
      </c>
      <c r="L10" s="170">
        <v>96.568668043999992</v>
      </c>
      <c r="M10" s="170">
        <v>82.197228252000002</v>
      </c>
      <c r="N10" s="170">
        <v>99.108507901999985</v>
      </c>
      <c r="O10" s="170">
        <f>SUM(C10:N10)</f>
        <v>877.25719547899985</v>
      </c>
    </row>
    <row r="11" spans="1:17" s="39" customFormat="1" ht="15">
      <c r="B11" s="44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</row>
    <row r="12" spans="1:17" ht="15">
      <c r="B12" s="46" t="s">
        <v>139</v>
      </c>
      <c r="C12" s="145">
        <f>C8+C10</f>
        <v>283.17599000000001</v>
      </c>
      <c r="D12" s="145">
        <f t="shared" ref="D12:O12" si="0">D8+D10</f>
        <v>241.263126</v>
      </c>
      <c r="E12" s="145">
        <f t="shared" si="0"/>
        <v>-3.5523639999999999</v>
      </c>
      <c r="F12" s="145">
        <f t="shared" si="0"/>
        <v>62.713827999999999</v>
      </c>
      <c r="G12" s="145">
        <f t="shared" si="0"/>
        <v>277.88338599999997</v>
      </c>
      <c r="H12" s="145">
        <f t="shared" si="0"/>
        <v>284.24310700000001</v>
      </c>
      <c r="I12" s="145">
        <f t="shared" si="0"/>
        <v>272.46284200000002</v>
      </c>
      <c r="J12" s="145">
        <f t="shared" si="0"/>
        <v>298.86673200000001</v>
      </c>
      <c r="K12" s="145">
        <f t="shared" si="0"/>
        <v>318.19901099999998</v>
      </c>
      <c r="L12" s="145">
        <f t="shared" si="0"/>
        <v>327.90719200000001</v>
      </c>
      <c r="M12" s="145">
        <f t="shared" si="0"/>
        <v>279.10773599999999</v>
      </c>
      <c r="N12" s="145">
        <f t="shared" si="0"/>
        <v>336.53143599999999</v>
      </c>
      <c r="O12" s="145">
        <f t="shared" si="0"/>
        <v>2978.8020219999999</v>
      </c>
    </row>
    <row r="13" spans="1:17" ht="16.5">
      <c r="B13" s="30"/>
      <c r="C13" s="88"/>
      <c r="D13" s="88"/>
      <c r="E13" s="88"/>
      <c r="F13" s="88"/>
      <c r="G13" s="88"/>
      <c r="H13" s="88"/>
      <c r="I13" s="114"/>
    </row>
    <row r="14" spans="1:17" ht="16.5">
      <c r="B14" s="30" t="s">
        <v>482</v>
      </c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42"/>
      <c r="P14" s="114"/>
    </row>
    <row r="15" spans="1:17" ht="16.5">
      <c r="A15" s="5" t="s">
        <v>387</v>
      </c>
      <c r="B15" s="30" t="s">
        <v>5</v>
      </c>
      <c r="C15" s="31"/>
      <c r="D15" s="31"/>
      <c r="O15" s="31" t="s">
        <v>140</v>
      </c>
      <c r="P15" s="114"/>
    </row>
    <row r="16" spans="1:17" ht="18.75" customHeight="1">
      <c r="B16" s="288" t="s">
        <v>389</v>
      </c>
      <c r="C16" s="332" t="s">
        <v>153</v>
      </c>
      <c r="D16" s="308"/>
      <c r="E16" s="308"/>
      <c r="F16" s="308"/>
      <c r="G16" s="308"/>
      <c r="H16" s="309"/>
      <c r="I16" s="332" t="s">
        <v>5</v>
      </c>
      <c r="J16" s="308"/>
      <c r="K16" s="308"/>
      <c r="L16" s="308"/>
      <c r="M16" s="308"/>
      <c r="N16" s="309"/>
      <c r="O16" s="37" t="s">
        <v>154</v>
      </c>
      <c r="P16" s="114"/>
      <c r="Q16" s="114"/>
    </row>
    <row r="17" spans="2:16" ht="15">
      <c r="B17" s="290"/>
      <c r="C17" s="37" t="s">
        <v>141</v>
      </c>
      <c r="D17" s="37" t="s">
        <v>142</v>
      </c>
      <c r="E17" s="124" t="s">
        <v>143</v>
      </c>
      <c r="F17" s="124" t="s">
        <v>144</v>
      </c>
      <c r="G17" s="124" t="s">
        <v>145</v>
      </c>
      <c r="H17" s="124" t="s">
        <v>146</v>
      </c>
      <c r="I17" s="124" t="s">
        <v>147</v>
      </c>
      <c r="J17" s="124" t="s">
        <v>148</v>
      </c>
      <c r="K17" s="124" t="s">
        <v>149</v>
      </c>
      <c r="L17" s="124" t="s">
        <v>150</v>
      </c>
      <c r="M17" s="124" t="s">
        <v>151</v>
      </c>
      <c r="N17" s="124" t="s">
        <v>152</v>
      </c>
      <c r="O17" s="27"/>
    </row>
    <row r="18" spans="2:16" s="39" customFormat="1" ht="15">
      <c r="B18" s="86" t="s">
        <v>479</v>
      </c>
      <c r="C18" s="170">
        <v>179.80373</v>
      </c>
      <c r="D18" s="170">
        <v>206.04127500000001</v>
      </c>
      <c r="E18" s="170">
        <v>217.87251000000001</v>
      </c>
      <c r="F18" s="184">
        <v>215.410315</v>
      </c>
      <c r="G18" s="170">
        <v>205.38516000000001</v>
      </c>
      <c r="H18" s="170">
        <v>195.88913000000002</v>
      </c>
      <c r="I18" s="170">
        <v>199.973975</v>
      </c>
      <c r="J18" s="170">
        <v>211.23375500000003</v>
      </c>
      <c r="K18" s="170">
        <v>212.26378500000001</v>
      </c>
      <c r="L18" s="170">
        <f>318.32*0.7055</f>
        <v>224.57476</v>
      </c>
      <c r="M18" s="170">
        <f>288.12*0.7055</f>
        <v>203.26866000000001</v>
      </c>
      <c r="N18" s="170">
        <f>301.305359*0.7055</f>
        <v>212.5709307745</v>
      </c>
      <c r="O18" s="184">
        <f>SUM(C18:N18)</f>
        <v>2484.2879857745006</v>
      </c>
    </row>
    <row r="19" spans="2:16" s="39" customFormat="1" ht="15">
      <c r="B19" s="86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46"/>
      <c r="N19" s="46"/>
      <c r="O19" s="184"/>
    </row>
    <row r="20" spans="2:16" s="39" customFormat="1" ht="15">
      <c r="B20" s="86" t="s">
        <v>480</v>
      </c>
      <c r="C20" s="170">
        <v>75.056270000000012</v>
      </c>
      <c r="D20" s="170">
        <v>86.008724999999998</v>
      </c>
      <c r="E20" s="170">
        <v>90.947489999999988</v>
      </c>
      <c r="F20" s="170">
        <v>89.919684999999987</v>
      </c>
      <c r="G20" s="170">
        <v>85.734839999999991</v>
      </c>
      <c r="H20" s="170">
        <v>81.770870000000002</v>
      </c>
      <c r="I20" s="170">
        <v>83.476024999999993</v>
      </c>
      <c r="J20" s="170">
        <v>88.176244999999994</v>
      </c>
      <c r="K20" s="170">
        <v>88.606214999999992</v>
      </c>
      <c r="L20" s="170">
        <f>318.32*0.2945</f>
        <v>93.745239999999995</v>
      </c>
      <c r="M20" s="170">
        <f>288.12*0.2945</f>
        <v>84.851339999999993</v>
      </c>
      <c r="N20" s="170">
        <f>301.305359*0.2945</f>
        <v>88.734428225499997</v>
      </c>
      <c r="O20" s="184">
        <f>SUM(C20:N20)</f>
        <v>1037.0273732255</v>
      </c>
    </row>
    <row r="21" spans="2:16" s="39" customFormat="1" ht="15">
      <c r="B21" s="44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</row>
    <row r="22" spans="2:16" ht="15">
      <c r="B22" s="46" t="s">
        <v>139</v>
      </c>
      <c r="C22" s="145">
        <f>C18+C20</f>
        <v>254.86</v>
      </c>
      <c r="D22" s="145">
        <f t="shared" ref="D22:O22" si="1">D18+D20</f>
        <v>292.05</v>
      </c>
      <c r="E22" s="145">
        <f t="shared" si="1"/>
        <v>308.82</v>
      </c>
      <c r="F22" s="145">
        <f t="shared" si="1"/>
        <v>305.33</v>
      </c>
      <c r="G22" s="145">
        <f t="shared" si="1"/>
        <v>291.12</v>
      </c>
      <c r="H22" s="145">
        <f t="shared" si="1"/>
        <v>277.66000000000003</v>
      </c>
      <c r="I22" s="145">
        <f t="shared" si="1"/>
        <v>283.45</v>
      </c>
      <c r="J22" s="145">
        <f t="shared" si="1"/>
        <v>299.41000000000003</v>
      </c>
      <c r="K22" s="145">
        <f t="shared" si="1"/>
        <v>300.87</v>
      </c>
      <c r="L22" s="145">
        <f t="shared" si="1"/>
        <v>318.32</v>
      </c>
      <c r="M22" s="145">
        <f t="shared" si="1"/>
        <v>288.12</v>
      </c>
      <c r="N22" s="145">
        <f t="shared" si="1"/>
        <v>301.30535900000001</v>
      </c>
      <c r="O22" s="145">
        <f t="shared" si="1"/>
        <v>3521.3153590000006</v>
      </c>
    </row>
    <row r="24" spans="2:16" ht="16.5">
      <c r="B24" s="30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42"/>
      <c r="P24" s="114"/>
    </row>
    <row r="25" spans="2:16" ht="15">
      <c r="B25" s="30" t="s">
        <v>483</v>
      </c>
      <c r="C25" s="88"/>
      <c r="D25" s="88"/>
      <c r="E25" s="88"/>
      <c r="F25" s="88"/>
      <c r="G25" s="88"/>
      <c r="H25" s="88"/>
      <c r="I25" s="42"/>
    </row>
    <row r="26" spans="2:16" ht="15">
      <c r="B26" s="30" t="s">
        <v>8</v>
      </c>
      <c r="C26" s="31"/>
      <c r="D26" s="31"/>
      <c r="O26" s="31" t="s">
        <v>140</v>
      </c>
    </row>
    <row r="27" spans="2:16" ht="15">
      <c r="B27" s="37" t="s">
        <v>389</v>
      </c>
      <c r="C27" s="37" t="s">
        <v>141</v>
      </c>
      <c r="D27" s="37" t="s">
        <v>142</v>
      </c>
      <c r="E27" s="124" t="s">
        <v>143</v>
      </c>
      <c r="F27" s="124" t="s">
        <v>144</v>
      </c>
      <c r="G27" s="124" t="s">
        <v>145</v>
      </c>
      <c r="H27" s="124" t="s">
        <v>146</v>
      </c>
      <c r="I27" s="124" t="s">
        <v>147</v>
      </c>
      <c r="J27" s="124" t="s">
        <v>148</v>
      </c>
      <c r="K27" s="124" t="s">
        <v>149</v>
      </c>
      <c r="L27" s="124" t="s">
        <v>150</v>
      </c>
      <c r="M27" s="124" t="s">
        <v>151</v>
      </c>
      <c r="N27" s="124" t="s">
        <v>152</v>
      </c>
      <c r="O27" s="124" t="s">
        <v>139</v>
      </c>
    </row>
    <row r="28" spans="2:16" ht="15">
      <c r="B28" s="86" t="s">
        <v>479</v>
      </c>
      <c r="C28" s="170">
        <v>216.581445</v>
      </c>
      <c r="D28" s="170">
        <v>223.79871000000003</v>
      </c>
      <c r="E28" s="170">
        <v>216.581445</v>
      </c>
      <c r="F28" s="170">
        <v>223.79871000000003</v>
      </c>
      <c r="G28" s="170">
        <v>79.411079999999998</v>
      </c>
      <c r="H28" s="170">
        <v>216.581445</v>
      </c>
      <c r="I28" s="170">
        <v>223.79871000000003</v>
      </c>
      <c r="J28" s="170">
        <v>216.581445</v>
      </c>
      <c r="K28" s="170">
        <v>223.79871000000003</v>
      </c>
      <c r="L28" s="170">
        <v>223.79871000000003</v>
      </c>
      <c r="M28" s="170">
        <v>202.13986</v>
      </c>
      <c r="N28" s="170">
        <v>223.79871000000003</v>
      </c>
      <c r="O28" s="170">
        <f>SUM(C28:N28)</f>
        <v>2490.6689800000004</v>
      </c>
    </row>
    <row r="29" spans="2:16" ht="15">
      <c r="B29" s="86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</row>
    <row r="30" spans="2:16" ht="15">
      <c r="B30" s="86" t="s">
        <v>480</v>
      </c>
      <c r="C30" s="170">
        <v>90.408554999999993</v>
      </c>
      <c r="D30" s="170">
        <v>93.421289999999999</v>
      </c>
      <c r="E30" s="170">
        <v>90.408554999999993</v>
      </c>
      <c r="F30" s="170">
        <v>93.421289999999999</v>
      </c>
      <c r="G30" s="170">
        <v>33.148919999999997</v>
      </c>
      <c r="H30" s="170">
        <v>90.408554999999993</v>
      </c>
      <c r="I30" s="170">
        <v>93.421289999999999</v>
      </c>
      <c r="J30" s="170">
        <v>90.408554999999993</v>
      </c>
      <c r="K30" s="170">
        <v>93.421289999999999</v>
      </c>
      <c r="L30" s="170">
        <v>93.421289999999999</v>
      </c>
      <c r="M30" s="170">
        <v>84.380139999999983</v>
      </c>
      <c r="N30" s="170">
        <v>93.421289999999999</v>
      </c>
      <c r="O30" s="170">
        <f t="shared" ref="O30" si="2">SUM(C30:N30)</f>
        <v>1039.6910199999998</v>
      </c>
    </row>
    <row r="31" spans="2:16" ht="15">
      <c r="B31" s="44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</row>
    <row r="32" spans="2:16" ht="15">
      <c r="B32" s="46" t="s">
        <v>139</v>
      </c>
      <c r="C32" s="145">
        <f>C28+C30</f>
        <v>306.99</v>
      </c>
      <c r="D32" s="145">
        <f t="shared" ref="D32:O32" si="3">D28+D30</f>
        <v>317.22000000000003</v>
      </c>
      <c r="E32" s="145">
        <f t="shared" si="3"/>
        <v>306.99</v>
      </c>
      <c r="F32" s="145">
        <f t="shared" si="3"/>
        <v>317.22000000000003</v>
      </c>
      <c r="G32" s="145">
        <f t="shared" si="3"/>
        <v>112.56</v>
      </c>
      <c r="H32" s="145">
        <f t="shared" si="3"/>
        <v>306.99</v>
      </c>
      <c r="I32" s="145">
        <f t="shared" si="3"/>
        <v>317.22000000000003</v>
      </c>
      <c r="J32" s="145">
        <f t="shared" si="3"/>
        <v>306.99</v>
      </c>
      <c r="K32" s="145">
        <f t="shared" si="3"/>
        <v>317.22000000000003</v>
      </c>
      <c r="L32" s="145">
        <f t="shared" si="3"/>
        <v>317.22000000000003</v>
      </c>
      <c r="M32" s="145">
        <f t="shared" si="3"/>
        <v>286.52</v>
      </c>
      <c r="N32" s="145">
        <f t="shared" si="3"/>
        <v>317.22000000000003</v>
      </c>
      <c r="O32" s="145">
        <f t="shared" si="3"/>
        <v>3530.36</v>
      </c>
    </row>
    <row r="35" spans="2:15" ht="15">
      <c r="B35" s="30" t="s">
        <v>484</v>
      </c>
      <c r="C35" s="88"/>
      <c r="D35" s="88"/>
      <c r="E35" s="88"/>
      <c r="F35" s="88"/>
      <c r="G35" s="88"/>
      <c r="H35" s="88"/>
      <c r="I35" s="42"/>
    </row>
    <row r="36" spans="2:15" ht="15">
      <c r="B36" s="30" t="s">
        <v>8</v>
      </c>
      <c r="C36" s="31"/>
      <c r="D36" s="31"/>
      <c r="O36" s="31" t="s">
        <v>140</v>
      </c>
    </row>
    <row r="37" spans="2:15" ht="15">
      <c r="B37" s="37" t="s">
        <v>389</v>
      </c>
      <c r="C37" s="37" t="s">
        <v>141</v>
      </c>
      <c r="D37" s="37" t="s">
        <v>142</v>
      </c>
      <c r="E37" s="124" t="s">
        <v>143</v>
      </c>
      <c r="F37" s="124" t="s">
        <v>144</v>
      </c>
      <c r="G37" s="124" t="s">
        <v>145</v>
      </c>
      <c r="H37" s="124" t="s">
        <v>146</v>
      </c>
      <c r="I37" s="124" t="s">
        <v>147</v>
      </c>
      <c r="J37" s="124" t="s">
        <v>148</v>
      </c>
      <c r="K37" s="124" t="s">
        <v>149</v>
      </c>
      <c r="L37" s="124" t="s">
        <v>150</v>
      </c>
      <c r="M37" s="124" t="s">
        <v>151</v>
      </c>
      <c r="N37" s="124" t="s">
        <v>152</v>
      </c>
      <c r="O37" s="124" t="s">
        <v>139</v>
      </c>
    </row>
    <row r="38" spans="2:15" ht="15">
      <c r="B38" s="86" t="s">
        <v>479</v>
      </c>
      <c r="C38" s="170">
        <v>204.55267000000001</v>
      </c>
      <c r="D38" s="170">
        <v>211.36780000000002</v>
      </c>
      <c r="E38" s="170">
        <v>204.55267000000001</v>
      </c>
      <c r="F38" s="170">
        <v>211.36780000000002</v>
      </c>
      <c r="G38" s="170">
        <v>211.36780000000002</v>
      </c>
      <c r="H38" s="170">
        <v>204.55267000000001</v>
      </c>
      <c r="I38" s="170">
        <v>211.36780000000002</v>
      </c>
      <c r="J38" s="170">
        <v>204.55267000000001</v>
      </c>
      <c r="K38" s="170">
        <v>211.36780000000002</v>
      </c>
      <c r="L38" s="170">
        <v>211.36780000000002</v>
      </c>
      <c r="M38" s="170">
        <v>190.91535500000001</v>
      </c>
      <c r="N38" s="170">
        <v>211.36780000000002</v>
      </c>
      <c r="O38" s="170">
        <f>SUM(C38:N38)</f>
        <v>2488.7006350000001</v>
      </c>
    </row>
    <row r="39" spans="2:15" ht="15">
      <c r="B39" s="86"/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</row>
    <row r="40" spans="2:15" ht="15">
      <c r="B40" s="86" t="s">
        <v>480</v>
      </c>
      <c r="C40" s="170">
        <v>85.387329999999992</v>
      </c>
      <c r="D40" s="170">
        <v>88.232200000000006</v>
      </c>
      <c r="E40" s="170">
        <v>85.387329999999992</v>
      </c>
      <c r="F40" s="170">
        <v>88.232200000000006</v>
      </c>
      <c r="G40" s="170">
        <v>88.232200000000006</v>
      </c>
      <c r="H40" s="170">
        <v>85.387329999999992</v>
      </c>
      <c r="I40" s="170">
        <v>88.232200000000006</v>
      </c>
      <c r="J40" s="170">
        <v>85.387329999999992</v>
      </c>
      <c r="K40" s="170">
        <v>88.232200000000006</v>
      </c>
      <c r="L40" s="170">
        <v>88.232200000000006</v>
      </c>
      <c r="M40" s="170">
        <v>79.694644999999994</v>
      </c>
      <c r="N40" s="170">
        <v>88.232200000000006</v>
      </c>
      <c r="O40" s="170">
        <f t="shared" ref="O40" si="4">SUM(C40:N40)</f>
        <v>1038.8693650000002</v>
      </c>
    </row>
    <row r="41" spans="2:15" ht="15">
      <c r="B41" s="44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</row>
    <row r="42" spans="2:15" ht="15">
      <c r="B42" s="46" t="s">
        <v>139</v>
      </c>
      <c r="C42" s="145">
        <f>C38+C40</f>
        <v>289.94</v>
      </c>
      <c r="D42" s="145">
        <f t="shared" ref="D42:N42" si="5">D38+D40</f>
        <v>299.60000000000002</v>
      </c>
      <c r="E42" s="145">
        <f t="shared" si="5"/>
        <v>289.94</v>
      </c>
      <c r="F42" s="145">
        <f t="shared" si="5"/>
        <v>299.60000000000002</v>
      </c>
      <c r="G42" s="145">
        <f t="shared" si="5"/>
        <v>299.60000000000002</v>
      </c>
      <c r="H42" s="145">
        <f t="shared" si="5"/>
        <v>289.94</v>
      </c>
      <c r="I42" s="145">
        <f t="shared" si="5"/>
        <v>299.60000000000002</v>
      </c>
      <c r="J42" s="145">
        <f t="shared" si="5"/>
        <v>289.94</v>
      </c>
      <c r="K42" s="145">
        <f t="shared" si="5"/>
        <v>299.60000000000002</v>
      </c>
      <c r="L42" s="145">
        <f t="shared" si="5"/>
        <v>299.60000000000002</v>
      </c>
      <c r="M42" s="145">
        <f t="shared" si="5"/>
        <v>270.61</v>
      </c>
      <c r="N42" s="145">
        <f t="shared" si="5"/>
        <v>299.60000000000002</v>
      </c>
      <c r="O42" s="145">
        <f>O38+O40</f>
        <v>3527.5700000000006</v>
      </c>
    </row>
    <row r="45" spans="2:15" ht="15">
      <c r="B45" s="30" t="s">
        <v>485</v>
      </c>
      <c r="C45" s="88"/>
      <c r="D45" s="88"/>
      <c r="E45" s="88"/>
      <c r="F45" s="88"/>
      <c r="G45" s="88"/>
      <c r="H45" s="88"/>
      <c r="I45" s="42"/>
    </row>
    <row r="46" spans="2:15" ht="15">
      <c r="B46" s="30" t="s">
        <v>8</v>
      </c>
      <c r="C46" s="31"/>
      <c r="D46" s="31"/>
      <c r="O46" s="31" t="s">
        <v>140</v>
      </c>
    </row>
    <row r="47" spans="2:15" ht="15">
      <c r="B47" s="37" t="s">
        <v>389</v>
      </c>
      <c r="C47" s="37" t="s">
        <v>141</v>
      </c>
      <c r="D47" s="37" t="s">
        <v>142</v>
      </c>
      <c r="E47" s="124" t="s">
        <v>143</v>
      </c>
      <c r="F47" s="124" t="s">
        <v>144</v>
      </c>
      <c r="G47" s="124" t="s">
        <v>145</v>
      </c>
      <c r="H47" s="124" t="s">
        <v>146</v>
      </c>
      <c r="I47" s="124" t="s">
        <v>147</v>
      </c>
      <c r="J47" s="124" t="s">
        <v>148</v>
      </c>
      <c r="K47" s="124" t="s">
        <v>149</v>
      </c>
      <c r="L47" s="124" t="s">
        <v>150</v>
      </c>
      <c r="M47" s="124" t="s">
        <v>151</v>
      </c>
      <c r="N47" s="124" t="s">
        <v>152</v>
      </c>
      <c r="O47" s="124" t="s">
        <v>139</v>
      </c>
    </row>
    <row r="48" spans="2:15" ht="15">
      <c r="B48" s="86" t="s">
        <v>479</v>
      </c>
      <c r="C48" s="170">
        <v>233.428785</v>
      </c>
      <c r="D48" s="170">
        <v>241.21044999999998</v>
      </c>
      <c r="E48" s="170">
        <v>233.428785</v>
      </c>
      <c r="F48" s="170">
        <v>116.71086500000001</v>
      </c>
      <c r="G48" s="170">
        <v>15.563329999999999</v>
      </c>
      <c r="H48" s="170">
        <v>233.428785</v>
      </c>
      <c r="I48" s="170">
        <v>241.21044999999998</v>
      </c>
      <c r="J48" s="170">
        <v>233.428785</v>
      </c>
      <c r="K48" s="170">
        <v>241.21044999999998</v>
      </c>
      <c r="L48" s="170">
        <v>241.21044999999998</v>
      </c>
      <c r="M48" s="170">
        <v>217.865455</v>
      </c>
      <c r="N48" s="170">
        <v>241.21044999999998</v>
      </c>
      <c r="O48" s="170">
        <f>SUM(C48:N48)</f>
        <v>2489.9070400000001</v>
      </c>
    </row>
    <row r="49" spans="2:15" ht="15">
      <c r="B49" s="86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</row>
    <row r="50" spans="2:15" ht="15">
      <c r="B50" s="86" t="s">
        <v>480</v>
      </c>
      <c r="C50" s="170">
        <v>97.441215</v>
      </c>
      <c r="D50" s="170">
        <v>100.68954999999998</v>
      </c>
      <c r="E50" s="170">
        <v>97.441215</v>
      </c>
      <c r="F50" s="170">
        <v>48.719135000000001</v>
      </c>
      <c r="G50" s="170">
        <v>6.4966699999999991</v>
      </c>
      <c r="H50" s="170">
        <v>97.441215</v>
      </c>
      <c r="I50" s="170">
        <v>100.68954999999998</v>
      </c>
      <c r="J50" s="170">
        <v>97.441215</v>
      </c>
      <c r="K50" s="170">
        <v>100.68954999999998</v>
      </c>
      <c r="L50" s="170">
        <v>100.68954999999998</v>
      </c>
      <c r="M50" s="170">
        <v>90.944544999999991</v>
      </c>
      <c r="N50" s="170">
        <v>100.68954999999998</v>
      </c>
      <c r="O50" s="170">
        <f t="shared" ref="O50" si="6">SUM(C50:N50)</f>
        <v>1039.3729599999997</v>
      </c>
    </row>
    <row r="51" spans="2:15" ht="15">
      <c r="B51" s="44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</row>
    <row r="52" spans="2:15" ht="15">
      <c r="B52" s="46" t="s">
        <v>139</v>
      </c>
      <c r="C52" s="145">
        <f>C48+C50</f>
        <v>330.87</v>
      </c>
      <c r="D52" s="145">
        <f t="shared" ref="D52:N52" si="7">D48+D50</f>
        <v>341.9</v>
      </c>
      <c r="E52" s="145">
        <f t="shared" si="7"/>
        <v>330.87</v>
      </c>
      <c r="F52" s="145">
        <f t="shared" si="7"/>
        <v>165.43</v>
      </c>
      <c r="G52" s="145">
        <f t="shared" si="7"/>
        <v>22.06</v>
      </c>
      <c r="H52" s="145">
        <f t="shared" si="7"/>
        <v>330.87</v>
      </c>
      <c r="I52" s="145">
        <f t="shared" si="7"/>
        <v>341.9</v>
      </c>
      <c r="J52" s="145">
        <f t="shared" si="7"/>
        <v>330.87</v>
      </c>
      <c r="K52" s="145">
        <f t="shared" si="7"/>
        <v>341.9</v>
      </c>
      <c r="L52" s="145">
        <f t="shared" si="7"/>
        <v>341.9</v>
      </c>
      <c r="M52" s="145">
        <f t="shared" si="7"/>
        <v>308.81</v>
      </c>
      <c r="N52" s="145">
        <f t="shared" si="7"/>
        <v>341.9</v>
      </c>
      <c r="O52" s="145">
        <f>O48+O50</f>
        <v>3529.2799999999997</v>
      </c>
    </row>
    <row r="55" spans="2:15" ht="15">
      <c r="B55" s="30" t="s">
        <v>486</v>
      </c>
      <c r="C55" s="88"/>
      <c r="D55" s="88"/>
      <c r="E55" s="88"/>
      <c r="F55" s="88"/>
      <c r="G55" s="88"/>
      <c r="H55" s="88"/>
      <c r="I55" s="42"/>
    </row>
    <row r="56" spans="2:15" ht="15">
      <c r="B56" s="30" t="s">
        <v>8</v>
      </c>
      <c r="C56" s="31"/>
      <c r="D56" s="31"/>
      <c r="O56" s="31" t="s">
        <v>140</v>
      </c>
    </row>
    <row r="57" spans="2:15" ht="15">
      <c r="B57" s="37" t="s">
        <v>389</v>
      </c>
      <c r="C57" s="37" t="s">
        <v>141</v>
      </c>
      <c r="D57" s="37" t="s">
        <v>142</v>
      </c>
      <c r="E57" s="124" t="s">
        <v>143</v>
      </c>
      <c r="F57" s="124" t="s">
        <v>144</v>
      </c>
      <c r="G57" s="124" t="s">
        <v>145</v>
      </c>
      <c r="H57" s="124" t="s">
        <v>146</v>
      </c>
      <c r="I57" s="124" t="s">
        <v>147</v>
      </c>
      <c r="J57" s="124" t="s">
        <v>148</v>
      </c>
      <c r="K57" s="124" t="s">
        <v>149</v>
      </c>
      <c r="L57" s="124" t="s">
        <v>150</v>
      </c>
      <c r="M57" s="124" t="s">
        <v>151</v>
      </c>
      <c r="N57" s="124" t="s">
        <v>152</v>
      </c>
      <c r="O57" s="124" t="s">
        <v>139</v>
      </c>
    </row>
    <row r="58" spans="2:15" ht="15">
      <c r="B58" s="86" t="s">
        <v>479</v>
      </c>
      <c r="C58" s="170">
        <v>204.55267000000001</v>
      </c>
      <c r="D58" s="170">
        <v>211.36780000000002</v>
      </c>
      <c r="E58" s="170">
        <v>204.55267000000001</v>
      </c>
      <c r="F58" s="170">
        <v>211.36780000000002</v>
      </c>
      <c r="G58" s="170">
        <v>211.36780000000002</v>
      </c>
      <c r="H58" s="170">
        <v>204.55267000000001</v>
      </c>
      <c r="I58" s="170">
        <v>211.36780000000002</v>
      </c>
      <c r="J58" s="170">
        <v>204.55267000000001</v>
      </c>
      <c r="K58" s="170">
        <v>211.36780000000002</v>
      </c>
      <c r="L58" s="170">
        <v>211.36780000000002</v>
      </c>
      <c r="M58" s="170">
        <v>197.73048499999999</v>
      </c>
      <c r="N58" s="170">
        <v>211.36780000000002</v>
      </c>
      <c r="O58" s="170">
        <f>SUM(C58:N58)</f>
        <v>2495.5157650000001</v>
      </c>
    </row>
    <row r="59" spans="2:15" ht="15">
      <c r="B59" s="86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</row>
    <row r="60" spans="2:15" ht="15">
      <c r="B60" s="86" t="s">
        <v>480</v>
      </c>
      <c r="C60" s="170">
        <v>85.387329999999992</v>
      </c>
      <c r="D60" s="170">
        <v>88.232200000000006</v>
      </c>
      <c r="E60" s="170">
        <v>85.387329999999992</v>
      </c>
      <c r="F60" s="170">
        <v>88.232200000000006</v>
      </c>
      <c r="G60" s="170">
        <v>88.232200000000006</v>
      </c>
      <c r="H60" s="170">
        <v>85.387329999999992</v>
      </c>
      <c r="I60" s="170">
        <v>88.232200000000006</v>
      </c>
      <c r="J60" s="170">
        <v>85.387329999999992</v>
      </c>
      <c r="K60" s="170">
        <v>88.232200000000006</v>
      </c>
      <c r="L60" s="170">
        <v>88.232200000000006</v>
      </c>
      <c r="M60" s="170">
        <v>82.539514999999994</v>
      </c>
      <c r="N60" s="170">
        <v>88.232200000000006</v>
      </c>
      <c r="O60" s="170">
        <f t="shared" ref="O60" si="8">SUM(C60:N60)</f>
        <v>1041.7142350000001</v>
      </c>
    </row>
    <row r="61" spans="2:15" ht="15">
      <c r="B61" s="44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</row>
    <row r="62" spans="2:15" ht="15">
      <c r="B62" s="46" t="s">
        <v>139</v>
      </c>
      <c r="C62" s="145">
        <f>C58+C60</f>
        <v>289.94</v>
      </c>
      <c r="D62" s="145">
        <f t="shared" ref="D62:N62" si="9">D58+D60</f>
        <v>299.60000000000002</v>
      </c>
      <c r="E62" s="145">
        <f t="shared" si="9"/>
        <v>289.94</v>
      </c>
      <c r="F62" s="145">
        <f t="shared" si="9"/>
        <v>299.60000000000002</v>
      </c>
      <c r="G62" s="145">
        <f t="shared" si="9"/>
        <v>299.60000000000002</v>
      </c>
      <c r="H62" s="145">
        <f t="shared" si="9"/>
        <v>289.94</v>
      </c>
      <c r="I62" s="145">
        <f t="shared" si="9"/>
        <v>299.60000000000002</v>
      </c>
      <c r="J62" s="145">
        <f t="shared" si="9"/>
        <v>289.94</v>
      </c>
      <c r="K62" s="145">
        <f t="shared" si="9"/>
        <v>299.60000000000002</v>
      </c>
      <c r="L62" s="145">
        <f t="shared" si="9"/>
        <v>299.60000000000002</v>
      </c>
      <c r="M62" s="145">
        <f t="shared" si="9"/>
        <v>280.27</v>
      </c>
      <c r="N62" s="145">
        <f t="shared" si="9"/>
        <v>299.60000000000002</v>
      </c>
      <c r="O62" s="145">
        <f>O58+O60</f>
        <v>3537.2300000000005</v>
      </c>
    </row>
    <row r="65" spans="2:16" ht="15">
      <c r="B65" s="30" t="s">
        <v>487</v>
      </c>
      <c r="C65" s="88"/>
      <c r="D65" s="88"/>
      <c r="E65" s="88"/>
      <c r="F65" s="88"/>
      <c r="G65" s="88"/>
      <c r="H65" s="88"/>
      <c r="I65" s="42"/>
    </row>
    <row r="66" spans="2:16" ht="15">
      <c r="B66" s="30" t="s">
        <v>8</v>
      </c>
      <c r="C66" s="31"/>
      <c r="D66" s="31"/>
      <c r="O66" s="31" t="s">
        <v>140</v>
      </c>
    </row>
    <row r="67" spans="2:16" ht="15">
      <c r="B67" s="37" t="s">
        <v>389</v>
      </c>
      <c r="C67" s="37" t="s">
        <v>141</v>
      </c>
      <c r="D67" s="37" t="s">
        <v>142</v>
      </c>
      <c r="E67" s="124" t="s">
        <v>143</v>
      </c>
      <c r="F67" s="124" t="s">
        <v>144</v>
      </c>
      <c r="G67" s="124" t="s">
        <v>145</v>
      </c>
      <c r="H67" s="124" t="s">
        <v>146</v>
      </c>
      <c r="I67" s="124" t="s">
        <v>147</v>
      </c>
      <c r="J67" s="124" t="s">
        <v>148</v>
      </c>
      <c r="K67" s="124" t="s">
        <v>149</v>
      </c>
      <c r="L67" s="124" t="s">
        <v>150</v>
      </c>
      <c r="M67" s="124" t="s">
        <v>151</v>
      </c>
      <c r="N67" s="124" t="s">
        <v>152</v>
      </c>
      <c r="O67" s="124" t="s">
        <v>139</v>
      </c>
    </row>
    <row r="68" spans="2:16" ht="15">
      <c r="B68" s="86" t="s">
        <v>479</v>
      </c>
      <c r="C68" s="170">
        <v>216.581445</v>
      </c>
      <c r="D68" s="170">
        <v>223.79871000000003</v>
      </c>
      <c r="E68" s="170">
        <v>72.193815000000001</v>
      </c>
      <c r="F68" s="170">
        <v>223.79871000000003</v>
      </c>
      <c r="G68" s="170">
        <v>223.79871000000003</v>
      </c>
      <c r="H68" s="170">
        <v>216.581445</v>
      </c>
      <c r="I68" s="170">
        <v>223.79871000000003</v>
      </c>
      <c r="J68" s="170">
        <v>216.581445</v>
      </c>
      <c r="K68" s="170">
        <v>223.79871000000003</v>
      </c>
      <c r="L68" s="170">
        <v>223.79871000000003</v>
      </c>
      <c r="M68" s="170">
        <v>202.13986</v>
      </c>
      <c r="N68" s="170">
        <v>223.79871000000003</v>
      </c>
      <c r="O68" s="170">
        <f>SUM(C68:N68)</f>
        <v>2490.6689800000004</v>
      </c>
      <c r="P68" s="192"/>
    </row>
    <row r="69" spans="2:16" ht="15">
      <c r="B69" s="86"/>
      <c r="C69" s="170"/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0"/>
      <c r="O69" s="170"/>
      <c r="P69" s="192"/>
    </row>
    <row r="70" spans="2:16" ht="15">
      <c r="B70" s="86" t="s">
        <v>480</v>
      </c>
      <c r="C70" s="170">
        <v>90.408554999999993</v>
      </c>
      <c r="D70" s="170">
        <v>93.421289999999999</v>
      </c>
      <c r="E70" s="170">
        <v>30.136184999999998</v>
      </c>
      <c r="F70" s="170">
        <v>93.421289999999999</v>
      </c>
      <c r="G70" s="170">
        <v>93.421289999999999</v>
      </c>
      <c r="H70" s="170">
        <v>90.408554999999993</v>
      </c>
      <c r="I70" s="170">
        <v>93.421289999999999</v>
      </c>
      <c r="J70" s="170">
        <v>90.408554999999993</v>
      </c>
      <c r="K70" s="170">
        <v>93.421289999999999</v>
      </c>
      <c r="L70" s="170">
        <v>93.421289999999999</v>
      </c>
      <c r="M70" s="170">
        <v>84.380139999999983</v>
      </c>
      <c r="N70" s="170">
        <v>93.421289999999999</v>
      </c>
      <c r="O70" s="170">
        <f t="shared" ref="O70" si="10">SUM(C70:N70)</f>
        <v>1039.69102</v>
      </c>
      <c r="P70" s="192"/>
    </row>
    <row r="71" spans="2:16" ht="15">
      <c r="B71" s="44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</row>
    <row r="72" spans="2:16" ht="15">
      <c r="B72" s="46" t="s">
        <v>139</v>
      </c>
      <c r="C72" s="145">
        <f>C68+C70</f>
        <v>306.99</v>
      </c>
      <c r="D72" s="145">
        <f t="shared" ref="D72:N72" si="11">D68+D70</f>
        <v>317.22000000000003</v>
      </c>
      <c r="E72" s="145">
        <f t="shared" si="11"/>
        <v>102.33</v>
      </c>
      <c r="F72" s="145">
        <f t="shared" si="11"/>
        <v>317.22000000000003</v>
      </c>
      <c r="G72" s="145">
        <f t="shared" si="11"/>
        <v>317.22000000000003</v>
      </c>
      <c r="H72" s="145">
        <f t="shared" si="11"/>
        <v>306.99</v>
      </c>
      <c r="I72" s="145">
        <f t="shared" si="11"/>
        <v>317.22000000000003</v>
      </c>
      <c r="J72" s="145">
        <f t="shared" si="11"/>
        <v>306.99</v>
      </c>
      <c r="K72" s="145">
        <f t="shared" si="11"/>
        <v>317.22000000000003</v>
      </c>
      <c r="L72" s="145">
        <f t="shared" si="11"/>
        <v>317.22000000000003</v>
      </c>
      <c r="M72" s="145">
        <f t="shared" si="11"/>
        <v>286.52</v>
      </c>
      <c r="N72" s="145">
        <f t="shared" si="11"/>
        <v>317.22000000000003</v>
      </c>
      <c r="O72" s="145">
        <f>O68+O70</f>
        <v>3530.3600000000006</v>
      </c>
    </row>
  </sheetData>
  <mergeCells count="6">
    <mergeCell ref="B16:B17"/>
    <mergeCell ref="I16:N16"/>
    <mergeCell ref="C16:H16"/>
    <mergeCell ref="B2:O2"/>
    <mergeCell ref="B3:O3"/>
    <mergeCell ref="B4:O4"/>
  </mergeCells>
  <pageMargins left="0.31496062992125984" right="0.27559055118110237" top="0.59055118110236227" bottom="0.35433070866141736" header="0.51181102362204722" footer="0.51181102362204722"/>
  <pageSetup paperSize="9" scale="8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B4" sqref="B4:N4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23"/>
    </row>
    <row r="2" spans="2:14" s="5" customFormat="1" ht="15" customHeight="1">
      <c r="B2" s="292" t="s">
        <v>529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</row>
    <row r="3" spans="2:14" s="5" customFormat="1" ht="15" customHeight="1">
      <c r="B3" s="292" t="s">
        <v>511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</row>
    <row r="4" spans="2:14" ht="14.25" customHeight="1">
      <c r="B4" s="294" t="s">
        <v>393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</row>
    <row r="5" spans="2:14" ht="15">
      <c r="B5" s="30" t="s">
        <v>517</v>
      </c>
    </row>
    <row r="6" spans="2:14" ht="15">
      <c r="B6" s="30" t="s">
        <v>12</v>
      </c>
      <c r="N6" s="43" t="s">
        <v>4</v>
      </c>
    </row>
    <row r="7" spans="2:14" s="63" customFormat="1" ht="45.75" customHeight="1">
      <c r="B7" s="278" t="s">
        <v>389</v>
      </c>
      <c r="C7" s="287" t="s">
        <v>155</v>
      </c>
      <c r="D7" s="287"/>
      <c r="E7" s="287"/>
      <c r="F7" s="287"/>
      <c r="G7" s="286" t="s">
        <v>156</v>
      </c>
      <c r="H7" s="286"/>
      <c r="I7" s="286"/>
      <c r="J7" s="286" t="s">
        <v>157</v>
      </c>
      <c r="K7" s="286"/>
      <c r="L7" s="286"/>
      <c r="M7" s="286"/>
      <c r="N7" s="286"/>
    </row>
    <row r="8" spans="2:14" ht="45">
      <c r="B8" s="291"/>
      <c r="C8" s="37" t="s">
        <v>180</v>
      </c>
      <c r="D8" s="37" t="s">
        <v>178</v>
      </c>
      <c r="E8" s="37" t="s">
        <v>248</v>
      </c>
      <c r="F8" s="37" t="s">
        <v>179</v>
      </c>
      <c r="G8" s="37" t="s">
        <v>158</v>
      </c>
      <c r="H8" s="37" t="s">
        <v>249</v>
      </c>
      <c r="I8" s="37" t="s">
        <v>159</v>
      </c>
      <c r="J8" s="37" t="s">
        <v>160</v>
      </c>
      <c r="K8" s="37" t="s">
        <v>161</v>
      </c>
      <c r="L8" s="37" t="s">
        <v>250</v>
      </c>
      <c r="M8" s="37" t="s">
        <v>251</v>
      </c>
      <c r="N8" s="29" t="s">
        <v>139</v>
      </c>
    </row>
    <row r="9" spans="2:14" ht="15">
      <c r="B9" s="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29"/>
    </row>
    <row r="10" spans="2:14" ht="15">
      <c r="B10" s="86" t="s">
        <v>390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8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86" t="s">
        <v>391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86" t="s">
        <v>392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8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86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86" t="s">
        <v>139</v>
      </c>
      <c r="C18" s="144">
        <f>C10+C12+C14</f>
        <v>0</v>
      </c>
      <c r="D18" s="144">
        <f>D10+D12+D14</f>
        <v>0</v>
      </c>
      <c r="E18" s="144">
        <f>E10+E12+E14</f>
        <v>0</v>
      </c>
      <c r="F18" s="144">
        <f>F10+F12+F14</f>
        <v>0</v>
      </c>
      <c r="G18" s="144">
        <f>G10+G12+G14</f>
        <v>0</v>
      </c>
      <c r="H18" s="3"/>
      <c r="I18" s="3"/>
      <c r="J18" s="144">
        <f>J10+J12+J14</f>
        <v>0</v>
      </c>
      <c r="K18" s="144">
        <f>K10+K12+K14</f>
        <v>0</v>
      </c>
      <c r="L18" s="144">
        <f>L10+L12+L14</f>
        <v>0</v>
      </c>
      <c r="M18" s="144">
        <f>M10+M12+M14</f>
        <v>0</v>
      </c>
      <c r="N18" s="144">
        <f>N10+N12+N14</f>
        <v>0</v>
      </c>
    </row>
    <row r="19" spans="2:14" ht="15">
      <c r="B19" s="43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8"/>
  <sheetViews>
    <sheetView showGridLines="0" topLeftCell="A16" zoomScale="96" zoomScaleNormal="96" workbookViewId="0">
      <selection activeCell="E15" sqref="E15"/>
    </sheetView>
  </sheetViews>
  <sheetFormatPr defaultColWidth="9.28515625" defaultRowHeight="14.25" outlineLevelRow="1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8.42578125" style="19" customWidth="1"/>
    <col min="13" max="13" width="9.7109375" style="19" customWidth="1"/>
    <col min="14" max="15" width="9" style="19" customWidth="1"/>
    <col min="16" max="16" width="10" style="19" customWidth="1"/>
    <col min="17" max="17" width="14.28515625" style="19" customWidth="1"/>
    <col min="18" max="16384" width="9.28515625" style="19"/>
  </cols>
  <sheetData>
    <row r="1" spans="2:17" s="5" customFormat="1" ht="15">
      <c r="B1" s="123"/>
    </row>
    <row r="2" spans="2:17" s="5" customFormat="1" ht="15" customHeight="1"/>
    <row r="3" spans="2:17" s="5" customFormat="1" ht="15" customHeight="1">
      <c r="B3" s="292" t="s">
        <v>529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</row>
    <row r="4" spans="2:17" s="5" customFormat="1" ht="15" customHeight="1">
      <c r="B4" s="292" t="s">
        <v>511</v>
      </c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</row>
    <row r="5" spans="2:17" ht="15">
      <c r="B5" s="30" t="s">
        <v>517</v>
      </c>
      <c r="I5" s="42" t="s">
        <v>396</v>
      </c>
    </row>
    <row r="6" spans="2:17" ht="15">
      <c r="B6" s="43" t="s">
        <v>12</v>
      </c>
    </row>
    <row r="7" spans="2:17" ht="30">
      <c r="B7" s="125" t="s">
        <v>210</v>
      </c>
      <c r="C7" s="125" t="s">
        <v>18</v>
      </c>
      <c r="D7" s="125" t="s">
        <v>39</v>
      </c>
      <c r="E7" s="37" t="s">
        <v>141</v>
      </c>
      <c r="F7" s="37" t="s">
        <v>142</v>
      </c>
      <c r="G7" s="124" t="s">
        <v>143</v>
      </c>
      <c r="H7" s="124" t="s">
        <v>144</v>
      </c>
      <c r="I7" s="124" t="s">
        <v>145</v>
      </c>
      <c r="J7" s="124" t="s">
        <v>146</v>
      </c>
      <c r="K7" s="124" t="s">
        <v>147</v>
      </c>
      <c r="L7" s="124" t="s">
        <v>148</v>
      </c>
      <c r="M7" s="124" t="s">
        <v>149</v>
      </c>
      <c r="N7" s="124" t="s">
        <v>150</v>
      </c>
      <c r="O7" s="124" t="s">
        <v>151</v>
      </c>
      <c r="P7" s="124" t="s">
        <v>152</v>
      </c>
      <c r="Q7" s="126" t="s">
        <v>139</v>
      </c>
    </row>
    <row r="8" spans="2:17">
      <c r="B8" s="127">
        <v>1</v>
      </c>
      <c r="C8" s="128" t="s">
        <v>184</v>
      </c>
      <c r="D8" s="127" t="s">
        <v>42</v>
      </c>
      <c r="E8" s="129">
        <v>80</v>
      </c>
      <c r="F8" s="129">
        <v>80</v>
      </c>
      <c r="G8" s="129">
        <v>80</v>
      </c>
      <c r="H8" s="129">
        <v>80</v>
      </c>
      <c r="I8" s="129">
        <v>80</v>
      </c>
      <c r="J8" s="129">
        <v>80</v>
      </c>
      <c r="K8" s="129">
        <v>80</v>
      </c>
      <c r="L8" s="129">
        <v>80</v>
      </c>
      <c r="M8" s="129">
        <v>80</v>
      </c>
      <c r="N8" s="129">
        <v>80</v>
      </c>
      <c r="O8" s="129">
        <v>80</v>
      </c>
      <c r="P8" s="129">
        <v>80</v>
      </c>
      <c r="Q8" s="129">
        <v>80</v>
      </c>
    </row>
    <row r="9" spans="2:17">
      <c r="B9" s="127">
        <f>B8+1</f>
        <v>2</v>
      </c>
      <c r="C9" s="128" t="s">
        <v>211</v>
      </c>
      <c r="D9" s="127" t="s">
        <v>42</v>
      </c>
      <c r="E9" s="129">
        <v>87.48</v>
      </c>
      <c r="F9" s="129">
        <v>71.739999999999995</v>
      </c>
      <c r="G9" s="129">
        <v>0</v>
      </c>
      <c r="H9" s="129">
        <v>21.55</v>
      </c>
      <c r="I9" s="129">
        <v>84.86</v>
      </c>
      <c r="J9" s="129">
        <v>91.96</v>
      </c>
      <c r="K9" s="129">
        <v>89.74</v>
      </c>
      <c r="L9" s="129">
        <v>92.87</v>
      </c>
      <c r="M9" s="129">
        <v>98.44</v>
      </c>
      <c r="N9" s="129">
        <v>98.92</v>
      </c>
      <c r="O9" s="129">
        <v>90.14</v>
      </c>
      <c r="P9" s="129">
        <v>98.78</v>
      </c>
      <c r="Q9" s="130">
        <v>82.26</v>
      </c>
    </row>
    <row r="10" spans="2:17">
      <c r="B10" s="127">
        <f t="shared" ref="B10:B26" si="0">B9+1</f>
        <v>3</v>
      </c>
      <c r="C10" s="128" t="s">
        <v>212</v>
      </c>
      <c r="D10" s="127" t="s">
        <v>42</v>
      </c>
      <c r="E10" s="129">
        <v>87.48</v>
      </c>
      <c r="F10" s="129">
        <v>79.48</v>
      </c>
      <c r="G10" s="129">
        <v>53.28</v>
      </c>
      <c r="H10" s="129">
        <v>45.22</v>
      </c>
      <c r="I10" s="129">
        <v>53.25</v>
      </c>
      <c r="J10" s="129">
        <v>59.59</v>
      </c>
      <c r="K10" s="129">
        <v>63.96</v>
      </c>
      <c r="L10" s="129">
        <v>67.52</v>
      </c>
      <c r="M10" s="129">
        <v>71</v>
      </c>
      <c r="N10" s="129">
        <v>73.83</v>
      </c>
      <c r="O10" s="129">
        <v>75.2</v>
      </c>
      <c r="P10" s="129">
        <v>77.2</v>
      </c>
      <c r="Q10" s="129"/>
    </row>
    <row r="11" spans="2:17">
      <c r="B11" s="127">
        <f t="shared" si="0"/>
        <v>4</v>
      </c>
      <c r="C11" s="128" t="s">
        <v>43</v>
      </c>
      <c r="D11" s="127" t="s">
        <v>42</v>
      </c>
      <c r="E11" s="129">
        <v>80</v>
      </c>
      <c r="F11" s="129">
        <v>80</v>
      </c>
      <c r="G11" s="129">
        <v>80</v>
      </c>
      <c r="H11" s="129">
        <v>80</v>
      </c>
      <c r="I11" s="129">
        <v>80</v>
      </c>
      <c r="J11" s="129">
        <v>80</v>
      </c>
      <c r="K11" s="129">
        <v>80</v>
      </c>
      <c r="L11" s="129">
        <v>80</v>
      </c>
      <c r="M11" s="129">
        <v>80</v>
      </c>
      <c r="N11" s="129">
        <v>80</v>
      </c>
      <c r="O11" s="129">
        <v>80</v>
      </c>
      <c r="P11" s="129">
        <v>80</v>
      </c>
      <c r="Q11" s="129">
        <v>80</v>
      </c>
    </row>
    <row r="12" spans="2:17">
      <c r="B12" s="127">
        <f t="shared" si="0"/>
        <v>5</v>
      </c>
      <c r="C12" s="128" t="s">
        <v>213</v>
      </c>
      <c r="D12" s="127" t="s">
        <v>42</v>
      </c>
      <c r="E12" s="129">
        <v>82.84</v>
      </c>
      <c r="F12" s="129">
        <v>68.739999999999995</v>
      </c>
      <c r="G12" s="129">
        <v>0</v>
      </c>
      <c r="H12" s="129">
        <v>19.350000000000001</v>
      </c>
      <c r="I12" s="129">
        <v>78.89</v>
      </c>
      <c r="J12" s="129">
        <v>83.24</v>
      </c>
      <c r="K12" s="129">
        <v>77.39</v>
      </c>
      <c r="L12" s="129">
        <v>87.94</v>
      </c>
      <c r="M12" s="129">
        <v>90.99</v>
      </c>
      <c r="N12" s="129">
        <v>93.69</v>
      </c>
      <c r="O12" s="129">
        <v>88.57</v>
      </c>
      <c r="P12" s="129">
        <v>96.2</v>
      </c>
      <c r="Q12" s="129"/>
    </row>
    <row r="13" spans="2:17">
      <c r="B13" s="127">
        <f t="shared" si="0"/>
        <v>6</v>
      </c>
      <c r="C13" s="128" t="s">
        <v>214</v>
      </c>
      <c r="D13" s="127" t="s">
        <v>42</v>
      </c>
      <c r="E13" s="129">
        <v>82.84</v>
      </c>
      <c r="F13" s="129">
        <v>75.67</v>
      </c>
      <c r="G13" s="129">
        <v>50.73</v>
      </c>
      <c r="H13" s="129">
        <v>72.75</v>
      </c>
      <c r="I13" s="129">
        <v>50.08</v>
      </c>
      <c r="J13" s="129">
        <v>55.51</v>
      </c>
      <c r="K13" s="129">
        <v>58.68</v>
      </c>
      <c r="L13" s="129">
        <v>62.28</v>
      </c>
      <c r="M13" s="129">
        <v>65.52</v>
      </c>
      <c r="N13" s="129">
        <v>68.37</v>
      </c>
      <c r="O13" s="129">
        <v>70.06</v>
      </c>
      <c r="P13" s="129">
        <v>72.28</v>
      </c>
      <c r="Q13" s="129"/>
    </row>
    <row r="14" spans="2:17">
      <c r="B14" s="127">
        <f t="shared" si="0"/>
        <v>7</v>
      </c>
      <c r="C14" s="122" t="s">
        <v>215</v>
      </c>
      <c r="D14" s="131" t="s">
        <v>45</v>
      </c>
      <c r="E14" s="129">
        <v>298.21527099999997</v>
      </c>
      <c r="F14" s="129">
        <v>255.718907873202</v>
      </c>
      <c r="G14" s="129">
        <v>0</v>
      </c>
      <c r="H14" s="129">
        <v>71.995636000000005</v>
      </c>
      <c r="I14" s="129">
        <v>293.480726</v>
      </c>
      <c r="J14" s="129">
        <v>299.66618039119902</v>
      </c>
      <c r="K14" s="129">
        <v>287.90618044719798</v>
      </c>
      <c r="L14" s="129">
        <v>316.595998492403</v>
      </c>
      <c r="M14" s="129">
        <v>338.48181656999998</v>
      </c>
      <c r="N14" s="129">
        <v>348.531271</v>
      </c>
      <c r="O14" s="129">
        <v>297.58908949200298</v>
      </c>
      <c r="P14" s="129">
        <v>357.855271023196</v>
      </c>
      <c r="Q14" s="130">
        <f>SUM(E14:P14)</f>
        <v>3166.0363482892008</v>
      </c>
    </row>
    <row r="15" spans="2:17">
      <c r="B15" s="127">
        <f t="shared" si="0"/>
        <v>8</v>
      </c>
      <c r="C15" s="122" t="s">
        <v>216</v>
      </c>
      <c r="D15" s="131" t="s">
        <v>45</v>
      </c>
      <c r="E15" s="129">
        <v>15.039281000000001</v>
      </c>
      <c r="F15" s="129">
        <v>14.455781736838192</v>
      </c>
      <c r="G15" s="129">
        <v>3.5523639999999999</v>
      </c>
      <c r="H15" s="129">
        <v>9.2818079999999998</v>
      </c>
      <c r="I15" s="129">
        <v>15.597340000000001</v>
      </c>
      <c r="J15" s="129">
        <v>15.423073572592438</v>
      </c>
      <c r="K15" s="129">
        <v>15.443338394732654</v>
      </c>
      <c r="L15" s="129">
        <v>17.729266674130024</v>
      </c>
      <c r="M15" s="129">
        <v>20.28280519008571</v>
      </c>
      <c r="N15" s="129">
        <v>20.624078999999998</v>
      </c>
      <c r="O15" s="129">
        <v>18.48135311236447</v>
      </c>
      <c r="P15" s="129">
        <v>21.323834640585243</v>
      </c>
      <c r="Q15" s="130">
        <f>SUM(E15:P15)</f>
        <v>187.23432532132873</v>
      </c>
    </row>
    <row r="16" spans="2:17" ht="15">
      <c r="B16" s="127">
        <f t="shared" si="0"/>
        <v>9</v>
      </c>
      <c r="C16" s="122" t="s">
        <v>234</v>
      </c>
      <c r="D16" s="131" t="s">
        <v>45</v>
      </c>
      <c r="E16" s="143">
        <f>E14-E15</f>
        <v>283.17598999999996</v>
      </c>
      <c r="F16" s="143">
        <f t="shared" ref="F16:Q16" si="1">F14-F15</f>
        <v>241.26312613636381</v>
      </c>
      <c r="G16" s="143">
        <f t="shared" si="1"/>
        <v>-3.5523639999999999</v>
      </c>
      <c r="H16" s="143">
        <f t="shared" si="1"/>
        <v>62.713828000000007</v>
      </c>
      <c r="I16" s="143">
        <f t="shared" si="1"/>
        <v>277.88338600000003</v>
      </c>
      <c r="J16" s="143">
        <f t="shared" si="1"/>
        <v>284.24310681860658</v>
      </c>
      <c r="K16" s="143">
        <f t="shared" si="1"/>
        <v>272.46284205246531</v>
      </c>
      <c r="L16" s="143">
        <f t="shared" si="1"/>
        <v>298.86673181827297</v>
      </c>
      <c r="M16" s="143">
        <f t="shared" si="1"/>
        <v>318.19901137991428</v>
      </c>
      <c r="N16" s="143">
        <f t="shared" si="1"/>
        <v>327.90719200000001</v>
      </c>
      <c r="O16" s="143">
        <f t="shared" si="1"/>
        <v>279.10773637963854</v>
      </c>
      <c r="P16" s="143">
        <f t="shared" si="1"/>
        <v>336.53143638261076</v>
      </c>
      <c r="Q16" s="143">
        <f t="shared" si="1"/>
        <v>2978.8020229678718</v>
      </c>
    </row>
    <row r="17" spans="2:17" ht="16.5">
      <c r="B17" s="127">
        <f t="shared" si="0"/>
        <v>10</v>
      </c>
      <c r="C17" s="122" t="s">
        <v>235</v>
      </c>
      <c r="D17" s="131" t="s">
        <v>45</v>
      </c>
      <c r="E17" s="181">
        <f>E16-((500*1000*24*30*E11%)/1000000)</f>
        <v>-4.8240100000000439</v>
      </c>
      <c r="F17" s="181">
        <f>F16-((500*1000*24*31*F11%)/1000000)</f>
        <v>-56.336873863636214</v>
      </c>
      <c r="G17" s="181">
        <f>G16-((500*1000*24*30*G11%)/1000000)</f>
        <v>-291.55236400000001</v>
      </c>
      <c r="H17" s="181">
        <f>H16-((500*1000*24*31*H11%)/1000000)</f>
        <v>-234.88617200000002</v>
      </c>
      <c r="I17" s="181">
        <f>I16-((500*1000*24*31*I11%)/1000000)</f>
        <v>-19.716613999999993</v>
      </c>
      <c r="J17" s="181">
        <f>J16-((500*1000*24*30*J11%)/1000000)</f>
        <v>-3.7568931813934228</v>
      </c>
      <c r="K17" s="181">
        <f>K16-((500*1000*24*31*K11%)/1000000)</f>
        <v>-25.137157947534718</v>
      </c>
      <c r="L17" s="181">
        <f>L16-((500*1000*24*30*L11%)/1000000)</f>
        <v>10.866731818272967</v>
      </c>
      <c r="M17" s="181">
        <f>M16-((500*1000*24*31*M11%)/1000000)</f>
        <v>20.599011379914259</v>
      </c>
      <c r="N17" s="181">
        <f>N16-((500*1000*24*31*N11%)/1000000)</f>
        <v>30.307191999999986</v>
      </c>
      <c r="O17" s="181">
        <f>O16-((500*1000*24*28*O11%)/1000000)</f>
        <v>10.307736379638527</v>
      </c>
      <c r="P17" s="181">
        <f>P16-((500*1000*24*31*P11%)/1000000)</f>
        <v>38.931436382610741</v>
      </c>
      <c r="Q17" s="143">
        <f>SUM(E17:P17)</f>
        <v>-525.19797703212794</v>
      </c>
    </row>
    <row r="18" spans="2:17" ht="16.5">
      <c r="B18" s="127">
        <f t="shared" si="0"/>
        <v>11</v>
      </c>
      <c r="C18" s="122" t="s">
        <v>217</v>
      </c>
      <c r="D18" s="131" t="s">
        <v>221</v>
      </c>
      <c r="E18" s="182">
        <v>3.0350000000000001</v>
      </c>
      <c r="F18" s="182">
        <v>3.0350000000000001</v>
      </c>
      <c r="G18" s="182">
        <v>3.0350000000000001</v>
      </c>
      <c r="H18" s="182">
        <v>3.0350000000000001</v>
      </c>
      <c r="I18" s="182">
        <v>3.0350000000000001</v>
      </c>
      <c r="J18" s="182">
        <v>3.0350000000000001</v>
      </c>
      <c r="K18" s="182">
        <v>3.0350000000000001</v>
      </c>
      <c r="L18" s="182">
        <v>3.0350000000000001</v>
      </c>
      <c r="M18" s="182">
        <v>3.0350000000000001</v>
      </c>
      <c r="N18" s="182">
        <v>3.0350000000000001</v>
      </c>
      <c r="O18" s="182">
        <v>3.0350000000000001</v>
      </c>
      <c r="P18" s="182">
        <v>3.0350000000000001</v>
      </c>
      <c r="Q18" s="182">
        <v>2.6680000000000001</v>
      </c>
    </row>
    <row r="19" spans="2:17" ht="16.5">
      <c r="B19" s="127">
        <f t="shared" si="0"/>
        <v>12</v>
      </c>
      <c r="C19" s="122" t="s">
        <v>236</v>
      </c>
      <c r="D19" s="131" t="s">
        <v>222</v>
      </c>
      <c r="E19" s="183">
        <v>40.835833333333333</v>
      </c>
      <c r="F19" s="183">
        <v>40.835833333333333</v>
      </c>
      <c r="G19" s="183">
        <v>40.835833333333333</v>
      </c>
      <c r="H19" s="183">
        <v>40.835833333333333</v>
      </c>
      <c r="I19" s="183">
        <v>40.835833333333333</v>
      </c>
      <c r="J19" s="183">
        <v>40.835833333333333</v>
      </c>
      <c r="K19" s="183">
        <v>40.835833333333333</v>
      </c>
      <c r="L19" s="183">
        <v>40.835833333333333</v>
      </c>
      <c r="M19" s="183">
        <v>40.835833333333333</v>
      </c>
      <c r="N19" s="183">
        <v>40.835833333333333</v>
      </c>
      <c r="O19" s="183">
        <v>40.835833333333333</v>
      </c>
      <c r="P19" s="183">
        <v>40.835833333333333</v>
      </c>
      <c r="Q19" s="130">
        <f>SUM(E19:P19)</f>
        <v>490.02999999999992</v>
      </c>
    </row>
    <row r="20" spans="2:17" ht="16.5">
      <c r="B20" s="127">
        <f t="shared" si="0"/>
        <v>13</v>
      </c>
      <c r="C20" s="122" t="s">
        <v>394</v>
      </c>
      <c r="D20" s="131" t="s">
        <v>221</v>
      </c>
      <c r="E20" s="182">
        <v>3.3342040248094249</v>
      </c>
      <c r="F20" s="182">
        <v>3.2640422923519266</v>
      </c>
      <c r="G20" s="182">
        <v>3.2961158132259918</v>
      </c>
      <c r="H20" s="182">
        <v>3.4514084786694381</v>
      </c>
      <c r="I20" s="182">
        <v>3.6036521495428731</v>
      </c>
      <c r="J20" s="182">
        <v>3.483267201801338</v>
      </c>
      <c r="K20" s="182">
        <v>3.5188005583566708</v>
      </c>
      <c r="L20" s="182">
        <v>3.6746278558000416</v>
      </c>
      <c r="M20" s="182">
        <v>3.6928834361787528</v>
      </c>
      <c r="N20" s="182">
        <v>3.6309446720548109</v>
      </c>
      <c r="O20" s="182">
        <v>3.5828562440915892</v>
      </c>
      <c r="P20" s="182">
        <v>3.5814148417124625</v>
      </c>
      <c r="Q20" s="189">
        <v>3.6287570059104328</v>
      </c>
    </row>
    <row r="21" spans="2:17" ht="16.5">
      <c r="B21" s="127">
        <f t="shared" si="0"/>
        <v>14</v>
      </c>
      <c r="C21" s="122" t="s">
        <v>218</v>
      </c>
      <c r="D21" s="131" t="s">
        <v>222</v>
      </c>
      <c r="E21" s="183">
        <v>40.835833333333333</v>
      </c>
      <c r="F21" s="183">
        <v>40.304967500000011</v>
      </c>
      <c r="G21" s="183">
        <v>0.44919416666665768</v>
      </c>
      <c r="H21" s="183">
        <v>10.739824166666665</v>
      </c>
      <c r="I21" s="183">
        <v>43.576938645833351</v>
      </c>
      <c r="J21" s="183">
        <v>46.5987903125</v>
      </c>
      <c r="K21" s="183">
        <v>46.032193124999992</v>
      </c>
      <c r="L21" s="183">
        <v>47.1858054</v>
      </c>
      <c r="M21" s="183">
        <v>50.452672083333312</v>
      </c>
      <c r="N21" s="183">
        <v>50.687478125000041</v>
      </c>
      <c r="O21" s="183">
        <v>45.378819791666672</v>
      </c>
      <c r="P21" s="183">
        <v>50.636433333333343</v>
      </c>
      <c r="Q21" s="130">
        <f>SUM(E21:P21)</f>
        <v>472.87894998333337</v>
      </c>
    </row>
    <row r="22" spans="2:17" ht="16.5">
      <c r="B22" s="127">
        <f t="shared" si="0"/>
        <v>15</v>
      </c>
      <c r="C22" s="122" t="s">
        <v>395</v>
      </c>
      <c r="D22" s="131" t="s">
        <v>222</v>
      </c>
      <c r="E22" s="183">
        <v>85.943912900000001</v>
      </c>
      <c r="F22" s="183">
        <v>73.22335878255555</v>
      </c>
      <c r="G22" s="183">
        <v>-1.0781423632623965</v>
      </c>
      <c r="H22" s="183">
        <v>19.033646922216679</v>
      </c>
      <c r="I22" s="183">
        <v>84.337607761492592</v>
      </c>
      <c r="J22" s="183">
        <v>86.267782919447086</v>
      </c>
      <c r="K22" s="183">
        <v>82.692472562923214</v>
      </c>
      <c r="L22" s="183">
        <v>90.706053100000005</v>
      </c>
      <c r="M22" s="183">
        <v>96.573399953803985</v>
      </c>
      <c r="N22" s="183">
        <v>99.519832790678336</v>
      </c>
      <c r="O22" s="183">
        <v>84.709197991220265</v>
      </c>
      <c r="P22" s="183">
        <v>102.13729094212236</v>
      </c>
      <c r="Q22" s="130">
        <f t="shared" ref="Q22:Q24" si="2">SUM(E22:P22)</f>
        <v>904.06641426319777</v>
      </c>
    </row>
    <row r="23" spans="2:17" ht="16.5">
      <c r="B23" s="127">
        <f t="shared" si="0"/>
        <v>16</v>
      </c>
      <c r="C23" s="122" t="s">
        <v>237</v>
      </c>
      <c r="D23" s="131" t="s">
        <v>222</v>
      </c>
      <c r="E23" s="183">
        <v>8.4727395869539031</v>
      </c>
      <c r="F23" s="183">
        <v>5.5259459470392462</v>
      </c>
      <c r="G23" s="183">
        <v>-9.2757831946179273E-2</v>
      </c>
      <c r="H23" s="183">
        <v>2.6114569879444747</v>
      </c>
      <c r="I23" s="183">
        <v>15.801898497817612</v>
      </c>
      <c r="J23" s="183">
        <v>12.741686212489558</v>
      </c>
      <c r="K23" s="183">
        <v>13.181767511642825</v>
      </c>
      <c r="L23" s="183">
        <v>19.116348685206972</v>
      </c>
      <c r="M23" s="183">
        <v>20.933785899530019</v>
      </c>
      <c r="N23" s="183">
        <v>19.541454403753018</v>
      </c>
      <c r="O23" s="183">
        <v>15.291091614985429</v>
      </c>
      <c r="P23" s="183">
        <v>18.388577154227185</v>
      </c>
      <c r="Q23" s="130">
        <f t="shared" si="2"/>
        <v>151.51399466964406</v>
      </c>
    </row>
    <row r="24" spans="2:17">
      <c r="B24" s="127">
        <f t="shared" si="0"/>
        <v>17</v>
      </c>
      <c r="C24" s="122" t="s">
        <v>219</v>
      </c>
      <c r="D24" s="131" t="s">
        <v>222</v>
      </c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0">
        <f t="shared" si="2"/>
        <v>0</v>
      </c>
    </row>
    <row r="25" spans="2:17" ht="15">
      <c r="B25" s="127">
        <f t="shared" si="0"/>
        <v>18</v>
      </c>
      <c r="C25" s="133" t="s">
        <v>163</v>
      </c>
      <c r="D25" s="131" t="s">
        <v>222</v>
      </c>
      <c r="E25" s="132">
        <f>E21+E22+E23+E24</f>
        <v>135.25248582028723</v>
      </c>
      <c r="F25" s="132">
        <f t="shared" ref="F25:P25" si="3">F21+F22+F23+F24</f>
        <v>119.0542722295948</v>
      </c>
      <c r="G25" s="132">
        <f t="shared" si="3"/>
        <v>-0.72170602854191812</v>
      </c>
      <c r="H25" s="132">
        <f t="shared" si="3"/>
        <v>32.384928076827819</v>
      </c>
      <c r="I25" s="132">
        <f t="shared" si="3"/>
        <v>143.71644490514356</v>
      </c>
      <c r="J25" s="132">
        <f t="shared" si="3"/>
        <v>145.60825944443664</v>
      </c>
      <c r="K25" s="132">
        <f t="shared" si="3"/>
        <v>141.90643319956604</v>
      </c>
      <c r="L25" s="132">
        <f t="shared" si="3"/>
        <v>157.00820718520697</v>
      </c>
      <c r="M25" s="132">
        <f t="shared" si="3"/>
        <v>167.95985793666731</v>
      </c>
      <c r="N25" s="132">
        <f t="shared" si="3"/>
        <v>169.74876531943139</v>
      </c>
      <c r="O25" s="132">
        <f t="shared" si="3"/>
        <v>145.37910939787236</v>
      </c>
      <c r="P25" s="132">
        <f t="shared" si="3"/>
        <v>171.16230142968291</v>
      </c>
      <c r="Q25" s="134">
        <f>SUM(Q21:Q24)</f>
        <v>1528.4593589161752</v>
      </c>
    </row>
    <row r="26" spans="2:17" ht="15">
      <c r="B26" s="127">
        <f t="shared" si="0"/>
        <v>19</v>
      </c>
      <c r="C26" s="135" t="s">
        <v>220</v>
      </c>
      <c r="D26" s="131"/>
      <c r="E26" s="132"/>
      <c r="F26" s="129"/>
      <c r="G26" s="129"/>
      <c r="H26" s="129"/>
      <c r="I26" s="129"/>
      <c r="J26" s="129"/>
      <c r="K26" s="129"/>
      <c r="L26" s="129"/>
      <c r="M26" s="130"/>
      <c r="N26" s="130"/>
      <c r="O26" s="130"/>
      <c r="P26" s="130"/>
      <c r="Q26" s="134"/>
    </row>
    <row r="27" spans="2:17" ht="28.5">
      <c r="B27" s="127"/>
      <c r="C27" s="84" t="s">
        <v>477</v>
      </c>
      <c r="D27" s="131"/>
      <c r="E27" s="132"/>
      <c r="F27" s="129"/>
      <c r="G27" s="129"/>
      <c r="H27" s="129"/>
      <c r="I27" s="129"/>
      <c r="J27" s="129"/>
      <c r="K27" s="129"/>
      <c r="L27" s="129"/>
      <c r="M27" s="130"/>
      <c r="N27" s="130"/>
      <c r="O27" s="130"/>
      <c r="P27" s="130"/>
      <c r="Q27" s="134">
        <v>-65.937540871083073</v>
      </c>
    </row>
    <row r="28" spans="2:17" ht="15">
      <c r="B28" s="127"/>
      <c r="C28" s="84" t="s">
        <v>478</v>
      </c>
      <c r="D28" s="131"/>
      <c r="E28" s="132"/>
      <c r="F28" s="129"/>
      <c r="G28" s="129"/>
      <c r="H28" s="129"/>
      <c r="I28" s="129"/>
      <c r="J28" s="129"/>
      <c r="K28" s="129"/>
      <c r="L28" s="129"/>
      <c r="M28" s="130"/>
      <c r="N28" s="130"/>
      <c r="O28" s="130"/>
      <c r="P28" s="130"/>
      <c r="Q28" s="134">
        <v>-22.666530000000066</v>
      </c>
    </row>
    <row r="29" spans="2:17" ht="15">
      <c r="B29" s="127"/>
      <c r="C29" s="122" t="s">
        <v>476</v>
      </c>
      <c r="D29" s="131" t="s">
        <v>222</v>
      </c>
      <c r="E29" s="132"/>
      <c r="F29" s="129"/>
      <c r="G29" s="129"/>
      <c r="H29" s="129"/>
      <c r="I29" s="129"/>
      <c r="J29" s="129"/>
      <c r="K29" s="129"/>
      <c r="L29" s="129"/>
      <c r="M29" s="130"/>
      <c r="N29" s="130"/>
      <c r="O29" s="130"/>
      <c r="P29" s="130"/>
      <c r="Q29" s="134">
        <v>1.8134949</v>
      </c>
    </row>
    <row r="30" spans="2:17" ht="15">
      <c r="B30" s="131">
        <f>B26+1</f>
        <v>20</v>
      </c>
      <c r="C30" s="121" t="s">
        <v>182</v>
      </c>
      <c r="D30" s="131" t="s">
        <v>222</v>
      </c>
      <c r="E30" s="143">
        <f t="shared" ref="E30:P30" si="4">E25+E26</f>
        <v>135.25248582028723</v>
      </c>
      <c r="F30" s="143">
        <f t="shared" si="4"/>
        <v>119.0542722295948</v>
      </c>
      <c r="G30" s="143">
        <f t="shared" si="4"/>
        <v>-0.72170602854191812</v>
      </c>
      <c r="H30" s="143">
        <f t="shared" si="4"/>
        <v>32.384928076827819</v>
      </c>
      <c r="I30" s="143">
        <f t="shared" si="4"/>
        <v>143.71644490514356</v>
      </c>
      <c r="J30" s="143">
        <f t="shared" si="4"/>
        <v>145.60825944443664</v>
      </c>
      <c r="K30" s="143">
        <f t="shared" si="4"/>
        <v>141.90643319956604</v>
      </c>
      <c r="L30" s="143">
        <f t="shared" si="4"/>
        <v>157.00820718520697</v>
      </c>
      <c r="M30" s="143">
        <f t="shared" si="4"/>
        <v>167.95985793666731</v>
      </c>
      <c r="N30" s="143">
        <f t="shared" si="4"/>
        <v>169.74876531943139</v>
      </c>
      <c r="O30" s="143">
        <f t="shared" si="4"/>
        <v>145.37910939787236</v>
      </c>
      <c r="P30" s="143">
        <f t="shared" si="4"/>
        <v>171.16230142968291</v>
      </c>
      <c r="Q30" s="143">
        <f>Q25+Q27+Q28+Q29</f>
        <v>1441.6687829450923</v>
      </c>
    </row>
    <row r="31" spans="2:17" ht="15">
      <c r="B31" s="131">
        <f>B30+1</f>
        <v>21</v>
      </c>
      <c r="C31" s="121" t="s">
        <v>223</v>
      </c>
      <c r="D31" s="131" t="s">
        <v>222</v>
      </c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6"/>
    </row>
    <row r="34" s="190" customFormat="1" hidden="1" outlineLevel="1"/>
    <row r="35" s="190" customFormat="1" hidden="1" outlineLevel="1"/>
    <row r="36" s="190" customFormat="1" hidden="1" outlineLevel="1"/>
    <row r="37" s="190" customFormat="1" hidden="1" outlineLevel="1"/>
    <row r="38" collapsed="1"/>
  </sheetData>
  <mergeCells count="2">
    <mergeCell ref="B3:Q3"/>
    <mergeCell ref="B4:Q4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6"/>
  <sheetViews>
    <sheetView showGridLines="0" zoomScale="96" zoomScaleNormal="96" zoomScaleSheetLayoutView="80" workbookViewId="0">
      <selection activeCell="B2" sqref="B2:N3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6" ht="15">
      <c r="C1" s="43"/>
      <c r="D1" s="43"/>
      <c r="E1" s="43"/>
      <c r="F1" s="43"/>
      <c r="G1" s="43"/>
      <c r="I1" s="40"/>
      <c r="J1" s="43"/>
    </row>
    <row r="2" spans="2:16" s="19" customFormat="1" ht="15.75">
      <c r="B2" s="268" t="s">
        <v>530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5"/>
      <c r="P2" s="5"/>
    </row>
    <row r="3" spans="2:16" s="19" customFormat="1" ht="15.75">
      <c r="B3" s="268" t="s">
        <v>512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5"/>
      <c r="P3" s="5"/>
    </row>
    <row r="4" spans="2:16" ht="15">
      <c r="B4" s="42"/>
      <c r="C4" s="42"/>
      <c r="D4" s="42"/>
      <c r="E4" s="42"/>
      <c r="F4" s="42"/>
      <c r="G4" s="42"/>
      <c r="H4" s="42" t="s">
        <v>404</v>
      </c>
      <c r="I4" s="42"/>
      <c r="J4" s="42"/>
    </row>
    <row r="5" spans="2:16" ht="15">
      <c r="B5" s="42"/>
      <c r="C5" s="42"/>
      <c r="D5" s="42"/>
      <c r="E5" s="42"/>
      <c r="F5" s="42"/>
      <c r="G5" s="42"/>
      <c r="H5" s="42"/>
      <c r="I5" s="42"/>
      <c r="J5" s="42"/>
    </row>
    <row r="6" spans="2:16" ht="15">
      <c r="B6" s="285" t="s">
        <v>68</v>
      </c>
      <c r="C6" s="285"/>
      <c r="D6" s="285"/>
      <c r="E6" s="285"/>
      <c r="F6" s="285"/>
      <c r="G6" s="285"/>
      <c r="H6" s="285"/>
      <c r="I6" s="285"/>
      <c r="J6" s="285"/>
    </row>
    <row r="7" spans="2:16" ht="15">
      <c r="N7" s="32" t="s">
        <v>4</v>
      </c>
    </row>
    <row r="8" spans="2:16" ht="13.9" customHeight="1">
      <c r="B8" s="286" t="s">
        <v>210</v>
      </c>
      <c r="C8" s="286" t="s">
        <v>18</v>
      </c>
      <c r="D8" s="288" t="s">
        <v>1</v>
      </c>
      <c r="E8" s="282" t="s">
        <v>481</v>
      </c>
      <c r="F8" s="283"/>
      <c r="G8" s="284"/>
      <c r="H8" s="282" t="s">
        <v>482</v>
      </c>
      <c r="I8" s="283"/>
      <c r="J8" s="287" t="s">
        <v>252</v>
      </c>
      <c r="K8" s="287"/>
      <c r="L8" s="287"/>
      <c r="M8" s="287"/>
      <c r="N8" s="287"/>
    </row>
    <row r="9" spans="2:16" ht="30">
      <c r="B9" s="286"/>
      <c r="C9" s="286"/>
      <c r="D9" s="289"/>
      <c r="E9" s="21" t="s">
        <v>397</v>
      </c>
      <c r="F9" s="21" t="s">
        <v>270</v>
      </c>
      <c r="G9" s="21" t="s">
        <v>226</v>
      </c>
      <c r="H9" s="21" t="s">
        <v>397</v>
      </c>
      <c r="I9" s="21" t="s">
        <v>269</v>
      </c>
      <c r="J9" s="21" t="s">
        <v>483</v>
      </c>
      <c r="K9" s="21" t="s">
        <v>484</v>
      </c>
      <c r="L9" s="21" t="s">
        <v>485</v>
      </c>
      <c r="M9" s="21" t="s">
        <v>486</v>
      </c>
      <c r="N9" s="21" t="s">
        <v>487</v>
      </c>
    </row>
    <row r="10" spans="2:16" ht="15">
      <c r="B10" s="286"/>
      <c r="C10" s="286"/>
      <c r="D10" s="290"/>
      <c r="E10" s="21" t="s">
        <v>10</v>
      </c>
      <c r="F10" s="21" t="s">
        <v>12</v>
      </c>
      <c r="G10" s="21" t="s">
        <v>259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6">
      <c r="B11" s="26">
        <v>1</v>
      </c>
      <c r="C11" s="35" t="s">
        <v>69</v>
      </c>
      <c r="D11" s="35" t="s">
        <v>24</v>
      </c>
      <c r="E11" s="178">
        <v>130.76</v>
      </c>
      <c r="F11" s="176">
        <f>F2.1!G36</f>
        <v>168.53731252644923</v>
      </c>
      <c r="G11" s="176">
        <f>F11</f>
        <v>168.53731252644923</v>
      </c>
      <c r="H11" s="178">
        <v>136.03</v>
      </c>
      <c r="I11" s="176">
        <f>F2.1!H36</f>
        <v>182.31843907315036</v>
      </c>
      <c r="J11" s="176">
        <f>F2.1!I36</f>
        <v>168.329196403174</v>
      </c>
      <c r="K11" s="176">
        <f>F2.1!J36</f>
        <v>178.0922897945581</v>
      </c>
      <c r="L11" s="176">
        <f>F2.1!K36</f>
        <v>188.42164260264246</v>
      </c>
      <c r="M11" s="176">
        <f>F2.1!L36</f>
        <v>199.35009787359573</v>
      </c>
      <c r="N11" s="176">
        <f>F2.1!M36</f>
        <v>210.91240355026429</v>
      </c>
    </row>
    <row r="12" spans="2:16">
      <c r="B12" s="26">
        <f>B11+1</f>
        <v>2</v>
      </c>
      <c r="C12" s="44" t="s">
        <v>271</v>
      </c>
      <c r="D12" s="44" t="s">
        <v>25</v>
      </c>
      <c r="E12" s="178">
        <v>4.33</v>
      </c>
      <c r="F12" s="177">
        <f>F2.2!G40</f>
        <v>7.0974064748809491</v>
      </c>
      <c r="G12" s="176">
        <f>F12</f>
        <v>7.0974064748809491</v>
      </c>
      <c r="H12" s="179">
        <v>4.42</v>
      </c>
      <c r="I12" s="176">
        <f>F2.2!H40</f>
        <v>10.820839878402998</v>
      </c>
      <c r="J12" s="176">
        <f>F2.2!I40</f>
        <v>10.092621073610246</v>
      </c>
      <c r="K12" s="176">
        <f>F2.2!J40</f>
        <v>10.587159506217148</v>
      </c>
      <c r="L12" s="176">
        <f>F2.2!K40</f>
        <v>11.105930322021788</v>
      </c>
      <c r="M12" s="176">
        <f>F2.2!L40</f>
        <v>11.650120907800854</v>
      </c>
      <c r="N12" s="176">
        <f>F2.2!M40</f>
        <v>12.220976832283096</v>
      </c>
    </row>
    <row r="13" spans="2:16">
      <c r="B13" s="26">
        <f>B12+1</f>
        <v>3</v>
      </c>
      <c r="C13" s="35" t="s">
        <v>229</v>
      </c>
      <c r="D13" s="35" t="s">
        <v>305</v>
      </c>
      <c r="E13" s="178">
        <v>29.6</v>
      </c>
      <c r="F13" s="176">
        <f>F2.3!G18</f>
        <v>32.689916719287758</v>
      </c>
      <c r="G13" s="176">
        <f>F13</f>
        <v>32.689916719287758</v>
      </c>
      <c r="H13" s="179">
        <v>29.89</v>
      </c>
      <c r="I13" s="176">
        <f>F2.3!H18</f>
        <v>22.435642606159504</v>
      </c>
      <c r="J13" s="176">
        <f>F2.3!I18</f>
        <v>30.727466356023303</v>
      </c>
      <c r="K13" s="176">
        <f>F2.3!J18</f>
        <v>30.863556427061646</v>
      </c>
      <c r="L13" s="176">
        <f>F2.3!K18</f>
        <v>30.886579636599574</v>
      </c>
      <c r="M13" s="176">
        <f>F2.3!L18</f>
        <v>31.078359355839609</v>
      </c>
      <c r="N13" s="176">
        <f>F2.3!M18</f>
        <v>31.078359355839609</v>
      </c>
    </row>
    <row r="14" spans="2:16" ht="15">
      <c r="B14" s="26">
        <f>B13+1</f>
        <v>4</v>
      </c>
      <c r="C14" s="35" t="s">
        <v>70</v>
      </c>
      <c r="D14" s="35"/>
      <c r="E14" s="142">
        <f>SUM(E11:E13)*0.99</f>
        <v>163.04310000000001</v>
      </c>
      <c r="F14" s="142">
        <f t="shared" ref="F14:I14" si="0">SUM(F11:F13)</f>
        <v>208.32463572061795</v>
      </c>
      <c r="G14" s="142">
        <f>SUM(G11:G13)</f>
        <v>208.32463572061795</v>
      </c>
      <c r="H14" s="142">
        <f>SUM(H11:H13)*0.99</f>
        <v>168.63659999999999</v>
      </c>
      <c r="I14" s="142">
        <f t="shared" si="0"/>
        <v>215.57492155771286</v>
      </c>
      <c r="J14" s="142">
        <f>SUM(J11:J13)</f>
        <v>209.14928383280755</v>
      </c>
      <c r="K14" s="142">
        <f t="shared" ref="K14:N14" si="1">SUM(K11:K13)</f>
        <v>219.54300572783688</v>
      </c>
      <c r="L14" s="142">
        <f t="shared" si="1"/>
        <v>230.41415256126382</v>
      </c>
      <c r="M14" s="142">
        <f t="shared" si="1"/>
        <v>242.07857813723621</v>
      </c>
      <c r="N14" s="142">
        <f t="shared" si="1"/>
        <v>254.211739738387</v>
      </c>
    </row>
    <row r="15" spans="2:16">
      <c r="B15" s="57" t="s">
        <v>272</v>
      </c>
      <c r="C15" s="58"/>
      <c r="D15" s="55"/>
      <c r="E15" s="55"/>
      <c r="F15" s="55"/>
      <c r="G15" s="56"/>
      <c r="H15" s="56"/>
      <c r="I15" s="56"/>
      <c r="J15" s="56"/>
      <c r="K15" s="56"/>
      <c r="L15" s="56"/>
      <c r="M15" s="56"/>
      <c r="N15" s="56"/>
    </row>
    <row r="16" spans="2:16">
      <c r="B16" s="59">
        <v>1</v>
      </c>
      <c r="C16" s="58" t="s">
        <v>273</v>
      </c>
    </row>
  </sheetData>
  <mergeCells count="9">
    <mergeCell ref="B2:N2"/>
    <mergeCell ref="B3:N3"/>
    <mergeCell ref="B6:J6"/>
    <mergeCell ref="B8:B10"/>
    <mergeCell ref="C8:C10"/>
    <mergeCell ref="J8:N8"/>
    <mergeCell ref="H8:I8"/>
    <mergeCell ref="E8:G8"/>
    <mergeCell ref="D8:D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P39"/>
  <sheetViews>
    <sheetView showGridLines="0" zoomScale="80" zoomScaleNormal="80" zoomScaleSheetLayoutView="70" workbookViewId="0">
      <selection activeCell="F37" sqref="F37"/>
    </sheetView>
  </sheetViews>
  <sheetFormatPr defaultColWidth="9.28515625" defaultRowHeight="14.25"/>
  <cols>
    <col min="1" max="1" width="2" style="19" customWidth="1"/>
    <col min="2" max="2" width="7" style="19" customWidth="1"/>
    <col min="3" max="3" width="47.140625" style="19" customWidth="1"/>
    <col min="4" max="4" width="14.5703125" style="19" customWidth="1"/>
    <col min="5" max="5" width="13.85546875" style="19" customWidth="1"/>
    <col min="6" max="6" width="14.42578125" style="19" customWidth="1"/>
    <col min="7" max="7" width="13.7109375" style="19" customWidth="1"/>
    <col min="8" max="8" width="14.2851562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6" ht="14.25" customHeight="1">
      <c r="B2" s="292" t="s">
        <v>529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5"/>
      <c r="O2" s="5"/>
      <c r="P2" s="5"/>
    </row>
    <row r="3" spans="2:16" ht="14.25" customHeight="1">
      <c r="B3" s="292" t="s">
        <v>511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5"/>
      <c r="O3" s="5"/>
      <c r="P3" s="5"/>
    </row>
    <row r="4" spans="2:16" s="4" customFormat="1" ht="15.75">
      <c r="B4" s="268" t="s">
        <v>540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</row>
    <row r="5" spans="2:16" s="4" customFormat="1" ht="15">
      <c r="C5" s="48"/>
      <c r="D5" s="48"/>
      <c r="E5" s="48"/>
      <c r="F5" s="48"/>
      <c r="G5" s="49"/>
      <c r="H5" s="49"/>
    </row>
    <row r="6" spans="2:16" ht="15">
      <c r="M6" s="32" t="s">
        <v>4</v>
      </c>
    </row>
    <row r="7" spans="2:16" ht="12.75" customHeight="1">
      <c r="B7" s="278" t="s">
        <v>2</v>
      </c>
      <c r="C7" s="278" t="s">
        <v>18</v>
      </c>
      <c r="D7" s="21" t="s">
        <v>504</v>
      </c>
      <c r="E7" s="21" t="s">
        <v>505</v>
      </c>
      <c r="F7" s="21" t="s">
        <v>506</v>
      </c>
      <c r="G7" s="21" t="s">
        <v>481</v>
      </c>
      <c r="H7" s="21" t="s">
        <v>482</v>
      </c>
      <c r="I7" s="287" t="s">
        <v>252</v>
      </c>
      <c r="J7" s="287"/>
      <c r="K7" s="287"/>
      <c r="L7" s="287"/>
      <c r="M7" s="287"/>
    </row>
    <row r="8" spans="2:16" ht="15">
      <c r="B8" s="278"/>
      <c r="C8" s="278"/>
      <c r="D8" s="21" t="s">
        <v>270</v>
      </c>
      <c r="E8" s="21" t="s">
        <v>270</v>
      </c>
      <c r="F8" s="21" t="s">
        <v>270</v>
      </c>
      <c r="G8" s="21" t="s">
        <v>270</v>
      </c>
      <c r="H8" s="21" t="s">
        <v>269</v>
      </c>
      <c r="I8" s="21" t="s">
        <v>483</v>
      </c>
      <c r="J8" s="21" t="s">
        <v>484</v>
      </c>
      <c r="K8" s="21" t="s">
        <v>485</v>
      </c>
      <c r="L8" s="21" t="s">
        <v>486</v>
      </c>
      <c r="M8" s="21" t="s">
        <v>487</v>
      </c>
    </row>
    <row r="9" spans="2:16" ht="15">
      <c r="B9" s="291"/>
      <c r="C9" s="278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6">
      <c r="B10" s="2">
        <v>1</v>
      </c>
      <c r="C10" s="50" t="s">
        <v>73</v>
      </c>
      <c r="D10" s="165"/>
      <c r="E10" s="165"/>
      <c r="F10" s="165"/>
      <c r="G10" s="162">
        <v>88.256140302939414</v>
      </c>
      <c r="H10" s="234">
        <v>92.903441011542554</v>
      </c>
      <c r="I10" s="3"/>
      <c r="J10" s="3"/>
      <c r="K10" s="3"/>
      <c r="L10" s="3"/>
      <c r="M10" s="3"/>
    </row>
    <row r="11" spans="2:16">
      <c r="B11" s="2">
        <v>2</v>
      </c>
      <c r="C11" s="50" t="s">
        <v>74</v>
      </c>
      <c r="D11" s="165"/>
      <c r="E11" s="165"/>
      <c r="F11" s="165"/>
      <c r="G11" s="162">
        <v>2.8960802462844502</v>
      </c>
      <c r="H11" s="234">
        <v>7.9094163446943249</v>
      </c>
      <c r="I11" s="3"/>
      <c r="J11" s="3"/>
      <c r="K11" s="3"/>
      <c r="L11" s="3"/>
      <c r="M11" s="3"/>
    </row>
    <row r="12" spans="2:16">
      <c r="B12" s="2">
        <v>3</v>
      </c>
      <c r="C12" s="3" t="s">
        <v>75</v>
      </c>
      <c r="D12" s="162"/>
      <c r="E12" s="162"/>
      <c r="F12" s="162"/>
      <c r="G12" s="162">
        <v>5.359977851407721</v>
      </c>
      <c r="H12" s="234">
        <v>5.0997025155980307</v>
      </c>
      <c r="I12" s="3"/>
      <c r="J12" s="3"/>
      <c r="K12" s="3"/>
      <c r="L12" s="3"/>
      <c r="M12" s="3"/>
    </row>
    <row r="13" spans="2:16">
      <c r="B13" s="2">
        <v>4</v>
      </c>
      <c r="C13" s="50" t="s">
        <v>76</v>
      </c>
      <c r="D13" s="165"/>
      <c r="E13" s="165"/>
      <c r="F13" s="165"/>
      <c r="G13" s="162">
        <v>1.1765528443711162</v>
      </c>
      <c r="H13" s="234">
        <v>1.1162196585717599</v>
      </c>
      <c r="I13" s="3"/>
      <c r="J13" s="3"/>
      <c r="K13" s="3"/>
      <c r="L13" s="3"/>
      <c r="M13" s="3"/>
    </row>
    <row r="14" spans="2:16">
      <c r="B14" s="2">
        <v>5</v>
      </c>
      <c r="C14" s="50" t="s">
        <v>77</v>
      </c>
      <c r="D14" s="165"/>
      <c r="E14" s="165"/>
      <c r="F14" s="165"/>
      <c r="G14" s="162">
        <v>5.0272572727412892E-4</v>
      </c>
      <c r="H14" s="234">
        <v>3.5842818946349106E-4</v>
      </c>
      <c r="I14" s="3"/>
      <c r="J14" s="3"/>
      <c r="K14" s="3"/>
      <c r="L14" s="3"/>
      <c r="M14" s="3"/>
    </row>
    <row r="15" spans="2:16">
      <c r="B15" s="2">
        <v>6</v>
      </c>
      <c r="C15" s="3" t="s">
        <v>78</v>
      </c>
      <c r="D15" s="162"/>
      <c r="E15" s="162"/>
      <c r="F15" s="162"/>
      <c r="G15" s="162">
        <v>19.081693700735087</v>
      </c>
      <c r="H15" s="234">
        <v>16.58824858844266</v>
      </c>
      <c r="I15" s="3"/>
      <c r="J15" s="3"/>
      <c r="K15" s="3"/>
      <c r="L15" s="3"/>
      <c r="M15" s="3"/>
    </row>
    <row r="16" spans="2:16">
      <c r="B16" s="2">
        <v>7</v>
      </c>
      <c r="C16" s="50" t="s">
        <v>79</v>
      </c>
      <c r="D16" s="165"/>
      <c r="E16" s="165"/>
      <c r="F16" s="165"/>
      <c r="G16" s="162">
        <v>21.945324123567175</v>
      </c>
      <c r="H16" s="234">
        <v>17.398731092218576</v>
      </c>
      <c r="I16" s="3"/>
      <c r="J16" s="3"/>
      <c r="K16" s="3"/>
      <c r="L16" s="3"/>
      <c r="M16" s="3"/>
    </row>
    <row r="17" spans="2:13">
      <c r="B17" s="2">
        <v>8</v>
      </c>
      <c r="C17" s="50" t="s">
        <v>80</v>
      </c>
      <c r="D17" s="165"/>
      <c r="E17" s="165"/>
      <c r="F17" s="165"/>
      <c r="G17" s="162">
        <v>3.4683424685655111</v>
      </c>
      <c r="H17" s="234">
        <v>1.3126936461055505</v>
      </c>
      <c r="I17" s="3"/>
      <c r="J17" s="3"/>
      <c r="K17" s="3"/>
      <c r="L17" s="3"/>
      <c r="M17" s="3"/>
    </row>
    <row r="18" spans="2:13">
      <c r="B18" s="2">
        <v>9</v>
      </c>
      <c r="C18" s="50" t="s">
        <v>81</v>
      </c>
      <c r="D18" s="165"/>
      <c r="E18" s="165"/>
      <c r="F18" s="165"/>
      <c r="G18" s="162">
        <v>0</v>
      </c>
      <c r="H18" s="234">
        <v>0</v>
      </c>
      <c r="I18" s="3"/>
      <c r="J18" s="3"/>
      <c r="K18" s="3"/>
      <c r="L18" s="3"/>
      <c r="M18" s="3"/>
    </row>
    <row r="19" spans="2:13">
      <c r="B19" s="2">
        <v>10</v>
      </c>
      <c r="C19" s="50" t="s">
        <v>82</v>
      </c>
      <c r="D19" s="165"/>
      <c r="E19" s="165"/>
      <c r="F19" s="165"/>
      <c r="G19" s="165">
        <v>9.0909090909090912E-2</v>
      </c>
      <c r="H19" s="234">
        <v>0</v>
      </c>
      <c r="I19" s="3"/>
      <c r="J19" s="3"/>
      <c r="K19" s="3"/>
      <c r="L19" s="3"/>
      <c r="M19" s="3"/>
    </row>
    <row r="20" spans="2:13">
      <c r="B20" s="2">
        <v>11</v>
      </c>
      <c r="C20" s="50" t="s">
        <v>83</v>
      </c>
      <c r="D20" s="165"/>
      <c r="E20" s="165"/>
      <c r="F20" s="165"/>
      <c r="G20" s="165">
        <v>0</v>
      </c>
      <c r="H20" s="234">
        <v>1.9799616030996723E-3</v>
      </c>
      <c r="I20" s="3"/>
      <c r="J20" s="3"/>
      <c r="K20" s="3"/>
      <c r="L20" s="3"/>
      <c r="M20" s="3"/>
    </row>
    <row r="21" spans="2:13">
      <c r="B21" s="2">
        <v>12</v>
      </c>
      <c r="C21" s="50" t="s">
        <v>84</v>
      </c>
      <c r="D21" s="165"/>
      <c r="E21" s="165"/>
      <c r="F21" s="165"/>
      <c r="G21" s="165">
        <v>2.0275053270691057</v>
      </c>
      <c r="H21" s="234">
        <v>2.0940737865056009</v>
      </c>
      <c r="I21" s="3"/>
      <c r="J21" s="3"/>
      <c r="K21" s="3"/>
      <c r="L21" s="3"/>
      <c r="M21" s="3"/>
    </row>
    <row r="22" spans="2:13">
      <c r="B22" s="2">
        <v>13</v>
      </c>
      <c r="C22" s="50" t="s">
        <v>85</v>
      </c>
      <c r="D22" s="165"/>
      <c r="E22" s="165"/>
      <c r="F22" s="165"/>
      <c r="G22" s="165">
        <v>0</v>
      </c>
      <c r="H22" s="234">
        <v>0</v>
      </c>
      <c r="I22" s="3"/>
      <c r="J22" s="3"/>
      <c r="K22" s="3"/>
      <c r="L22" s="3"/>
      <c r="M22" s="3"/>
    </row>
    <row r="23" spans="2:13">
      <c r="B23" s="2">
        <v>14</v>
      </c>
      <c r="C23" s="50" t="s">
        <v>86</v>
      </c>
      <c r="D23" s="165"/>
      <c r="E23" s="165"/>
      <c r="F23" s="165"/>
      <c r="G23" s="165">
        <v>0</v>
      </c>
      <c r="H23" s="234">
        <v>0</v>
      </c>
      <c r="I23" s="3"/>
      <c r="J23" s="3"/>
      <c r="K23" s="3"/>
      <c r="L23" s="3"/>
      <c r="M23" s="3"/>
    </row>
    <row r="24" spans="2:13">
      <c r="B24" s="2">
        <v>15</v>
      </c>
      <c r="C24" s="50" t="s">
        <v>87</v>
      </c>
      <c r="D24" s="165"/>
      <c r="E24" s="165"/>
      <c r="F24" s="165"/>
      <c r="G24" s="162">
        <v>0</v>
      </c>
      <c r="H24" s="234">
        <v>0</v>
      </c>
      <c r="I24" s="3"/>
      <c r="J24" s="3"/>
      <c r="K24" s="3"/>
      <c r="L24" s="3"/>
      <c r="M24" s="3"/>
    </row>
    <row r="25" spans="2:13">
      <c r="B25" s="2">
        <v>16</v>
      </c>
      <c r="C25" s="50" t="s">
        <v>88</v>
      </c>
      <c r="D25" s="165"/>
      <c r="E25" s="165"/>
      <c r="F25" s="165"/>
      <c r="G25" s="180">
        <v>6.697572727272727E-2</v>
      </c>
      <c r="H25" s="234">
        <v>0</v>
      </c>
      <c r="I25" s="3"/>
      <c r="J25" s="3"/>
      <c r="K25" s="3"/>
      <c r="L25" s="3"/>
      <c r="M25" s="3"/>
    </row>
    <row r="26" spans="2:13" ht="15">
      <c r="B26" s="2">
        <v>17</v>
      </c>
      <c r="C26" s="50" t="s">
        <v>89</v>
      </c>
      <c r="D26" s="165"/>
      <c r="E26" s="165"/>
      <c r="F26" s="165"/>
      <c r="G26" s="180">
        <v>144.37000440884867</v>
      </c>
      <c r="H26" s="235">
        <v>144.4248650334716</v>
      </c>
      <c r="I26" s="3"/>
      <c r="J26" s="3"/>
      <c r="K26" s="3"/>
      <c r="L26" s="3"/>
      <c r="M26" s="3"/>
    </row>
    <row r="27" spans="2:13">
      <c r="B27" s="2">
        <v>18</v>
      </c>
      <c r="C27" s="50" t="s">
        <v>90</v>
      </c>
      <c r="D27" s="165"/>
      <c r="E27" s="165"/>
      <c r="F27" s="165"/>
      <c r="G27" s="180">
        <v>0</v>
      </c>
      <c r="H27" s="234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50" t="s">
        <v>91</v>
      </c>
      <c r="D28" s="165"/>
      <c r="E28" s="165"/>
      <c r="F28" s="165"/>
      <c r="G28" s="180">
        <v>9.6561139880378093</v>
      </c>
      <c r="H28" s="234">
        <v>10.208146159660961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50" t="s">
        <v>92</v>
      </c>
      <c r="D29" s="165"/>
      <c r="E29" s="165"/>
      <c r="F29" s="165"/>
      <c r="G29" s="180">
        <v>0</v>
      </c>
      <c r="H29" s="234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50" t="s">
        <v>93</v>
      </c>
      <c r="D30" s="165"/>
      <c r="E30" s="165"/>
      <c r="F30" s="165"/>
      <c r="G30" s="180">
        <v>0</v>
      </c>
      <c r="H30" s="234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50" t="s">
        <v>94</v>
      </c>
      <c r="D31" s="165"/>
      <c r="E31" s="165"/>
      <c r="F31" s="165"/>
      <c r="G31" s="162">
        <v>14.511194129562744</v>
      </c>
      <c r="H31" s="234">
        <v>27.68542788001778</v>
      </c>
      <c r="I31" s="3"/>
      <c r="J31" s="3"/>
      <c r="K31" s="3"/>
      <c r="L31" s="3"/>
      <c r="M31" s="3"/>
    </row>
    <row r="32" spans="2:13">
      <c r="B32" s="2">
        <v>19</v>
      </c>
      <c r="C32" s="54" t="s">
        <v>431</v>
      </c>
      <c r="D32" s="165"/>
      <c r="E32" s="165"/>
      <c r="F32" s="165"/>
      <c r="G32" s="162">
        <v>0</v>
      </c>
      <c r="H32" s="234">
        <v>0</v>
      </c>
      <c r="I32" s="3"/>
      <c r="J32" s="3"/>
      <c r="K32" s="3"/>
      <c r="L32" s="3"/>
      <c r="M32" s="3"/>
    </row>
    <row r="33" spans="2:13">
      <c r="B33" s="2">
        <v>20</v>
      </c>
      <c r="C33" s="50" t="s">
        <v>95</v>
      </c>
      <c r="D33" s="165"/>
      <c r="E33" s="165"/>
      <c r="F33" s="165"/>
      <c r="G33" s="162">
        <v>0</v>
      </c>
      <c r="H33" s="234">
        <v>0</v>
      </c>
      <c r="I33" s="162">
        <v>168.329196403174</v>
      </c>
      <c r="J33" s="162">
        <v>178.0922897945581</v>
      </c>
      <c r="K33" s="162">
        <v>188.42164260264246</v>
      </c>
      <c r="L33" s="162">
        <v>199.35009787359573</v>
      </c>
      <c r="M33" s="162">
        <v>210.91240355026429</v>
      </c>
    </row>
    <row r="34" spans="2:13" ht="15">
      <c r="B34" s="20">
        <v>21</v>
      </c>
      <c r="C34" s="51" t="s">
        <v>96</v>
      </c>
      <c r="D34" s="164">
        <f>SUM(D26:D33)</f>
        <v>0</v>
      </c>
      <c r="E34" s="164">
        <f t="shared" ref="E34:G34" si="0">SUM(E26:E33)</f>
        <v>0</v>
      </c>
      <c r="F34" s="164">
        <f t="shared" si="0"/>
        <v>0</v>
      </c>
      <c r="G34" s="164">
        <f t="shared" si="0"/>
        <v>168.53731252644923</v>
      </c>
      <c r="H34" s="164">
        <f t="shared" ref="H34" si="1">SUM(H26:H33)</f>
        <v>182.31843907315036</v>
      </c>
      <c r="I34" s="164">
        <f t="shared" ref="I34:M34" si="2">SUM(I10:I33)</f>
        <v>168.329196403174</v>
      </c>
      <c r="J34" s="164">
        <f t="shared" si="2"/>
        <v>178.0922897945581</v>
      </c>
      <c r="K34" s="164">
        <f t="shared" si="2"/>
        <v>188.42164260264246</v>
      </c>
      <c r="L34" s="164">
        <f t="shared" si="2"/>
        <v>199.35009787359573</v>
      </c>
      <c r="M34" s="164">
        <f t="shared" si="2"/>
        <v>210.91240355026429</v>
      </c>
    </row>
    <row r="35" spans="2:13">
      <c r="B35" s="2">
        <v>22</v>
      </c>
      <c r="C35" s="50" t="s">
        <v>17</v>
      </c>
      <c r="D35" s="165"/>
      <c r="E35" s="165"/>
      <c r="F35" s="165"/>
      <c r="G35" s="162">
        <v>0</v>
      </c>
      <c r="H35" s="162">
        <v>0</v>
      </c>
      <c r="I35" s="162"/>
      <c r="J35" s="162"/>
      <c r="K35" s="162"/>
      <c r="L35" s="162"/>
      <c r="M35" s="162"/>
    </row>
    <row r="36" spans="2:13" ht="15">
      <c r="B36" s="20">
        <v>23</v>
      </c>
      <c r="C36" s="25" t="s">
        <v>97</v>
      </c>
      <c r="D36" s="144">
        <v>111.8</v>
      </c>
      <c r="E36" s="144">
        <v>123.3</v>
      </c>
      <c r="F36" s="144">
        <v>124.72</v>
      </c>
      <c r="G36" s="144">
        <f t="shared" ref="G36:M36" si="3">G34-G35</f>
        <v>168.53731252644923</v>
      </c>
      <c r="H36" s="144">
        <f t="shared" si="3"/>
        <v>182.31843907315036</v>
      </c>
      <c r="I36" s="144">
        <f t="shared" si="3"/>
        <v>168.329196403174</v>
      </c>
      <c r="J36" s="144">
        <f t="shared" si="3"/>
        <v>178.0922897945581</v>
      </c>
      <c r="K36" s="144">
        <f t="shared" si="3"/>
        <v>188.42164260264246</v>
      </c>
      <c r="L36" s="144">
        <f t="shared" si="3"/>
        <v>199.35009787359573</v>
      </c>
      <c r="M36" s="144">
        <f t="shared" si="3"/>
        <v>210.91240355026429</v>
      </c>
    </row>
    <row r="38" spans="2:13" ht="15">
      <c r="B38" s="52"/>
    </row>
    <row r="39" spans="2:13">
      <c r="B39" s="53"/>
    </row>
  </sheetData>
  <mergeCells count="6">
    <mergeCell ref="I7:M7"/>
    <mergeCell ref="B7:B9"/>
    <mergeCell ref="C7:C9"/>
    <mergeCell ref="B2:M2"/>
    <mergeCell ref="B3:M3"/>
    <mergeCell ref="B4:M4"/>
  </mergeCells>
  <pageMargins left="0.75" right="0.7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40"/>
  <sheetViews>
    <sheetView showGridLines="0" zoomScale="80" zoomScaleNormal="80" zoomScaleSheetLayoutView="70" workbookViewId="0">
      <selection activeCell="B4" sqref="B4:M4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.75">
      <c r="B2" s="268" t="s">
        <v>530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</row>
    <row r="3" spans="2:13" ht="15.75">
      <c r="B3" s="268" t="s">
        <v>512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</row>
    <row r="4" spans="2:13" s="4" customFormat="1" ht="15.75">
      <c r="B4" s="293" t="s">
        <v>541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</row>
    <row r="6" spans="2:13" ht="15">
      <c r="M6" s="32" t="s">
        <v>4</v>
      </c>
    </row>
    <row r="7" spans="2:13" ht="12.75" customHeight="1">
      <c r="B7" s="280" t="s">
        <v>210</v>
      </c>
      <c r="C7" s="278" t="s">
        <v>18</v>
      </c>
      <c r="D7" s="21" t="s">
        <v>504</v>
      </c>
      <c r="E7" s="21" t="s">
        <v>505</v>
      </c>
      <c r="F7" s="21" t="s">
        <v>506</v>
      </c>
      <c r="G7" s="21" t="s">
        <v>481</v>
      </c>
      <c r="H7" s="21" t="s">
        <v>482</v>
      </c>
      <c r="I7" s="287" t="s">
        <v>252</v>
      </c>
      <c r="J7" s="287"/>
      <c r="K7" s="287"/>
      <c r="L7" s="287"/>
      <c r="M7" s="287"/>
    </row>
    <row r="8" spans="2:13" ht="15">
      <c r="B8" s="280"/>
      <c r="C8" s="278"/>
      <c r="D8" s="21" t="s">
        <v>270</v>
      </c>
      <c r="E8" s="21" t="s">
        <v>270</v>
      </c>
      <c r="F8" s="21" t="s">
        <v>270</v>
      </c>
      <c r="G8" s="21" t="s">
        <v>270</v>
      </c>
      <c r="H8" s="21" t="s">
        <v>269</v>
      </c>
      <c r="I8" s="21" t="s">
        <v>483</v>
      </c>
      <c r="J8" s="21" t="s">
        <v>484</v>
      </c>
      <c r="K8" s="21" t="s">
        <v>485</v>
      </c>
      <c r="L8" s="21" t="s">
        <v>486</v>
      </c>
      <c r="M8" s="21" t="s">
        <v>487</v>
      </c>
    </row>
    <row r="9" spans="2:13" ht="15">
      <c r="B9" s="280"/>
      <c r="C9" s="278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3">
        <v>1</v>
      </c>
      <c r="C10" s="60" t="s">
        <v>98</v>
      </c>
      <c r="D10" s="162">
        <v>0.14581894612274482</v>
      </c>
      <c r="E10" s="162">
        <v>0.16463825585670563</v>
      </c>
      <c r="F10" s="162">
        <v>0.41186461533662422</v>
      </c>
      <c r="G10" s="162">
        <v>0.27401940972600952</v>
      </c>
      <c r="H10" s="236">
        <v>0.38732107367183433</v>
      </c>
      <c r="I10" s="3"/>
      <c r="J10" s="3"/>
      <c r="K10" s="3"/>
      <c r="L10" s="3"/>
      <c r="M10" s="3"/>
    </row>
    <row r="11" spans="2:13">
      <c r="B11" s="3">
        <v>2</v>
      </c>
      <c r="C11" s="61" t="s">
        <v>99</v>
      </c>
      <c r="D11" s="162">
        <v>2.5805694409577806</v>
      </c>
      <c r="E11" s="162">
        <v>2.7596071255359025</v>
      </c>
      <c r="F11" s="162">
        <v>2.81876072549024</v>
      </c>
      <c r="G11" s="162">
        <v>2.7015977484719458</v>
      </c>
      <c r="H11" s="236">
        <v>2.6245886664298785</v>
      </c>
      <c r="I11" s="3"/>
      <c r="J11" s="3"/>
      <c r="K11" s="3"/>
      <c r="L11" s="3"/>
      <c r="M11" s="3"/>
    </row>
    <row r="12" spans="2:13">
      <c r="B12" s="3">
        <v>3</v>
      </c>
      <c r="C12" s="61" t="s">
        <v>100</v>
      </c>
      <c r="D12" s="162">
        <v>9.357610564126452E-2</v>
      </c>
      <c r="E12" s="162">
        <v>7.3051074410499198E-2</v>
      </c>
      <c r="F12" s="162">
        <v>7.2315563677582073E-2</v>
      </c>
      <c r="G12" s="162">
        <v>0.14332150529250368</v>
      </c>
      <c r="H12" s="236">
        <v>0.14246401819065921</v>
      </c>
      <c r="I12" s="3"/>
      <c r="J12" s="3"/>
      <c r="K12" s="3"/>
      <c r="L12" s="3"/>
      <c r="M12" s="3"/>
    </row>
    <row r="13" spans="2:13">
      <c r="B13" s="3">
        <v>4</v>
      </c>
      <c r="C13" s="61" t="s">
        <v>101</v>
      </c>
      <c r="D13" s="162">
        <v>0.14166614389412413</v>
      </c>
      <c r="E13" s="162">
        <v>0.11454785159398996</v>
      </c>
      <c r="F13" s="162">
        <v>8.2765580640231706E-2</v>
      </c>
      <c r="G13" s="162">
        <v>0.13840530904716708</v>
      </c>
      <c r="H13" s="236">
        <v>0.11469078186197343</v>
      </c>
      <c r="I13" s="3"/>
      <c r="J13" s="3"/>
      <c r="K13" s="3"/>
      <c r="L13" s="3"/>
      <c r="M13" s="3"/>
    </row>
    <row r="14" spans="2:13">
      <c r="B14" s="3">
        <v>5</v>
      </c>
      <c r="C14" s="61" t="s">
        <v>102</v>
      </c>
      <c r="D14" s="162">
        <v>2.8776200158363078E-2</v>
      </c>
      <c r="E14" s="162">
        <v>1.5403312616627855E-2</v>
      </c>
      <c r="F14" s="162">
        <v>0.14090775397358374</v>
      </c>
      <c r="G14" s="162">
        <v>8.5205591509842651E-2</v>
      </c>
      <c r="H14" s="236">
        <v>4.0738470823571099E-2</v>
      </c>
      <c r="I14" s="3"/>
      <c r="J14" s="3"/>
      <c r="K14" s="3"/>
      <c r="L14" s="3"/>
      <c r="M14" s="3"/>
    </row>
    <row r="15" spans="2:13">
      <c r="B15" s="3">
        <v>6</v>
      </c>
      <c r="C15" s="61" t="s">
        <v>103</v>
      </c>
      <c r="D15" s="162">
        <v>0.11602795098665787</v>
      </c>
      <c r="E15" s="162">
        <v>5.6066481514090667E-2</v>
      </c>
      <c r="F15" s="162">
        <v>2.7761158447747222E-2</v>
      </c>
      <c r="G15" s="162">
        <v>7.8997153990127203E-2</v>
      </c>
      <c r="H15" s="236">
        <v>8.4922745537222441E-2</v>
      </c>
      <c r="I15" s="3"/>
      <c r="J15" s="3"/>
      <c r="K15" s="3"/>
      <c r="L15" s="3"/>
      <c r="M15" s="3"/>
    </row>
    <row r="16" spans="2:13">
      <c r="B16" s="3">
        <v>7</v>
      </c>
      <c r="C16" s="61" t="s">
        <v>104</v>
      </c>
      <c r="D16" s="162">
        <v>9.3646975096832563E-2</v>
      </c>
      <c r="E16" s="162">
        <v>0.99803261451856462</v>
      </c>
      <c r="F16" s="162">
        <v>2.1423364930454398</v>
      </c>
      <c r="G16" s="162">
        <v>1.2617023943924695</v>
      </c>
      <c r="H16" s="236">
        <v>1.2775516828173705</v>
      </c>
      <c r="I16" s="3"/>
      <c r="J16" s="3"/>
      <c r="K16" s="3"/>
      <c r="L16" s="3"/>
      <c r="M16" s="3"/>
    </row>
    <row r="17" spans="2:13">
      <c r="B17" s="3">
        <v>8</v>
      </c>
      <c r="C17" s="61" t="s">
        <v>105</v>
      </c>
      <c r="D17" s="162">
        <v>7.3600665087969223E-3</v>
      </c>
      <c r="E17" s="162">
        <v>9.6907133383711437E-3</v>
      </c>
      <c r="F17" s="162">
        <v>3.7259997224064275E-3</v>
      </c>
      <c r="G17" s="162">
        <v>1.9438478324568574E-3</v>
      </c>
      <c r="H17" s="236">
        <v>1.6927220342746474E-3</v>
      </c>
      <c r="I17" s="3"/>
      <c r="J17" s="3"/>
      <c r="K17" s="3"/>
      <c r="L17" s="3"/>
      <c r="M17" s="3"/>
    </row>
    <row r="18" spans="2:13">
      <c r="B18" s="3">
        <v>9</v>
      </c>
      <c r="C18" s="61" t="s">
        <v>106</v>
      </c>
      <c r="D18" s="162">
        <v>4.8840050783490276E-2</v>
      </c>
      <c r="E18" s="162">
        <v>5.5363253859321747E-2</v>
      </c>
      <c r="F18" s="162">
        <v>5.4472636830498279E-2</v>
      </c>
      <c r="G18" s="162">
        <v>5.7823120228860485E-2</v>
      </c>
      <c r="H18" s="236">
        <v>6.6243710737888692E-2</v>
      </c>
      <c r="I18" s="3"/>
      <c r="J18" s="3"/>
      <c r="K18" s="3"/>
      <c r="L18" s="3"/>
      <c r="M18" s="3"/>
    </row>
    <row r="19" spans="2:13">
      <c r="B19" s="3">
        <v>10</v>
      </c>
      <c r="C19" s="61" t="s">
        <v>107</v>
      </c>
      <c r="D19" s="162">
        <v>2.6844990859139935E-2</v>
      </c>
      <c r="E19" s="162">
        <v>0.13019746491876183</v>
      </c>
      <c r="F19" s="162">
        <v>2.6991210413123724E-2</v>
      </c>
      <c r="G19" s="162">
        <v>1.8510186141912001E-2</v>
      </c>
      <c r="H19" s="236">
        <v>1.8092520577432516E-2</v>
      </c>
      <c r="I19" s="3"/>
      <c r="J19" s="3"/>
      <c r="K19" s="3"/>
      <c r="L19" s="3"/>
      <c r="M19" s="3"/>
    </row>
    <row r="20" spans="2:13">
      <c r="B20" s="3">
        <v>11</v>
      </c>
      <c r="C20" s="61" t="s">
        <v>108</v>
      </c>
      <c r="D20" s="162">
        <v>0</v>
      </c>
      <c r="E20" s="162">
        <v>0</v>
      </c>
      <c r="F20" s="162">
        <v>7.5363636363636366E-4</v>
      </c>
      <c r="G20" s="162">
        <v>1.3662596859827865E-3</v>
      </c>
      <c r="H20" s="236">
        <v>8.3987037738446325E-4</v>
      </c>
      <c r="I20" s="3"/>
      <c r="J20" s="3"/>
      <c r="K20" s="3"/>
      <c r="L20" s="3"/>
      <c r="M20" s="3"/>
    </row>
    <row r="21" spans="2:13">
      <c r="B21" s="3">
        <v>12</v>
      </c>
      <c r="C21" s="61" t="s">
        <v>109</v>
      </c>
      <c r="D21" s="162">
        <v>0</v>
      </c>
      <c r="E21" s="162">
        <v>0</v>
      </c>
      <c r="F21" s="162">
        <v>0</v>
      </c>
      <c r="G21" s="162">
        <v>0</v>
      </c>
      <c r="H21" s="236">
        <v>0</v>
      </c>
      <c r="I21" s="3"/>
      <c r="J21" s="3"/>
      <c r="K21" s="3"/>
      <c r="L21" s="3"/>
      <c r="M21" s="3"/>
    </row>
    <row r="22" spans="2:13">
      <c r="B22" s="3">
        <v>13</v>
      </c>
      <c r="C22" s="61" t="s">
        <v>110</v>
      </c>
      <c r="D22" s="162">
        <v>1.4664810046705001E-2</v>
      </c>
      <c r="E22" s="162">
        <v>1.9087734119334395E-2</v>
      </c>
      <c r="F22" s="162">
        <v>7.7017916442932788E-3</v>
      </c>
      <c r="G22" s="162">
        <v>2.1090365660833929E-2</v>
      </c>
      <c r="H22" s="236">
        <v>1.696896214913091E-2</v>
      </c>
      <c r="I22" s="3"/>
      <c r="J22" s="3"/>
      <c r="K22" s="3"/>
      <c r="L22" s="3"/>
      <c r="M22" s="3"/>
    </row>
    <row r="23" spans="2:13">
      <c r="B23" s="3">
        <v>14</v>
      </c>
      <c r="C23" s="61" t="s">
        <v>111</v>
      </c>
      <c r="D23" s="162">
        <v>0.6944546283277524</v>
      </c>
      <c r="E23" s="162">
        <v>5.0107867604774044E-2</v>
      </c>
      <c r="F23" s="162">
        <v>9.8110723810083927E-2</v>
      </c>
      <c r="G23" s="162">
        <v>5.2817794688310077E-2</v>
      </c>
      <c r="H23" s="236">
        <v>7.4222031261851701E-2</v>
      </c>
      <c r="I23" s="3"/>
      <c r="J23" s="3"/>
      <c r="K23" s="3"/>
      <c r="L23" s="3"/>
      <c r="M23" s="3"/>
    </row>
    <row r="24" spans="2:13">
      <c r="B24" s="3">
        <v>15</v>
      </c>
      <c r="C24" s="61" t="s">
        <v>112</v>
      </c>
      <c r="D24" s="162">
        <v>0</v>
      </c>
      <c r="E24" s="162">
        <v>0</v>
      </c>
      <c r="F24" s="162">
        <v>0</v>
      </c>
      <c r="G24" s="162">
        <v>0</v>
      </c>
      <c r="H24" s="236">
        <v>0</v>
      </c>
      <c r="I24" s="3"/>
      <c r="J24" s="3"/>
      <c r="K24" s="3"/>
      <c r="L24" s="3"/>
      <c r="M24" s="3"/>
    </row>
    <row r="25" spans="2:13">
      <c r="B25" s="3">
        <v>16</v>
      </c>
      <c r="C25" s="60" t="s">
        <v>113</v>
      </c>
      <c r="D25" s="162">
        <v>0</v>
      </c>
      <c r="E25" s="162">
        <v>0</v>
      </c>
      <c r="F25" s="162">
        <v>0</v>
      </c>
      <c r="G25" s="162">
        <v>0</v>
      </c>
      <c r="H25" s="236">
        <v>0</v>
      </c>
      <c r="I25" s="3"/>
      <c r="J25" s="3"/>
      <c r="K25" s="3"/>
      <c r="L25" s="3"/>
      <c r="M25" s="3"/>
    </row>
    <row r="26" spans="2:13">
      <c r="B26" s="3">
        <v>17</v>
      </c>
      <c r="C26" s="60" t="s">
        <v>114</v>
      </c>
      <c r="D26" s="162">
        <v>0</v>
      </c>
      <c r="E26" s="162">
        <v>0</v>
      </c>
      <c r="F26" s="162">
        <v>0</v>
      </c>
      <c r="G26" s="162">
        <v>0</v>
      </c>
      <c r="H26" s="236">
        <v>0</v>
      </c>
      <c r="I26" s="3"/>
      <c r="J26" s="3"/>
      <c r="K26" s="3"/>
      <c r="L26" s="3"/>
      <c r="M26" s="3"/>
    </row>
    <row r="27" spans="2:13">
      <c r="B27" s="3">
        <v>18</v>
      </c>
      <c r="C27" s="61" t="s">
        <v>115</v>
      </c>
      <c r="D27" s="162">
        <v>2.8638817456940413E-2</v>
      </c>
      <c r="E27" s="162">
        <v>1.5106566321730948E-2</v>
      </c>
      <c r="F27" s="162">
        <v>1.9924157966164431E-2</v>
      </c>
      <c r="G27" s="162">
        <v>2.6630248214919116E-2</v>
      </c>
      <c r="H27" s="236">
        <v>2.9160060660636582E-2</v>
      </c>
      <c r="I27" s="3"/>
      <c r="J27" s="3"/>
      <c r="K27" s="3"/>
      <c r="L27" s="3"/>
      <c r="M27" s="3"/>
    </row>
    <row r="28" spans="2:13">
      <c r="B28" s="3">
        <v>19</v>
      </c>
      <c r="C28" s="61" t="s">
        <v>116</v>
      </c>
      <c r="D28" s="162">
        <v>1.1783238500530457</v>
      </c>
      <c r="E28" s="162">
        <v>1.0539319928158994</v>
      </c>
      <c r="F28" s="162">
        <v>1.1294502570047094</v>
      </c>
      <c r="G28" s="162">
        <v>1.194225761241418</v>
      </c>
      <c r="H28" s="236">
        <v>1.188896681084961</v>
      </c>
      <c r="I28" s="3"/>
      <c r="J28" s="3"/>
      <c r="K28" s="3"/>
      <c r="L28" s="3"/>
      <c r="M28" s="3"/>
    </row>
    <row r="29" spans="2:13">
      <c r="B29" s="3">
        <v>20</v>
      </c>
      <c r="C29" s="61" t="s">
        <v>117</v>
      </c>
      <c r="D29" s="162">
        <v>0</v>
      </c>
      <c r="E29" s="162">
        <v>0</v>
      </c>
      <c r="F29" s="162">
        <v>0</v>
      </c>
      <c r="G29" s="162">
        <v>0</v>
      </c>
      <c r="H29" s="236">
        <v>0</v>
      </c>
      <c r="I29" s="3"/>
      <c r="J29" s="3"/>
      <c r="K29" s="3"/>
      <c r="L29" s="3"/>
      <c r="M29" s="3"/>
    </row>
    <row r="30" spans="2:13">
      <c r="B30" s="3">
        <v>21</v>
      </c>
      <c r="C30" s="61" t="s">
        <v>118</v>
      </c>
      <c r="D30" s="162">
        <v>0</v>
      </c>
      <c r="E30" s="162">
        <v>0</v>
      </c>
      <c r="F30" s="162">
        <v>0</v>
      </c>
      <c r="G30" s="162">
        <v>0</v>
      </c>
      <c r="H30" s="236">
        <v>0</v>
      </c>
      <c r="I30" s="3"/>
      <c r="J30" s="3"/>
      <c r="K30" s="3"/>
      <c r="L30" s="3"/>
      <c r="M30" s="3"/>
    </row>
    <row r="31" spans="2:13">
      <c r="B31" s="3">
        <v>22</v>
      </c>
      <c r="C31" s="61" t="s">
        <v>119</v>
      </c>
      <c r="D31" s="162">
        <v>7.5342471363636365E-2</v>
      </c>
      <c r="E31" s="162">
        <v>1.5478159999999998E-2</v>
      </c>
      <c r="F31" s="162">
        <v>1.6836831818181817E-2</v>
      </c>
      <c r="G31" s="162">
        <v>3.2275238181818183E-2</v>
      </c>
      <c r="H31" s="236">
        <v>1.6791718181818183E-2</v>
      </c>
      <c r="I31" s="3"/>
      <c r="J31" s="3"/>
      <c r="K31" s="3"/>
      <c r="L31" s="3"/>
      <c r="M31" s="3"/>
    </row>
    <row r="32" spans="2:13">
      <c r="B32" s="3">
        <v>23</v>
      </c>
      <c r="C32" s="61" t="s">
        <v>120</v>
      </c>
      <c r="D32" s="162">
        <v>0</v>
      </c>
      <c r="E32" s="162">
        <v>0</v>
      </c>
      <c r="F32" s="162">
        <v>0</v>
      </c>
      <c r="G32" s="162">
        <v>0</v>
      </c>
      <c r="H32" s="236">
        <v>0</v>
      </c>
      <c r="I32" s="3"/>
      <c r="J32" s="3"/>
      <c r="K32" s="3"/>
      <c r="L32" s="3"/>
      <c r="M32" s="3"/>
    </row>
    <row r="33" spans="2:13">
      <c r="B33" s="3">
        <v>24</v>
      </c>
      <c r="C33" s="61" t="s">
        <v>121</v>
      </c>
      <c r="D33" s="162">
        <v>5.5766814697022958E-2</v>
      </c>
      <c r="E33" s="162">
        <v>8.3558743678787805E-3</v>
      </c>
      <c r="F33" s="162">
        <v>4.4103048222770252E-2</v>
      </c>
      <c r="G33" s="162">
        <v>2.4742547495839599E-2</v>
      </c>
      <c r="H33" s="236">
        <v>4.3156455778180051E-2</v>
      </c>
      <c r="I33" s="3"/>
      <c r="J33" s="3"/>
      <c r="K33" s="3"/>
      <c r="L33" s="3"/>
      <c r="M33" s="3"/>
    </row>
    <row r="34" spans="2:13">
      <c r="B34" s="3">
        <v>25</v>
      </c>
      <c r="C34" s="61" t="s">
        <v>122</v>
      </c>
      <c r="D34" s="162">
        <v>0</v>
      </c>
      <c r="E34" s="162">
        <v>0</v>
      </c>
      <c r="F34" s="162">
        <v>0</v>
      </c>
      <c r="G34" s="162">
        <v>0</v>
      </c>
      <c r="H34" s="236">
        <v>0</v>
      </c>
      <c r="I34" s="3"/>
      <c r="J34" s="3"/>
      <c r="K34" s="3"/>
      <c r="L34" s="3"/>
      <c r="M34" s="3"/>
    </row>
    <row r="35" spans="2:13">
      <c r="B35" s="3">
        <v>26</v>
      </c>
      <c r="C35" s="61" t="s">
        <v>123</v>
      </c>
      <c r="D35" s="162">
        <v>0</v>
      </c>
      <c r="E35" s="162">
        <v>0</v>
      </c>
      <c r="F35" s="162">
        <v>0</v>
      </c>
      <c r="G35" s="162">
        <v>0</v>
      </c>
      <c r="H35" s="236">
        <v>0</v>
      </c>
      <c r="I35" s="3"/>
      <c r="J35" s="3"/>
      <c r="K35" s="3"/>
      <c r="L35" s="3"/>
      <c r="M35" s="3"/>
    </row>
    <row r="36" spans="2:13">
      <c r="B36" s="3">
        <v>27</v>
      </c>
      <c r="C36" s="61" t="s">
        <v>124</v>
      </c>
      <c r="D36" s="162">
        <v>4.6624643750325864E-3</v>
      </c>
      <c r="E36" s="162">
        <v>3.8395692869350158E-3</v>
      </c>
      <c r="F36" s="162">
        <v>4.5710145000581823E-3</v>
      </c>
      <c r="G36" s="162">
        <v>7.2014767206946004E-3</v>
      </c>
      <c r="H36" s="236">
        <v>0</v>
      </c>
      <c r="I36" s="3"/>
      <c r="J36" s="3"/>
      <c r="K36" s="3"/>
      <c r="L36" s="3"/>
      <c r="M36" s="3"/>
    </row>
    <row r="37" spans="2:13">
      <c r="B37" s="3">
        <v>28</v>
      </c>
      <c r="C37" s="61" t="s">
        <v>95</v>
      </c>
      <c r="D37" s="162">
        <v>0.20030812239772236</v>
      </c>
      <c r="E37" s="162">
        <v>0.12212138854613172</v>
      </c>
      <c r="F37" s="162">
        <v>7.495198029533376</v>
      </c>
      <c r="G37" s="162">
        <v>0.97553051635783916</v>
      </c>
      <c r="H37" s="236">
        <v>4.6924977062269289</v>
      </c>
      <c r="I37" s="162">
        <v>10.092621073610246</v>
      </c>
      <c r="J37" s="162">
        <v>10.587159506217148</v>
      </c>
      <c r="K37" s="162">
        <v>11.105930322021788</v>
      </c>
      <c r="L37" s="162">
        <v>11.650120907800854</v>
      </c>
      <c r="M37" s="162">
        <v>12.220976832283096</v>
      </c>
    </row>
    <row r="38" spans="2:13" ht="15">
      <c r="B38" s="3">
        <v>29</v>
      </c>
      <c r="C38" s="62" t="s">
        <v>125</v>
      </c>
      <c r="D38" s="144">
        <f>SUM(D10:D37)</f>
        <v>5.5352888497270518</v>
      </c>
      <c r="E38" s="144">
        <f t="shared" ref="E38:G38" si="0">SUM(E10:E37)</f>
        <v>5.6646273012255195</v>
      </c>
      <c r="F38" s="144">
        <f t="shared" si="0"/>
        <v>14.598551228440751</v>
      </c>
      <c r="G38" s="144">
        <f t="shared" si="0"/>
        <v>7.0974064748809491</v>
      </c>
      <c r="H38" s="144">
        <f t="shared" ref="H38" si="1">SUM(H10:H37)</f>
        <v>10.820839878402998</v>
      </c>
      <c r="I38" s="144">
        <f>SUM(I10:I37)</f>
        <v>10.092621073610246</v>
      </c>
      <c r="J38" s="144">
        <f>SUM(J10:J37)</f>
        <v>10.587159506217148</v>
      </c>
      <c r="K38" s="144">
        <f>SUM(K10:K37)</f>
        <v>11.105930322021788</v>
      </c>
      <c r="L38" s="144">
        <f>SUM(L10:L37)</f>
        <v>11.650120907800854</v>
      </c>
      <c r="M38" s="144">
        <f>SUM(M10:M37)</f>
        <v>12.220976832283096</v>
      </c>
    </row>
    <row r="39" spans="2:13">
      <c r="B39" s="3">
        <v>30</v>
      </c>
      <c r="C39" s="50" t="s">
        <v>17</v>
      </c>
      <c r="D39" s="162">
        <v>0</v>
      </c>
      <c r="E39" s="162">
        <v>0</v>
      </c>
      <c r="F39" s="162">
        <v>0</v>
      </c>
      <c r="G39" s="162">
        <v>0</v>
      </c>
      <c r="H39" s="162">
        <v>0</v>
      </c>
      <c r="I39" s="162"/>
      <c r="J39" s="162"/>
      <c r="K39" s="162"/>
      <c r="L39" s="162"/>
      <c r="M39" s="162"/>
    </row>
    <row r="40" spans="2:13" ht="15">
      <c r="B40" s="3">
        <v>31</v>
      </c>
      <c r="C40" s="25" t="s">
        <v>126</v>
      </c>
      <c r="D40" s="144">
        <f>D38-D39</f>
        <v>5.5352888497270518</v>
      </c>
      <c r="E40" s="144">
        <f t="shared" ref="E40:G40" si="2">E38-E39</f>
        <v>5.6646273012255195</v>
      </c>
      <c r="F40" s="144">
        <f t="shared" si="2"/>
        <v>14.598551228440751</v>
      </c>
      <c r="G40" s="144">
        <f t="shared" si="2"/>
        <v>7.0974064748809491</v>
      </c>
      <c r="H40" s="144">
        <f t="shared" ref="H40" si="3">H38-H39</f>
        <v>10.820839878402998</v>
      </c>
      <c r="I40" s="144">
        <f t="shared" ref="I40:J40" si="4">I38-I39</f>
        <v>10.092621073610246</v>
      </c>
      <c r="J40" s="144">
        <f t="shared" si="4"/>
        <v>10.587159506217148</v>
      </c>
      <c r="K40" s="144">
        <f>K38-K39</f>
        <v>11.105930322021788</v>
      </c>
      <c r="L40" s="144">
        <f t="shared" ref="L40" si="5">L38-L39</f>
        <v>11.650120907800854</v>
      </c>
      <c r="M40" s="144">
        <f t="shared" ref="M40" si="6">M38-M39</f>
        <v>12.220976832283096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zoomScale="80" zoomScaleNormal="80" zoomScaleSheetLayoutView="90" workbookViewId="0">
      <selection activeCell="I17" sqref="I17"/>
    </sheetView>
  </sheetViews>
  <sheetFormatPr defaultColWidth="9.28515625" defaultRowHeight="14.25"/>
  <cols>
    <col min="1" max="1" width="4.5703125" style="19" customWidth="1"/>
    <col min="2" max="2" width="8.7109375" style="63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92" t="s">
        <v>529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2:13" ht="15">
      <c r="B3" s="292" t="s">
        <v>511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</row>
    <row r="4" spans="2:13" s="4" customFormat="1" ht="15">
      <c r="B4" s="294" t="s">
        <v>533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</row>
    <row r="6" spans="2:13" ht="15">
      <c r="M6" s="32" t="s">
        <v>4</v>
      </c>
    </row>
    <row r="7" spans="2:13" ht="12.75" customHeight="1">
      <c r="B7" s="280" t="s">
        <v>210</v>
      </c>
      <c r="C7" s="278" t="s">
        <v>18</v>
      </c>
      <c r="D7" s="21" t="s">
        <v>504</v>
      </c>
      <c r="E7" s="21" t="s">
        <v>505</v>
      </c>
      <c r="F7" s="21" t="s">
        <v>506</v>
      </c>
      <c r="G7" s="21" t="s">
        <v>481</v>
      </c>
      <c r="H7" s="21" t="s">
        <v>482</v>
      </c>
      <c r="I7" s="287" t="s">
        <v>252</v>
      </c>
      <c r="J7" s="287"/>
      <c r="K7" s="287"/>
      <c r="L7" s="287"/>
      <c r="M7" s="287"/>
    </row>
    <row r="8" spans="2:13" ht="15">
      <c r="B8" s="280"/>
      <c r="C8" s="278"/>
      <c r="D8" s="21" t="s">
        <v>270</v>
      </c>
      <c r="E8" s="21" t="s">
        <v>270</v>
      </c>
      <c r="F8" s="21" t="s">
        <v>270</v>
      </c>
      <c r="G8" s="21" t="s">
        <v>270</v>
      </c>
      <c r="H8" s="21" t="s">
        <v>269</v>
      </c>
      <c r="I8" s="21" t="s">
        <v>483</v>
      </c>
      <c r="J8" s="21" t="s">
        <v>484</v>
      </c>
      <c r="K8" s="21" t="s">
        <v>485</v>
      </c>
      <c r="L8" s="21" t="s">
        <v>486</v>
      </c>
      <c r="M8" s="21" t="s">
        <v>487</v>
      </c>
    </row>
    <row r="9" spans="2:13" ht="15">
      <c r="B9" s="280"/>
      <c r="C9" s="278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61" t="s">
        <v>127</v>
      </c>
      <c r="D10" s="162">
        <v>28.030343425041448</v>
      </c>
      <c r="E10" s="162">
        <v>15.417304072340675</v>
      </c>
      <c r="F10" s="162">
        <v>23.763487064441019</v>
      </c>
      <c r="G10" s="162">
        <v>27.436614211779155</v>
      </c>
      <c r="H10" s="236">
        <v>17.604065060762469</v>
      </c>
      <c r="I10" s="3"/>
      <c r="J10" s="3"/>
      <c r="K10" s="3"/>
      <c r="L10" s="3"/>
      <c r="M10" s="3"/>
    </row>
    <row r="11" spans="2:13">
      <c r="B11" s="2">
        <v>2</v>
      </c>
      <c r="C11" s="61" t="s">
        <v>128</v>
      </c>
      <c r="D11" s="162">
        <v>0</v>
      </c>
      <c r="E11" s="162">
        <v>2.6908147371343086E-3</v>
      </c>
      <c r="F11" s="162">
        <v>0</v>
      </c>
      <c r="G11" s="162">
        <v>1.7595885446385886E-3</v>
      </c>
      <c r="H11" s="236">
        <v>0</v>
      </c>
      <c r="I11" s="3"/>
      <c r="J11" s="3"/>
      <c r="K11" s="3"/>
      <c r="L11" s="3"/>
      <c r="M11" s="3"/>
    </row>
    <row r="12" spans="2:13">
      <c r="B12" s="2">
        <v>3</v>
      </c>
      <c r="C12" s="61" t="s">
        <v>129</v>
      </c>
      <c r="D12" s="162">
        <v>2.7980237356145108</v>
      </c>
      <c r="E12" s="162">
        <v>2.1895969922017797</v>
      </c>
      <c r="F12" s="162">
        <v>2.5858577245871848</v>
      </c>
      <c r="G12" s="162">
        <v>3.2696197278739842</v>
      </c>
      <c r="H12" s="236">
        <v>3.8257651214593937</v>
      </c>
      <c r="I12" s="3"/>
      <c r="J12" s="3"/>
      <c r="K12" s="3"/>
      <c r="L12" s="3"/>
      <c r="M12" s="3"/>
    </row>
    <row r="13" spans="2:13">
      <c r="B13" s="2">
        <v>4</v>
      </c>
      <c r="C13" s="61" t="s">
        <v>130</v>
      </c>
      <c r="D13" s="162">
        <v>0</v>
      </c>
      <c r="E13" s="162">
        <v>0</v>
      </c>
      <c r="F13" s="162">
        <v>0</v>
      </c>
      <c r="G13" s="162">
        <v>0</v>
      </c>
      <c r="H13" s="236">
        <v>0</v>
      </c>
      <c r="I13" s="3"/>
      <c r="J13" s="3"/>
      <c r="K13" s="3"/>
      <c r="L13" s="3"/>
      <c r="M13" s="3"/>
    </row>
    <row r="14" spans="2:13">
      <c r="B14" s="2">
        <v>5</v>
      </c>
      <c r="C14" s="61" t="s">
        <v>131</v>
      </c>
      <c r="D14" s="162">
        <v>0.86022712549886193</v>
      </c>
      <c r="E14" s="162">
        <v>0.50375113882464362</v>
      </c>
      <c r="F14" s="162">
        <v>0.88821971232613606</v>
      </c>
      <c r="G14" s="162">
        <v>1.7244436933367588</v>
      </c>
      <c r="H14" s="236">
        <v>0.74736457896708131</v>
      </c>
      <c r="I14" s="3"/>
      <c r="J14" s="3"/>
      <c r="K14" s="3"/>
      <c r="L14" s="3"/>
      <c r="M14" s="3"/>
    </row>
    <row r="15" spans="2:13">
      <c r="B15" s="2">
        <v>6</v>
      </c>
      <c r="C15" s="61" t="s">
        <v>132</v>
      </c>
      <c r="D15" s="162">
        <v>3.1234090909090908E-3</v>
      </c>
      <c r="E15" s="162">
        <v>1.2463636363636364E-3</v>
      </c>
      <c r="F15" s="162">
        <v>7.6004545454545454E-4</v>
      </c>
      <c r="G15" s="162">
        <v>1.7904545454545452E-3</v>
      </c>
      <c r="H15" s="236">
        <v>1.8269545783823622E-2</v>
      </c>
      <c r="I15" s="3"/>
      <c r="J15" s="3"/>
      <c r="K15" s="3"/>
      <c r="L15" s="3"/>
      <c r="M15" s="3"/>
    </row>
    <row r="16" spans="2:13">
      <c r="B16" s="2">
        <v>7</v>
      </c>
      <c r="C16" s="61" t="s">
        <v>133</v>
      </c>
      <c r="D16" s="162">
        <v>1.0721092463408765E-4</v>
      </c>
      <c r="E16" s="162">
        <v>5.014419443887543E-4</v>
      </c>
      <c r="F16" s="162">
        <v>0</v>
      </c>
      <c r="G16" s="162">
        <v>0</v>
      </c>
      <c r="H16" s="236">
        <v>0</v>
      </c>
      <c r="I16" s="3"/>
      <c r="J16" s="3"/>
      <c r="K16" s="3"/>
      <c r="L16" s="3"/>
      <c r="M16" s="3"/>
    </row>
    <row r="17" spans="2:13">
      <c r="B17" s="2">
        <v>8</v>
      </c>
      <c r="C17" s="61" t="s">
        <v>134</v>
      </c>
      <c r="D17" s="162">
        <v>0.16733706845798713</v>
      </c>
      <c r="E17" s="162">
        <v>0.34568602941599502</v>
      </c>
      <c r="F17" s="162">
        <v>0.39913910901342126</v>
      </c>
      <c r="G17" s="162">
        <v>0.25568904320776897</v>
      </c>
      <c r="H17" s="236">
        <v>0.24017829918673755</v>
      </c>
      <c r="I17" s="162">
        <v>30.727466356023303</v>
      </c>
      <c r="J17" s="162">
        <v>30.863556427061646</v>
      </c>
      <c r="K17" s="162">
        <v>30.886579636599574</v>
      </c>
      <c r="L17" s="162">
        <v>31.078359355839609</v>
      </c>
      <c r="M17" s="162">
        <v>31.078359355839609</v>
      </c>
    </row>
    <row r="18" spans="2:13" ht="15">
      <c r="B18" s="2">
        <v>9</v>
      </c>
      <c r="C18" s="62" t="s">
        <v>135</v>
      </c>
      <c r="D18" s="144">
        <f>SUM(D10:D17)</f>
        <v>31.85916197462835</v>
      </c>
      <c r="E18" s="144">
        <f t="shared" ref="E18:M18" si="0">SUM(E10:E17)</f>
        <v>18.460776853100977</v>
      </c>
      <c r="F18" s="144">
        <f t="shared" si="0"/>
        <v>27.637463655822309</v>
      </c>
      <c r="G18" s="144">
        <f t="shared" si="0"/>
        <v>32.689916719287758</v>
      </c>
      <c r="H18" s="144">
        <f t="shared" si="0"/>
        <v>22.435642606159504</v>
      </c>
      <c r="I18" s="144">
        <f t="shared" si="0"/>
        <v>30.727466356023303</v>
      </c>
      <c r="J18" s="144">
        <f t="shared" si="0"/>
        <v>30.863556427061646</v>
      </c>
      <c r="K18" s="144">
        <f t="shared" si="0"/>
        <v>30.886579636599574</v>
      </c>
      <c r="L18" s="144">
        <f t="shared" si="0"/>
        <v>31.078359355839609</v>
      </c>
      <c r="M18" s="144">
        <f t="shared" si="0"/>
        <v>31.078359355839609</v>
      </c>
    </row>
    <row r="19" spans="2:13">
      <c r="B19" s="2"/>
      <c r="C19" s="60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64" t="s">
        <v>136</v>
      </c>
      <c r="D20" s="162">
        <v>2149.48</v>
      </c>
      <c r="E20" s="3">
        <v>2152.84</v>
      </c>
      <c r="F20" s="3">
        <v>2188.98</v>
      </c>
      <c r="G20" s="144">
        <f>'F4'!F21</f>
        <v>2548.8260413609996</v>
      </c>
      <c r="H20" s="144">
        <f>'F4'!F38</f>
        <v>2549.0007478959997</v>
      </c>
      <c r="I20" s="144">
        <f>'F4'!F55</f>
        <v>2549.1393588169999</v>
      </c>
      <c r="J20" s="144">
        <f>'F4'!F72</f>
        <v>2560.4293588169999</v>
      </c>
      <c r="K20" s="144">
        <f>'F4'!F89</f>
        <v>2562.3393588169997</v>
      </c>
      <c r="L20" s="144">
        <f>'F4'!F106</f>
        <v>2578.2493588169996</v>
      </c>
      <c r="M20" s="144">
        <f>'F4'!F123</f>
        <v>2578.2493588169996</v>
      </c>
    </row>
    <row r="21" spans="2:13" ht="28.5">
      <c r="B21" s="2">
        <v>11</v>
      </c>
      <c r="C21" s="64" t="s">
        <v>137</v>
      </c>
      <c r="D21" s="163">
        <f>IFERROR(D18/D20,0)</f>
        <v>1.4821799679284455E-2</v>
      </c>
      <c r="E21" s="163">
        <f t="shared" ref="E21:M21" si="1">IFERROR(E18/E20,0)</f>
        <v>8.5750807552353991E-3</v>
      </c>
      <c r="F21" s="163">
        <f t="shared" si="1"/>
        <v>1.2625726893723245E-2</v>
      </c>
      <c r="G21" s="163">
        <f t="shared" si="1"/>
        <v>1.2825479726279117E-2</v>
      </c>
      <c r="H21" s="163">
        <f t="shared" si="1"/>
        <v>8.8017402994794609E-3</v>
      </c>
      <c r="I21" s="163">
        <f t="shared" si="1"/>
        <v>1.2054055126387147E-2</v>
      </c>
      <c r="J21" s="163">
        <f t="shared" si="1"/>
        <v>1.2054055043846863E-2</v>
      </c>
      <c r="K21" s="163">
        <f t="shared" si="1"/>
        <v>1.2054055029954941E-2</v>
      </c>
      <c r="L21" s="163">
        <f t="shared" si="1"/>
        <v>1.2054054915037218E-2</v>
      </c>
      <c r="M21" s="163">
        <f t="shared" si="1"/>
        <v>1.2054054915037218E-2</v>
      </c>
    </row>
    <row r="22" spans="2:13">
      <c r="B22" s="2"/>
      <c r="C22" s="60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zoomScale="90" zoomScaleNormal="90" zoomScaleSheetLayoutView="90" workbookViewId="0">
      <selection activeCell="L12" sqref="L12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65"/>
    </row>
    <row r="2" spans="2:13" ht="15">
      <c r="B2" s="295" t="s">
        <v>529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</row>
    <row r="3" spans="2:13" ht="15">
      <c r="B3" s="295" t="s">
        <v>511</v>
      </c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</row>
    <row r="4" spans="2:13" ht="15">
      <c r="B4" s="294" t="s">
        <v>534</v>
      </c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</row>
    <row r="5" spans="2:13" ht="15">
      <c r="B5" s="43"/>
      <c r="C5" s="66"/>
      <c r="D5" s="66"/>
      <c r="E5" s="66"/>
      <c r="F5" s="66"/>
      <c r="G5" s="66"/>
      <c r="H5" s="66"/>
      <c r="I5" s="66"/>
      <c r="J5" s="66"/>
    </row>
    <row r="6" spans="2:13" ht="15">
      <c r="M6" s="32" t="s">
        <v>4</v>
      </c>
    </row>
    <row r="7" spans="2:13" s="19" customFormat="1" ht="15" customHeight="1">
      <c r="B7" s="275" t="s">
        <v>210</v>
      </c>
      <c r="C7" s="278" t="s">
        <v>18</v>
      </c>
      <c r="D7" s="282" t="s">
        <v>481</v>
      </c>
      <c r="E7" s="283"/>
      <c r="F7" s="284"/>
      <c r="G7" s="282" t="s">
        <v>482</v>
      </c>
      <c r="H7" s="283"/>
      <c r="I7" s="287" t="s">
        <v>252</v>
      </c>
      <c r="J7" s="287"/>
      <c r="K7" s="287"/>
      <c r="L7" s="287"/>
      <c r="M7" s="287"/>
    </row>
    <row r="8" spans="2:13" s="19" customFormat="1" ht="45">
      <c r="B8" s="276"/>
      <c r="C8" s="278"/>
      <c r="D8" s="21" t="s">
        <v>397</v>
      </c>
      <c r="E8" s="21" t="s">
        <v>270</v>
      </c>
      <c r="F8" s="21" t="s">
        <v>226</v>
      </c>
      <c r="G8" s="21" t="s">
        <v>397</v>
      </c>
      <c r="H8" s="21" t="s">
        <v>269</v>
      </c>
      <c r="I8" s="21" t="s">
        <v>483</v>
      </c>
      <c r="J8" s="21" t="s">
        <v>484</v>
      </c>
      <c r="K8" s="21" t="s">
        <v>485</v>
      </c>
      <c r="L8" s="21" t="s">
        <v>486</v>
      </c>
      <c r="M8" s="21" t="s">
        <v>487</v>
      </c>
    </row>
    <row r="9" spans="2:13" s="19" customFormat="1" ht="15">
      <c r="B9" s="277"/>
      <c r="C9" s="279"/>
      <c r="D9" s="21" t="s">
        <v>10</v>
      </c>
      <c r="E9" s="21" t="s">
        <v>12</v>
      </c>
      <c r="F9" s="21" t="s">
        <v>259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9">
        <v>1</v>
      </c>
      <c r="C10" s="33" t="s">
        <v>274</v>
      </c>
      <c r="D10" s="160"/>
      <c r="E10" s="159"/>
      <c r="F10" s="159"/>
      <c r="G10" s="141"/>
      <c r="H10" s="141"/>
      <c r="I10" s="141"/>
      <c r="J10" s="141"/>
      <c r="K10" s="141"/>
      <c r="L10" s="141"/>
      <c r="M10" s="141"/>
    </row>
    <row r="11" spans="2:13" s="5" customFormat="1">
      <c r="B11" s="26">
        <v>2</v>
      </c>
      <c r="C11" s="33" t="s">
        <v>308</v>
      </c>
      <c r="D11" s="2"/>
      <c r="E11" s="137">
        <f>F3.1!G12</f>
        <v>0.17244733499999998</v>
      </c>
      <c r="F11" s="137">
        <f>E11</f>
        <v>0.17244733499999998</v>
      </c>
      <c r="G11" s="27"/>
      <c r="H11" s="141">
        <f>F3.1!G19</f>
        <v>0.14000000000000001</v>
      </c>
      <c r="I11" s="141">
        <f>F3.1!G25</f>
        <v>11.29</v>
      </c>
      <c r="J11" s="141">
        <f>F3.1!G31</f>
        <v>1.91</v>
      </c>
      <c r="K11" s="141">
        <f>F3.1!G37</f>
        <v>15.91</v>
      </c>
      <c r="L11" s="141" t="s">
        <v>8</v>
      </c>
      <c r="M11" s="141">
        <f>F3.1!G49</f>
        <v>11.574529999999999</v>
      </c>
    </row>
    <row r="12" spans="2:13" s="5" customFormat="1" ht="15">
      <c r="B12" s="26">
        <v>3</v>
      </c>
      <c r="C12" s="35" t="s">
        <v>243</v>
      </c>
      <c r="D12" s="160"/>
      <c r="E12" s="167">
        <f>F3.1!H12</f>
        <v>0.17244733499999998</v>
      </c>
      <c r="F12" s="167">
        <f>E12</f>
        <v>0.17244733499999998</v>
      </c>
      <c r="G12" s="160"/>
      <c r="H12" s="140">
        <f>F3.1!H19</f>
        <v>0.14000000000000001</v>
      </c>
      <c r="I12" s="140">
        <f>F3.1!H25</f>
        <v>11.29</v>
      </c>
      <c r="J12" s="140">
        <f>F3.1!H31</f>
        <v>1.91</v>
      </c>
      <c r="K12" s="140">
        <f>F3.1!H37</f>
        <v>15.91</v>
      </c>
      <c r="L12" s="140">
        <f>F3.1!H43</f>
        <v>0</v>
      </c>
      <c r="M12" s="140">
        <f>F3.1!H49</f>
        <v>11.574529999999999</v>
      </c>
    </row>
    <row r="13" spans="2:13" s="5" customFormat="1" ht="15">
      <c r="B13" s="26">
        <v>4</v>
      </c>
      <c r="C13" s="33" t="s">
        <v>275</v>
      </c>
      <c r="D13" s="161">
        <f>D10+D11-D12</f>
        <v>0</v>
      </c>
      <c r="E13" s="161">
        <f>E10+E11-E12</f>
        <v>0</v>
      </c>
      <c r="F13" s="161">
        <f t="shared" ref="F13:M13" si="0">F10+F11-F12</f>
        <v>0</v>
      </c>
      <c r="G13" s="161">
        <f t="shared" si="0"/>
        <v>0</v>
      </c>
      <c r="H13" s="161">
        <f t="shared" si="0"/>
        <v>0</v>
      </c>
      <c r="I13" s="161">
        <f t="shared" si="0"/>
        <v>0</v>
      </c>
      <c r="J13" s="161">
        <f t="shared" si="0"/>
        <v>0</v>
      </c>
      <c r="K13" s="161">
        <f t="shared" si="0"/>
        <v>0</v>
      </c>
      <c r="L13" s="161" t="e">
        <f t="shared" si="0"/>
        <v>#VALUE!</v>
      </c>
      <c r="M13" s="161">
        <f t="shared" si="0"/>
        <v>0</v>
      </c>
    </row>
    <row r="14" spans="2:13" s="39" customFormat="1" ht="15">
      <c r="B14" s="70"/>
      <c r="C14" s="57"/>
      <c r="D14" s="67"/>
      <c r="E14" s="67"/>
      <c r="F14" s="67"/>
      <c r="G14" s="68"/>
      <c r="H14" s="30"/>
      <c r="I14" s="30"/>
      <c r="J14" s="30"/>
      <c r="K14" s="30"/>
    </row>
    <row r="16" spans="2:13">
      <c r="B16" s="71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51"/>
  <sheetViews>
    <sheetView showGridLines="0" view="pageBreakPreview" zoomScale="90" zoomScaleNormal="80" zoomScaleSheetLayoutView="90" workbookViewId="0">
      <selection activeCell="H11" sqref="H11"/>
    </sheetView>
  </sheetViews>
  <sheetFormatPr defaultColWidth="9.28515625" defaultRowHeight="1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39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7">
      <c r="B1" s="30"/>
    </row>
    <row r="2" spans="2:17">
      <c r="H2" s="40" t="s">
        <v>529</v>
      </c>
      <c r="I2" s="40"/>
    </row>
    <row r="3" spans="2:17">
      <c r="H3" s="40" t="s">
        <v>511</v>
      </c>
      <c r="I3" s="40"/>
    </row>
    <row r="4" spans="2:17">
      <c r="H4" s="42" t="s">
        <v>306</v>
      </c>
      <c r="I4" s="42"/>
    </row>
    <row r="5" spans="2:17">
      <c r="K5" s="42"/>
    </row>
    <row r="6" spans="2:17" ht="60">
      <c r="B6" s="21" t="s">
        <v>210</v>
      </c>
      <c r="C6" s="29" t="s">
        <v>276</v>
      </c>
      <c r="D6" s="37" t="s">
        <v>278</v>
      </c>
      <c r="E6" s="29" t="s">
        <v>277</v>
      </c>
      <c r="F6" s="37" t="s">
        <v>285</v>
      </c>
      <c r="G6" s="37" t="s">
        <v>288</v>
      </c>
      <c r="H6" s="37" t="s">
        <v>289</v>
      </c>
      <c r="I6" s="37" t="s">
        <v>302</v>
      </c>
      <c r="J6" s="29" t="s">
        <v>279</v>
      </c>
      <c r="K6" s="37" t="s">
        <v>290</v>
      </c>
      <c r="L6" s="37" t="s">
        <v>198</v>
      </c>
      <c r="M6" s="31"/>
      <c r="N6" s="31"/>
      <c r="O6" s="31"/>
      <c r="P6" s="31"/>
    </row>
    <row r="7" spans="2:17" s="39" customFormat="1">
      <c r="B7" s="26"/>
      <c r="C7" s="37" t="s">
        <v>257</v>
      </c>
      <c r="D7" s="46" t="s">
        <v>489</v>
      </c>
      <c r="E7" s="36"/>
      <c r="F7" s="36"/>
      <c r="G7" s="36"/>
      <c r="H7" s="36"/>
      <c r="I7" s="36"/>
      <c r="J7" s="36"/>
      <c r="K7" s="37"/>
      <c r="L7" s="38"/>
      <c r="M7" s="30"/>
      <c r="N7" s="30"/>
      <c r="O7" s="30"/>
      <c r="P7" s="30"/>
      <c r="Q7" s="30"/>
    </row>
    <row r="8" spans="2:17">
      <c r="B8" s="26">
        <v>1</v>
      </c>
      <c r="C8" s="259" t="s">
        <v>518</v>
      </c>
      <c r="D8" s="36"/>
      <c r="E8" s="67"/>
      <c r="F8" s="36"/>
      <c r="G8" s="172">
        <v>2.6044971E-2</v>
      </c>
      <c r="H8" s="195">
        <v>2.6044971E-2</v>
      </c>
      <c r="I8" s="259" t="s">
        <v>518</v>
      </c>
      <c r="J8" s="33"/>
      <c r="K8" s="33"/>
      <c r="L8" s="33"/>
    </row>
    <row r="9" spans="2:17">
      <c r="B9" s="26">
        <v>2</v>
      </c>
      <c r="C9" s="259" t="s">
        <v>519</v>
      </c>
      <c r="D9" s="33"/>
      <c r="E9" s="260"/>
      <c r="F9" s="33"/>
      <c r="G9" s="196">
        <v>0.14640236399999998</v>
      </c>
      <c r="H9" s="195">
        <v>0.14640236399999998</v>
      </c>
      <c r="I9" s="260" t="s">
        <v>519</v>
      </c>
      <c r="J9" s="33"/>
      <c r="K9" s="33"/>
      <c r="L9" s="33"/>
    </row>
    <row r="10" spans="2:17">
      <c r="B10" s="26"/>
      <c r="C10" s="26"/>
      <c r="D10" s="46"/>
      <c r="E10" s="33"/>
      <c r="F10" s="33"/>
      <c r="G10" s="33"/>
      <c r="H10" s="33"/>
      <c r="I10" s="33"/>
      <c r="J10" s="33"/>
      <c r="K10" s="33"/>
      <c r="L10" s="33"/>
    </row>
    <row r="11" spans="2:17">
      <c r="B11" s="33"/>
      <c r="C11" s="33" t="s">
        <v>9</v>
      </c>
      <c r="D11" s="46"/>
      <c r="E11" s="33"/>
      <c r="F11" s="159">
        <v>0</v>
      </c>
      <c r="G11" s="159">
        <v>0.17244733499999998</v>
      </c>
      <c r="H11" s="159">
        <v>0.17244733499999998</v>
      </c>
      <c r="I11" s="33"/>
      <c r="J11" s="33"/>
      <c r="K11" s="33"/>
      <c r="L11" s="33"/>
    </row>
    <row r="12" spans="2:17">
      <c r="B12" s="33"/>
      <c r="C12" s="29" t="s">
        <v>139</v>
      </c>
      <c r="D12" s="170"/>
      <c r="E12" s="159"/>
      <c r="F12" s="145">
        <f>F11</f>
        <v>0</v>
      </c>
      <c r="G12" s="145">
        <f>G11</f>
        <v>0.17244733499999998</v>
      </c>
      <c r="H12" s="145">
        <f>H11</f>
        <v>0.17244733499999998</v>
      </c>
      <c r="I12" s="33"/>
      <c r="J12" s="33"/>
      <c r="K12" s="33"/>
      <c r="L12" s="33"/>
    </row>
    <row r="13" spans="2:17">
      <c r="B13" s="26"/>
      <c r="C13" s="37" t="s">
        <v>256</v>
      </c>
      <c r="D13" s="170" t="s">
        <v>490</v>
      </c>
      <c r="E13" s="159"/>
      <c r="F13" s="159"/>
      <c r="J13" s="33"/>
      <c r="K13" s="33"/>
      <c r="L13" s="33"/>
    </row>
    <row r="14" spans="2:17" ht="25.5">
      <c r="B14" s="33"/>
      <c r="C14" s="191" t="s">
        <v>518</v>
      </c>
      <c r="D14" s="33"/>
      <c r="E14" s="33"/>
      <c r="F14" s="33"/>
      <c r="G14" s="262">
        <v>5.2928160000000005E-3</v>
      </c>
      <c r="H14" s="262">
        <v>5.2928160000000005E-3</v>
      </c>
      <c r="I14" s="191" t="s">
        <v>518</v>
      </c>
      <c r="J14" s="33"/>
      <c r="K14" s="33"/>
      <c r="L14" s="33"/>
    </row>
    <row r="15" spans="2:17" ht="25.5">
      <c r="B15" s="33"/>
      <c r="C15" s="191" t="s">
        <v>520</v>
      </c>
      <c r="D15" s="33"/>
      <c r="E15" s="33"/>
      <c r="F15" s="33"/>
      <c r="G15" s="262">
        <v>5.6299990000000001E-3</v>
      </c>
      <c r="H15" s="262">
        <v>5.6299990000000001E-3</v>
      </c>
      <c r="I15" s="191" t="s">
        <v>520</v>
      </c>
      <c r="J15" s="33"/>
      <c r="K15" s="33"/>
      <c r="L15" s="33"/>
    </row>
    <row r="16" spans="2:17">
      <c r="B16" s="33"/>
      <c r="C16" s="106" t="s">
        <v>3</v>
      </c>
      <c r="D16" s="33"/>
      <c r="E16" s="33"/>
      <c r="F16" s="33"/>
      <c r="G16" s="263">
        <f>+G14+G15</f>
        <v>1.0922815000000001E-2</v>
      </c>
      <c r="H16" s="263">
        <f>+H14+H15</f>
        <v>1.0922815000000001E-2</v>
      </c>
      <c r="I16" s="33"/>
      <c r="J16" s="33"/>
      <c r="K16" s="33"/>
      <c r="L16" s="33"/>
    </row>
    <row r="17" spans="2:12">
      <c r="B17" s="33"/>
      <c r="C17" s="33" t="s">
        <v>5</v>
      </c>
      <c r="D17" s="170"/>
      <c r="E17" s="159"/>
      <c r="F17" s="159"/>
      <c r="G17" s="159"/>
      <c r="H17" s="159"/>
      <c r="I17" s="33"/>
      <c r="J17" s="33"/>
      <c r="K17" s="33"/>
      <c r="L17" s="33"/>
    </row>
    <row r="18" spans="2:12">
      <c r="B18" s="33"/>
      <c r="C18" s="33"/>
      <c r="D18" s="170"/>
      <c r="E18" s="159"/>
      <c r="F18" s="159"/>
      <c r="G18" s="159">
        <v>0.14000000000000001</v>
      </c>
      <c r="H18" s="159">
        <v>0.14000000000000001</v>
      </c>
      <c r="I18" s="33"/>
      <c r="J18" s="33"/>
      <c r="K18" s="33"/>
      <c r="L18" s="33"/>
    </row>
    <row r="19" spans="2:12">
      <c r="B19" s="33"/>
      <c r="C19" s="29" t="s">
        <v>139</v>
      </c>
      <c r="D19" s="170"/>
      <c r="E19" s="159"/>
      <c r="F19" s="145">
        <f>F18</f>
        <v>0</v>
      </c>
      <c r="G19" s="145">
        <f>G18</f>
        <v>0.14000000000000001</v>
      </c>
      <c r="H19" s="145">
        <f>H18</f>
        <v>0.14000000000000001</v>
      </c>
      <c r="I19" s="33"/>
      <c r="J19" s="33"/>
      <c r="K19" s="33"/>
      <c r="L19" s="33"/>
    </row>
    <row r="20" spans="2:12">
      <c r="B20" s="26"/>
      <c r="C20" s="37" t="s">
        <v>280</v>
      </c>
      <c r="D20" s="170" t="s">
        <v>491</v>
      </c>
      <c r="E20" s="159"/>
      <c r="F20" s="159"/>
      <c r="G20" s="159"/>
      <c r="H20" s="159"/>
      <c r="I20" s="33"/>
      <c r="J20" s="33"/>
      <c r="K20" s="33"/>
      <c r="L20" s="33"/>
    </row>
    <row r="21" spans="2:12">
      <c r="B21" s="26">
        <v>1</v>
      </c>
      <c r="C21" s="26"/>
      <c r="D21" s="170"/>
      <c r="E21" s="159"/>
      <c r="F21" s="159"/>
      <c r="G21" s="159"/>
      <c r="H21" s="159"/>
      <c r="I21" s="33"/>
      <c r="J21" s="33"/>
      <c r="K21" s="33"/>
      <c r="L21" s="33"/>
    </row>
    <row r="22" spans="2:12">
      <c r="B22" s="26">
        <v>2</v>
      </c>
      <c r="C22" s="26"/>
      <c r="D22" s="170"/>
      <c r="E22" s="159"/>
      <c r="F22" s="159"/>
      <c r="I22" s="33"/>
      <c r="J22" s="33"/>
      <c r="K22" s="33"/>
      <c r="L22" s="33"/>
    </row>
    <row r="23" spans="2:12">
      <c r="B23" s="26">
        <v>3</v>
      </c>
      <c r="C23" s="26"/>
      <c r="D23" s="170"/>
      <c r="E23" s="170" t="s">
        <v>535</v>
      </c>
      <c r="F23" s="159"/>
      <c r="G23" s="159">
        <v>2.34</v>
      </c>
      <c r="H23" s="159">
        <v>2.34</v>
      </c>
      <c r="I23" s="33"/>
      <c r="J23" s="33"/>
      <c r="K23" s="33"/>
      <c r="L23" s="33"/>
    </row>
    <row r="24" spans="2:12" ht="30">
      <c r="B24" s="33"/>
      <c r="C24" s="33" t="s">
        <v>9</v>
      </c>
      <c r="D24" s="170"/>
      <c r="E24" s="261" t="s">
        <v>536</v>
      </c>
      <c r="F24" s="159"/>
      <c r="G24" s="159">
        <v>8.9499999999999993</v>
      </c>
      <c r="H24" s="159">
        <v>8.9499999999999993</v>
      </c>
      <c r="I24" s="33"/>
      <c r="J24" s="33"/>
      <c r="K24" s="33"/>
      <c r="L24" s="33"/>
    </row>
    <row r="25" spans="2:12">
      <c r="B25" s="33"/>
      <c r="C25" s="33"/>
      <c r="D25" s="170"/>
      <c r="E25" s="159"/>
      <c r="F25" s="159"/>
      <c r="G25" s="159">
        <f>SUM(G23:G24)</f>
        <v>11.29</v>
      </c>
      <c r="H25" s="159">
        <f>SUM(H23:H24)</f>
        <v>11.29</v>
      </c>
      <c r="I25" s="33"/>
      <c r="J25" s="33"/>
      <c r="K25" s="33"/>
      <c r="L25" s="33"/>
    </row>
    <row r="26" spans="2:12">
      <c r="B26" s="33"/>
      <c r="C26" s="29" t="s">
        <v>139</v>
      </c>
      <c r="D26" s="170"/>
      <c r="E26" s="159"/>
      <c r="F26" s="145">
        <f>F24</f>
        <v>0</v>
      </c>
      <c r="G26" s="145">
        <f>G25</f>
        <v>11.29</v>
      </c>
      <c r="H26" s="145">
        <f>H25</f>
        <v>11.29</v>
      </c>
      <c r="I26" s="33"/>
      <c r="J26" s="33"/>
      <c r="K26" s="33"/>
      <c r="L26" s="33"/>
    </row>
    <row r="27" spans="2:12">
      <c r="B27" s="26"/>
      <c r="C27" s="37" t="s">
        <v>281</v>
      </c>
      <c r="D27" s="170" t="s">
        <v>492</v>
      </c>
      <c r="E27" s="159"/>
      <c r="F27" s="159"/>
      <c r="G27" s="159"/>
      <c r="H27" s="159"/>
      <c r="I27" s="33"/>
      <c r="J27" s="33"/>
      <c r="K27" s="33"/>
      <c r="L27" s="33"/>
    </row>
    <row r="28" spans="2:12">
      <c r="B28" s="26">
        <v>1</v>
      </c>
      <c r="C28" s="26"/>
      <c r="D28" s="170"/>
      <c r="E28" s="159"/>
      <c r="F28" s="159"/>
      <c r="G28" s="159"/>
      <c r="H28" s="159"/>
      <c r="I28" s="33"/>
      <c r="J28" s="33"/>
      <c r="K28" s="33"/>
      <c r="L28" s="33"/>
    </row>
    <row r="29" spans="2:12">
      <c r="B29" s="26">
        <v>2</v>
      </c>
      <c r="C29" s="26"/>
      <c r="D29" s="170"/>
      <c r="E29" s="159"/>
      <c r="F29" s="159"/>
      <c r="G29" s="159"/>
      <c r="H29" s="159"/>
      <c r="I29" s="33"/>
      <c r="J29" s="33"/>
      <c r="K29" s="33"/>
      <c r="L29" s="33"/>
    </row>
    <row r="30" spans="2:12">
      <c r="B30" s="26">
        <v>3</v>
      </c>
      <c r="C30" s="26"/>
      <c r="D30" s="170"/>
      <c r="E30" s="159"/>
      <c r="F30" s="159"/>
      <c r="G30" s="159"/>
      <c r="H30" s="159"/>
      <c r="I30" s="33"/>
      <c r="J30" s="33"/>
      <c r="K30" s="33"/>
      <c r="L30" s="33"/>
    </row>
    <row r="31" spans="2:12" ht="30">
      <c r="B31" s="33"/>
      <c r="C31" s="33" t="s">
        <v>9</v>
      </c>
      <c r="D31" s="170"/>
      <c r="E31" s="261" t="s">
        <v>536</v>
      </c>
      <c r="F31" s="159"/>
      <c r="G31" s="159">
        <v>1.91</v>
      </c>
      <c r="H31" s="159">
        <v>1.91</v>
      </c>
      <c r="I31" s="33"/>
      <c r="J31" s="33"/>
      <c r="K31" s="33"/>
      <c r="L31" s="33"/>
    </row>
    <row r="32" spans="2:12">
      <c r="B32" s="33"/>
      <c r="C32" s="29" t="s">
        <v>139</v>
      </c>
      <c r="D32" s="170"/>
      <c r="E32" s="159"/>
      <c r="F32" s="145">
        <f>F31</f>
        <v>0</v>
      </c>
      <c r="G32" s="145">
        <f>G31</f>
        <v>1.91</v>
      </c>
      <c r="H32" s="145">
        <f>H31</f>
        <v>1.91</v>
      </c>
      <c r="I32" s="33"/>
      <c r="J32" s="33"/>
      <c r="K32" s="33"/>
      <c r="L32" s="33"/>
    </row>
    <row r="33" spans="2:12">
      <c r="B33" s="26"/>
      <c r="C33" s="37" t="s">
        <v>282</v>
      </c>
      <c r="D33" s="170" t="s">
        <v>493</v>
      </c>
      <c r="E33" s="159"/>
      <c r="F33" s="159"/>
      <c r="G33" s="159"/>
      <c r="H33" s="159"/>
      <c r="I33" s="33"/>
      <c r="J33" s="33"/>
      <c r="K33" s="33"/>
      <c r="L33" s="33"/>
    </row>
    <row r="34" spans="2:12">
      <c r="B34" s="26">
        <v>1</v>
      </c>
      <c r="C34" s="26"/>
      <c r="D34" s="170"/>
      <c r="E34" s="159"/>
      <c r="F34" s="159"/>
      <c r="G34" s="159"/>
      <c r="H34" s="159"/>
      <c r="I34" s="33"/>
      <c r="J34" s="33"/>
      <c r="K34" s="33"/>
      <c r="L34" s="33"/>
    </row>
    <row r="35" spans="2:12">
      <c r="B35" s="26">
        <v>2</v>
      </c>
      <c r="C35" s="26"/>
      <c r="D35" s="170"/>
      <c r="E35" s="159"/>
      <c r="F35" s="159"/>
      <c r="G35" s="159"/>
      <c r="H35" s="159"/>
      <c r="I35" s="33"/>
      <c r="J35" s="33"/>
      <c r="K35" s="33"/>
      <c r="L35" s="33"/>
    </row>
    <row r="36" spans="2:12">
      <c r="B36" s="26">
        <v>3</v>
      </c>
      <c r="C36" s="26"/>
      <c r="D36" s="170"/>
      <c r="E36" s="159"/>
      <c r="F36" s="159"/>
      <c r="G36" s="159"/>
      <c r="H36" s="159"/>
      <c r="I36" s="33"/>
      <c r="J36" s="33"/>
      <c r="K36" s="33"/>
      <c r="L36" s="33"/>
    </row>
    <row r="37" spans="2:12" ht="60">
      <c r="B37" s="33"/>
      <c r="C37" s="33" t="s">
        <v>9</v>
      </c>
      <c r="D37" s="170"/>
      <c r="E37" s="261" t="s">
        <v>537</v>
      </c>
      <c r="F37" s="159"/>
      <c r="G37" s="159">
        <v>15.91</v>
      </c>
      <c r="H37" s="159">
        <v>15.91</v>
      </c>
      <c r="I37" s="33"/>
      <c r="J37" s="33"/>
      <c r="K37" s="33"/>
      <c r="L37" s="33"/>
    </row>
    <row r="38" spans="2:12">
      <c r="B38" s="33"/>
      <c r="C38" s="29" t="s">
        <v>139</v>
      </c>
      <c r="D38" s="170"/>
      <c r="E38" s="159"/>
      <c r="F38" s="145">
        <f>F37</f>
        <v>0</v>
      </c>
      <c r="G38" s="145">
        <f>G37</f>
        <v>15.91</v>
      </c>
      <c r="H38" s="145">
        <f>H37</f>
        <v>15.91</v>
      </c>
      <c r="I38" s="33"/>
      <c r="J38" s="33"/>
      <c r="K38" s="33"/>
      <c r="L38" s="33"/>
    </row>
    <row r="39" spans="2:12">
      <c r="B39" s="26"/>
      <c r="C39" s="37" t="s">
        <v>283</v>
      </c>
      <c r="D39" s="170" t="s">
        <v>494</v>
      </c>
      <c r="E39" s="159"/>
      <c r="F39" s="159"/>
      <c r="G39" s="159"/>
      <c r="H39" s="159"/>
      <c r="I39" s="33"/>
      <c r="J39" s="33"/>
      <c r="K39" s="33"/>
      <c r="L39" s="33"/>
    </row>
    <row r="40" spans="2:12">
      <c r="B40" s="26">
        <v>1</v>
      </c>
      <c r="C40" s="26"/>
      <c r="D40" s="170"/>
      <c r="E40" s="159"/>
      <c r="F40" s="159"/>
      <c r="G40" s="159"/>
      <c r="H40" s="159"/>
      <c r="I40" s="33"/>
      <c r="J40" s="33"/>
      <c r="K40" s="33"/>
      <c r="L40" s="33"/>
    </row>
    <row r="41" spans="2:12">
      <c r="B41" s="26">
        <v>2</v>
      </c>
      <c r="C41" s="26"/>
      <c r="D41" s="170"/>
      <c r="E41" s="159"/>
      <c r="F41" s="159"/>
      <c r="G41" s="159"/>
      <c r="H41" s="159"/>
      <c r="I41" s="33"/>
      <c r="J41" s="33"/>
      <c r="K41" s="33"/>
      <c r="L41" s="33"/>
    </row>
    <row r="42" spans="2:12">
      <c r="B42" s="26">
        <v>3</v>
      </c>
      <c r="C42" s="26"/>
      <c r="D42" s="170"/>
      <c r="E42" s="159"/>
      <c r="F42" s="159"/>
      <c r="G42" s="159"/>
      <c r="H42" s="159"/>
      <c r="I42" s="33"/>
      <c r="J42" s="33"/>
      <c r="K42" s="33"/>
      <c r="L42" s="33"/>
    </row>
    <row r="43" spans="2:12">
      <c r="B43" s="33"/>
      <c r="C43" s="33" t="s">
        <v>9</v>
      </c>
      <c r="D43" s="170"/>
      <c r="E43" s="159"/>
      <c r="F43" s="159"/>
      <c r="G43" s="159"/>
      <c r="H43" s="159"/>
      <c r="I43" s="33"/>
      <c r="J43" s="33"/>
      <c r="K43" s="33"/>
      <c r="L43" s="33"/>
    </row>
    <row r="44" spans="2:12">
      <c r="B44" s="33"/>
      <c r="C44" s="29" t="s">
        <v>139</v>
      </c>
      <c r="D44" s="170"/>
      <c r="E44" s="159"/>
      <c r="F44" s="145">
        <f>F43</f>
        <v>0</v>
      </c>
      <c r="G44" s="145">
        <f>G43</f>
        <v>0</v>
      </c>
      <c r="H44" s="145">
        <f>H43</f>
        <v>0</v>
      </c>
      <c r="I44" s="33"/>
      <c r="J44" s="33"/>
      <c r="K44" s="33"/>
      <c r="L44" s="33"/>
    </row>
    <row r="45" spans="2:12">
      <c r="B45" s="26"/>
      <c r="C45" s="37" t="s">
        <v>284</v>
      </c>
      <c r="D45" s="170" t="s">
        <v>495</v>
      </c>
      <c r="E45" s="159"/>
      <c r="F45" s="159"/>
      <c r="G45" s="159"/>
      <c r="H45" s="159"/>
      <c r="I45" s="33"/>
      <c r="J45" s="33"/>
      <c r="K45" s="33"/>
      <c r="L45" s="33"/>
    </row>
    <row r="46" spans="2:12">
      <c r="B46" s="26">
        <v>1</v>
      </c>
      <c r="C46" s="26"/>
      <c r="D46" s="170"/>
      <c r="E46" s="159"/>
      <c r="F46" s="159"/>
      <c r="G46" s="159"/>
      <c r="H46" s="159"/>
      <c r="I46" s="33"/>
      <c r="J46" s="33"/>
      <c r="K46" s="33"/>
      <c r="L46" s="33"/>
    </row>
    <row r="47" spans="2:12">
      <c r="B47" s="26">
        <v>2</v>
      </c>
      <c r="C47" s="26"/>
      <c r="D47" s="170"/>
      <c r="E47" s="159"/>
      <c r="F47" s="159"/>
      <c r="G47" s="159"/>
      <c r="H47" s="159"/>
      <c r="I47" s="33"/>
      <c r="J47" s="33"/>
      <c r="K47" s="33"/>
      <c r="L47" s="33"/>
    </row>
    <row r="48" spans="2:12">
      <c r="B48" s="26">
        <v>3</v>
      </c>
      <c r="C48" s="26"/>
      <c r="D48" s="170"/>
      <c r="E48" s="159"/>
      <c r="F48" s="159"/>
      <c r="G48" s="159"/>
      <c r="H48" s="159"/>
      <c r="I48" s="33"/>
      <c r="J48" s="33"/>
      <c r="K48" s="33"/>
      <c r="L48" s="33"/>
    </row>
    <row r="49" spans="2:12">
      <c r="B49" s="33"/>
      <c r="C49" s="33" t="s">
        <v>9</v>
      </c>
      <c r="D49" s="170" t="s">
        <v>532</v>
      </c>
      <c r="E49" s="159"/>
      <c r="F49" s="159"/>
      <c r="G49" s="159">
        <v>11.574529999999999</v>
      </c>
      <c r="H49" s="159">
        <v>11.574529999999999</v>
      </c>
      <c r="I49" s="33"/>
      <c r="J49" s="33"/>
      <c r="K49" s="33"/>
      <c r="L49" s="33"/>
    </row>
    <row r="50" spans="2:12">
      <c r="B50" s="33"/>
      <c r="C50" s="29" t="s">
        <v>139</v>
      </c>
      <c r="D50" s="145">
        <f>SUM(D46:D49)</f>
        <v>0</v>
      </c>
      <c r="E50" s="159"/>
      <c r="F50" s="145">
        <f>F49</f>
        <v>0</v>
      </c>
      <c r="G50" s="145">
        <f>G49</f>
        <v>11.574529999999999</v>
      </c>
      <c r="H50" s="145">
        <f>H49</f>
        <v>11.574529999999999</v>
      </c>
      <c r="I50" s="33"/>
      <c r="J50" s="33"/>
      <c r="K50" s="33"/>
      <c r="L50" s="33"/>
    </row>
    <row r="51" spans="2:12">
      <c r="B51" s="70" t="s">
        <v>286</v>
      </c>
      <c r="C51" s="58" t="s">
        <v>287</v>
      </c>
    </row>
  </sheetData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2:J21"/>
  <sheetViews>
    <sheetView showGridLines="0" tabSelected="1" view="pageBreakPreview" zoomScale="60" zoomScaleNormal="80" workbookViewId="0">
      <selection activeCell="H26" sqref="H26"/>
    </sheetView>
  </sheetViews>
  <sheetFormatPr defaultColWidth="9.28515625" defaultRowHeight="14.25"/>
  <cols>
    <col min="1" max="1" width="9.28515625" style="116"/>
    <col min="2" max="2" width="5.85546875" style="116" customWidth="1"/>
    <col min="3" max="3" width="22" style="116" customWidth="1"/>
    <col min="4" max="4" width="13.140625" style="116" customWidth="1"/>
    <col min="5" max="5" width="12.5703125" style="116" customWidth="1"/>
    <col min="6" max="6" width="14.28515625" style="116" customWidth="1"/>
    <col min="7" max="10" width="15.7109375" style="116" customWidth="1"/>
    <col min="11" max="16384" width="9.28515625" style="116"/>
  </cols>
  <sheetData>
    <row r="2" spans="2:10" ht="14.25" customHeight="1">
      <c r="B2" s="292" t="s">
        <v>529</v>
      </c>
      <c r="C2" s="292"/>
      <c r="D2" s="292"/>
      <c r="E2" s="292"/>
      <c r="F2" s="292"/>
      <c r="G2" s="292"/>
      <c r="H2" s="292"/>
      <c r="I2" s="292"/>
      <c r="J2" s="292"/>
    </row>
    <row r="3" spans="2:10" ht="14.25" customHeight="1">
      <c r="B3" s="292" t="s">
        <v>511</v>
      </c>
      <c r="C3" s="292"/>
      <c r="D3" s="292"/>
      <c r="E3" s="292"/>
      <c r="F3" s="292"/>
      <c r="G3" s="292"/>
      <c r="H3" s="292"/>
      <c r="I3" s="292"/>
      <c r="J3" s="292"/>
    </row>
    <row r="4" spans="2:10" ht="14.25" customHeight="1">
      <c r="B4" s="294" t="s">
        <v>337</v>
      </c>
      <c r="C4" s="294"/>
      <c r="D4" s="294"/>
      <c r="E4" s="294"/>
      <c r="F4" s="294"/>
      <c r="G4" s="294"/>
      <c r="H4" s="294"/>
      <c r="I4" s="294"/>
      <c r="J4" s="294"/>
    </row>
    <row r="6" spans="2:10" ht="15" customHeight="1">
      <c r="B6" s="280" t="s">
        <v>210</v>
      </c>
      <c r="C6" s="287" t="s">
        <v>18</v>
      </c>
      <c r="D6" s="280" t="s">
        <v>481</v>
      </c>
      <c r="E6" s="296" t="s">
        <v>482</v>
      </c>
      <c r="F6" s="280" t="s">
        <v>252</v>
      </c>
      <c r="G6" s="280"/>
      <c r="H6" s="280"/>
      <c r="I6" s="280"/>
      <c r="J6" s="280"/>
    </row>
    <row r="7" spans="2:10" ht="15">
      <c r="B7" s="280"/>
      <c r="C7" s="287"/>
      <c r="D7" s="280"/>
      <c r="E7" s="297"/>
      <c r="F7" s="21" t="s">
        <v>483</v>
      </c>
      <c r="G7" s="21" t="s">
        <v>484</v>
      </c>
      <c r="H7" s="21" t="s">
        <v>485</v>
      </c>
      <c r="I7" s="21" t="s">
        <v>486</v>
      </c>
      <c r="J7" s="21" t="s">
        <v>487</v>
      </c>
    </row>
    <row r="8" spans="2:10" ht="15">
      <c r="B8" s="280"/>
      <c r="C8" s="287"/>
      <c r="D8" s="119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20">
        <v>1</v>
      </c>
      <c r="C9" s="34" t="s">
        <v>338</v>
      </c>
      <c r="D9" s="139">
        <f>F3.1!H12</f>
        <v>0.17244733499999998</v>
      </c>
      <c r="E9" s="139">
        <f>F3.1!H19</f>
        <v>0.14000000000000001</v>
      </c>
      <c r="F9" s="139">
        <f>F3.1!H25</f>
        <v>11.29</v>
      </c>
      <c r="G9" s="139">
        <f>F3.1!H31</f>
        <v>1.91</v>
      </c>
      <c r="H9" s="139">
        <f>F3.1!H37</f>
        <v>15.91</v>
      </c>
      <c r="I9" s="139">
        <f>F3.1!H43</f>
        <v>0</v>
      </c>
      <c r="J9" s="139">
        <f>F3.1!H49</f>
        <v>11.574529999999999</v>
      </c>
    </row>
    <row r="10" spans="2:10">
      <c r="B10" s="34"/>
      <c r="C10" s="34"/>
      <c r="D10" s="130"/>
      <c r="E10" s="130"/>
      <c r="F10" s="130"/>
      <c r="G10" s="130"/>
      <c r="H10" s="130"/>
      <c r="I10" s="130"/>
      <c r="J10" s="130"/>
    </row>
    <row r="11" spans="2:10" ht="15">
      <c r="B11" s="120">
        <v>2</v>
      </c>
      <c r="C11" s="121" t="s">
        <v>199</v>
      </c>
      <c r="D11" s="130"/>
      <c r="E11" s="130"/>
      <c r="F11" s="130"/>
      <c r="G11" s="130"/>
      <c r="H11" s="130"/>
      <c r="I11" s="130"/>
      <c r="J11" s="130"/>
    </row>
    <row r="12" spans="2:10">
      <c r="B12" s="34"/>
      <c r="C12" s="34" t="s">
        <v>209</v>
      </c>
      <c r="D12" s="130"/>
      <c r="E12" s="130"/>
      <c r="F12" s="130"/>
      <c r="G12" s="130"/>
      <c r="H12" s="130"/>
      <c r="I12" s="130"/>
      <c r="J12" s="130"/>
    </row>
    <row r="13" spans="2:10">
      <c r="B13" s="34"/>
      <c r="C13" s="34" t="s">
        <v>208</v>
      </c>
      <c r="D13" s="130"/>
      <c r="E13" s="130"/>
      <c r="F13" s="130"/>
      <c r="G13" s="130"/>
      <c r="H13" s="130"/>
      <c r="I13" s="130"/>
      <c r="J13" s="130"/>
    </row>
    <row r="14" spans="2:10">
      <c r="B14" s="34"/>
      <c r="C14" s="34" t="s">
        <v>9</v>
      </c>
      <c r="D14" s="130"/>
      <c r="E14" s="130"/>
      <c r="F14" s="130"/>
      <c r="G14" s="130"/>
      <c r="H14" s="130"/>
      <c r="I14" s="130"/>
      <c r="J14" s="130"/>
    </row>
    <row r="15" spans="2:10" ht="15">
      <c r="B15" s="34"/>
      <c r="C15" s="121" t="s">
        <v>197</v>
      </c>
      <c r="D15" s="139">
        <f>SUM(D12:D14)</f>
        <v>0</v>
      </c>
      <c r="E15" s="139">
        <f>SUM(E12:E14)</f>
        <v>0</v>
      </c>
      <c r="F15" s="139">
        <f t="shared" ref="F15:J15" si="0">SUM(F12:F14)</f>
        <v>0</v>
      </c>
      <c r="G15" s="139">
        <f t="shared" si="0"/>
        <v>0</v>
      </c>
      <c r="H15" s="139">
        <f t="shared" si="0"/>
        <v>0</v>
      </c>
      <c r="I15" s="139">
        <f t="shared" si="0"/>
        <v>0</v>
      </c>
      <c r="J15" s="139">
        <f t="shared" si="0"/>
        <v>0</v>
      </c>
    </row>
    <row r="16" spans="2:10">
      <c r="B16" s="34"/>
      <c r="C16" s="34"/>
      <c r="D16" s="130"/>
      <c r="E16" s="130"/>
      <c r="F16" s="130"/>
      <c r="G16" s="130"/>
      <c r="H16" s="130"/>
      <c r="I16" s="130"/>
      <c r="J16" s="130"/>
    </row>
    <row r="17" spans="2:10">
      <c r="B17" s="120">
        <v>3</v>
      </c>
      <c r="C17" s="34" t="s">
        <v>0</v>
      </c>
      <c r="D17" s="130">
        <f>D9*0.3</f>
        <v>5.1734200499999994E-2</v>
      </c>
      <c r="E17" s="130">
        <f t="shared" ref="E17" si="1">E9*0.3</f>
        <v>4.2000000000000003E-2</v>
      </c>
      <c r="F17" s="130">
        <f>F9*0.25</f>
        <v>2.8224999999999998</v>
      </c>
      <c r="G17" s="130">
        <f t="shared" ref="G17:J17" si="2">G9*0.25</f>
        <v>0.47749999999999998</v>
      </c>
      <c r="H17" s="130">
        <f t="shared" si="2"/>
        <v>3.9775</v>
      </c>
      <c r="I17" s="130">
        <f t="shared" si="2"/>
        <v>0</v>
      </c>
      <c r="J17" s="130">
        <f t="shared" si="2"/>
        <v>2.8936324999999998</v>
      </c>
    </row>
    <row r="18" spans="2:10">
      <c r="B18" s="120">
        <v>4</v>
      </c>
      <c r="C18" s="34" t="s">
        <v>200</v>
      </c>
      <c r="D18" s="130">
        <f>D9*0.7</f>
        <v>0.12071313449999997</v>
      </c>
      <c r="E18" s="130">
        <f t="shared" ref="E18" si="3">E9*0.7</f>
        <v>9.8000000000000004E-2</v>
      </c>
      <c r="F18" s="130">
        <f>F9*0.75</f>
        <v>8.4674999999999994</v>
      </c>
      <c r="G18" s="130">
        <f t="shared" ref="G18:J18" si="4">G9*0.75</f>
        <v>1.4324999999999999</v>
      </c>
      <c r="H18" s="130">
        <f t="shared" si="4"/>
        <v>11.932500000000001</v>
      </c>
      <c r="I18" s="130">
        <f t="shared" si="4"/>
        <v>0</v>
      </c>
      <c r="J18" s="130">
        <f t="shared" si="4"/>
        <v>8.6808975000000004</v>
      </c>
    </row>
    <row r="19" spans="2:10">
      <c r="B19" s="120">
        <v>5</v>
      </c>
      <c r="C19" s="34" t="s">
        <v>339</v>
      </c>
      <c r="D19" s="130"/>
      <c r="E19" s="130"/>
      <c r="F19" s="130"/>
      <c r="G19" s="130"/>
      <c r="H19" s="130"/>
      <c r="I19" s="130"/>
      <c r="J19" s="130"/>
    </row>
    <row r="20" spans="2:10" ht="15">
      <c r="B20" s="34"/>
      <c r="C20" s="34"/>
      <c r="D20" s="134"/>
      <c r="E20" s="134"/>
      <c r="F20" s="134"/>
      <c r="G20" s="134"/>
      <c r="H20" s="134"/>
      <c r="I20" s="134"/>
      <c r="J20" s="134"/>
    </row>
    <row r="21" spans="2:10" ht="15">
      <c r="B21" s="120">
        <v>6</v>
      </c>
      <c r="C21" s="121" t="s">
        <v>340</v>
      </c>
      <c r="D21" s="139">
        <f>D15+D17+D18+D19</f>
        <v>0.17244733499999998</v>
      </c>
      <c r="E21" s="139">
        <f>E15+E17+E18+E19</f>
        <v>0.14000000000000001</v>
      </c>
      <c r="F21" s="139">
        <f t="shared" ref="F21:J21" si="5">F15+F17+F18+F19</f>
        <v>11.29</v>
      </c>
      <c r="G21" s="139">
        <f t="shared" si="5"/>
        <v>1.91</v>
      </c>
      <c r="H21" s="139">
        <f t="shared" si="5"/>
        <v>15.91</v>
      </c>
      <c r="I21" s="139">
        <f t="shared" si="5"/>
        <v>0</v>
      </c>
      <c r="J21" s="139">
        <f t="shared" si="5"/>
        <v>11.574529999999999</v>
      </c>
    </row>
  </sheetData>
  <mergeCells count="8">
    <mergeCell ref="B2:J2"/>
    <mergeCell ref="B3:J3"/>
    <mergeCell ref="B4:J4"/>
    <mergeCell ref="F6:J6"/>
    <mergeCell ref="D6:D7"/>
    <mergeCell ref="B6:B8"/>
    <mergeCell ref="C6:C8"/>
    <mergeCell ref="E6:E7"/>
  </mergeCells>
  <pageMargins left="0.2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</vt:i4>
      </vt:variant>
    </vt:vector>
  </HeadingPairs>
  <TitlesOfParts>
    <vt:vector size="23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F14</vt:lpstr>
      <vt:lpstr>F15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2024-09-21T07:45:12Z</cp:lastPrinted>
  <dcterms:created xsi:type="dcterms:W3CDTF">2004-07-28T05:30:50Z</dcterms:created>
  <dcterms:modified xsi:type="dcterms:W3CDTF">2024-09-22T12:48:09Z</dcterms:modified>
</cp:coreProperties>
</file>