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10140" yWindow="0" windowWidth="10455" windowHeight="10905" tabRatio="582" activeTab="8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01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3" sheetId="71" r:id="rId16"/>
    <sheet name="F14" sheetId="72" r:id="rId17"/>
    <sheet name="F15" sheetId="91" r:id="rId18"/>
  </sheets>
  <externalReferences>
    <externalReference r:id="rId19"/>
    <externalReference r:id="rId20"/>
    <externalReference r:id="rId21"/>
  </externalReferences>
  <definedNames>
    <definedName name="__123Graph_A" localSheetId="6" hidden="1">[1]CE!#REF!</definedName>
    <definedName name="__123Graph_A" localSheetId="7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STNPLF" localSheetId="6" hidden="1">[1]CE!#REF!</definedName>
    <definedName name="__123Graph_ASTNPLF" localSheetId="7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B" localSheetId="6" hidden="1">[1]CE!#REF!</definedName>
    <definedName name="__123Graph_B" localSheetId="7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STNPLF" localSheetId="6" hidden="1">[1]CE!#REF!</definedName>
    <definedName name="__123Graph_BSTNPLF" localSheetId="7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C" localSheetId="6" hidden="1">[1]CE!#REF!</definedName>
    <definedName name="__123Graph_C" localSheetId="7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STNPLF" localSheetId="6" hidden="1">[1]CE!#REF!</definedName>
    <definedName name="__123Graph_CSTNPLF" localSheetId="7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X" localSheetId="6" hidden="1">[1]CE!#REF!</definedName>
    <definedName name="__123Graph_X" localSheetId="7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STNPLF" localSheetId="6" hidden="1">[1]CE!#REF!</definedName>
    <definedName name="__123Graph_XSTNPLF" localSheetId="7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Fill" localSheetId="6" hidden="1">#REF!</definedName>
    <definedName name="_Fill" localSheetId="7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new" localSheetId="6" hidden="1">[2]CE!#REF!</definedName>
    <definedName name="new" localSheetId="7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_xlnm.Print_Area" localSheetId="0">Checklist!$A$1:$E$41</definedName>
    <definedName name="xxxx" localSheetId="6" hidden="1">[3]CE!#REF!</definedName>
    <definedName name="xxxx" localSheetId="7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</definedNames>
  <calcPr calcId="124519" iterate="1" iterateCount="10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09"/>
  <c r="E15"/>
  <c r="G19" i="101"/>
  <c r="G20" s="1"/>
  <c r="G8"/>
  <c r="G9"/>
  <c r="F14"/>
  <c r="H14"/>
  <c r="F20"/>
  <c r="H20"/>
  <c r="F26"/>
  <c r="G26"/>
  <c r="I11" i="93" s="1"/>
  <c r="H26" i="101"/>
  <c r="I14" i="103" s="1"/>
  <c r="F32" i="101"/>
  <c r="G32"/>
  <c r="H32"/>
  <c r="J14" i="103" s="1"/>
  <c r="F38" i="101"/>
  <c r="G38"/>
  <c r="H38"/>
  <c r="K14" i="103" s="1"/>
  <c r="F44" i="101"/>
  <c r="G44"/>
  <c r="H44"/>
  <c r="L14" i="103" s="1"/>
  <c r="D50" i="101"/>
  <c r="F50"/>
  <c r="G50"/>
  <c r="H50"/>
  <c r="M14" i="103" s="1"/>
  <c r="G14" i="101" l="1"/>
  <c r="D72" i="71"/>
  <c r="E72"/>
  <c r="F72"/>
  <c r="G72"/>
  <c r="H72"/>
  <c r="I72"/>
  <c r="J72"/>
  <c r="K72"/>
  <c r="L72"/>
  <c r="M72"/>
  <c r="N72"/>
  <c r="C72"/>
  <c r="D62"/>
  <c r="E62"/>
  <c r="F62"/>
  <c r="G62"/>
  <c r="H62"/>
  <c r="I62"/>
  <c r="J62"/>
  <c r="K62"/>
  <c r="L62"/>
  <c r="M62"/>
  <c r="N62"/>
  <c r="C62"/>
  <c r="D52"/>
  <c r="E52"/>
  <c r="F52"/>
  <c r="G52"/>
  <c r="H52"/>
  <c r="I52"/>
  <c r="J52"/>
  <c r="K52"/>
  <c r="L52"/>
  <c r="M52"/>
  <c r="N52"/>
  <c r="C52"/>
  <c r="D42"/>
  <c r="E42"/>
  <c r="F42"/>
  <c r="G42"/>
  <c r="H42"/>
  <c r="I42"/>
  <c r="J42"/>
  <c r="K42"/>
  <c r="L42"/>
  <c r="M42"/>
  <c r="N42"/>
  <c r="C42"/>
  <c r="D32"/>
  <c r="E32"/>
  <c r="F32"/>
  <c r="G32"/>
  <c r="H32"/>
  <c r="I32"/>
  <c r="J32"/>
  <c r="K32"/>
  <c r="L32"/>
  <c r="M32"/>
  <c r="N32"/>
  <c r="C32"/>
  <c r="D22"/>
  <c r="E22"/>
  <c r="F22"/>
  <c r="G22"/>
  <c r="H22"/>
  <c r="C22"/>
  <c r="D12"/>
  <c r="E12"/>
  <c r="F12"/>
  <c r="G12"/>
  <c r="H12"/>
  <c r="I12"/>
  <c r="J12"/>
  <c r="K12"/>
  <c r="L12"/>
  <c r="M12"/>
  <c r="N12"/>
  <c r="C12"/>
  <c r="I38" i="102" l="1"/>
  <c r="I33"/>
  <c r="I34"/>
  <c r="I35"/>
  <c r="I36"/>
  <c r="I37"/>
  <c r="I27"/>
  <c r="I28"/>
  <c r="I29"/>
  <c r="I30"/>
  <c r="I31"/>
  <c r="I32"/>
  <c r="N20" i="71" l="1"/>
  <c r="M20"/>
  <c r="L20"/>
  <c r="K20"/>
  <c r="J20"/>
  <c r="I20"/>
  <c r="N18"/>
  <c r="M18"/>
  <c r="M22" s="1"/>
  <c r="L18"/>
  <c r="L22" s="1"/>
  <c r="K18"/>
  <c r="J18"/>
  <c r="I18"/>
  <c r="I22" s="1"/>
  <c r="O70"/>
  <c r="O68"/>
  <c r="O60"/>
  <c r="O58"/>
  <c r="O50"/>
  <c r="O48"/>
  <c r="O40"/>
  <c r="O38"/>
  <c r="O30"/>
  <c r="O28"/>
  <c r="O10"/>
  <c r="O8"/>
  <c r="O42" l="1"/>
  <c r="O62"/>
  <c r="O72"/>
  <c r="O52"/>
  <c r="O32"/>
  <c r="J22"/>
  <c r="N22"/>
  <c r="K22"/>
  <c r="O12"/>
  <c r="O20"/>
  <c r="O18"/>
  <c r="O22" l="1"/>
  <c r="D11" i="103"/>
  <c r="E11" s="1"/>
  <c r="F11" s="1"/>
  <c r="H14" i="66"/>
  <c r="E14"/>
  <c r="L85" i="102"/>
  <c r="H85"/>
  <c r="G85"/>
  <c r="L76"/>
  <c r="H76"/>
  <c r="G76"/>
  <c r="L58"/>
  <c r="H58"/>
  <c r="L67"/>
  <c r="H67"/>
  <c r="G67"/>
  <c r="E14" i="103" l="1"/>
  <c r="M21" i="102"/>
  <c r="J40" s="1"/>
  <c r="L21"/>
  <c r="G21"/>
  <c r="H21"/>
  <c r="F21"/>
  <c r="N12"/>
  <c r="I12"/>
  <c r="M12" s="1"/>
  <c r="N11"/>
  <c r="M11"/>
  <c r="I11"/>
  <c r="N10"/>
  <c r="M10"/>
  <c r="I10"/>
  <c r="N9"/>
  <c r="M9"/>
  <c r="I9"/>
  <c r="N16"/>
  <c r="I16"/>
  <c r="M16" s="1"/>
  <c r="N15"/>
  <c r="I15"/>
  <c r="M15" s="1"/>
  <c r="N14"/>
  <c r="I14"/>
  <c r="M14" s="1"/>
  <c r="N13"/>
  <c r="I13"/>
  <c r="M13" s="1"/>
  <c r="E34" i="67"/>
  <c r="F34"/>
  <c r="G34"/>
  <c r="H34"/>
  <c r="I34"/>
  <c r="D34"/>
  <c r="E10" i="105" l="1"/>
  <c r="F10" s="1"/>
  <c r="D10"/>
  <c r="D10" i="103"/>
  <c r="H11"/>
  <c r="M40" i="102"/>
  <c r="J49" s="1"/>
  <c r="M49" s="1"/>
  <c r="J58" s="1"/>
  <c r="M58" s="1"/>
  <c r="J67" s="1"/>
  <c r="M67" s="1"/>
  <c r="J76" s="1"/>
  <c r="M76" s="1"/>
  <c r="J85" s="1"/>
  <c r="M85" s="1"/>
  <c r="O9"/>
  <c r="O10"/>
  <c r="O11"/>
  <c r="O13"/>
  <c r="O14"/>
  <c r="O15"/>
  <c r="O12"/>
  <c r="O16"/>
  <c r="G22" i="106"/>
  <c r="Q15" i="91"/>
  <c r="Q14"/>
  <c r="G10" i="103" l="1"/>
  <c r="F10"/>
  <c r="E10"/>
  <c r="H10" s="1"/>
  <c r="P25" i="91"/>
  <c r="O25"/>
  <c r="N25"/>
  <c r="M25"/>
  <c r="L25"/>
  <c r="K25"/>
  <c r="J25"/>
  <c r="I25"/>
  <c r="H25"/>
  <c r="G25"/>
  <c r="F25"/>
  <c r="E25"/>
  <c r="Q21"/>
  <c r="Q25" s="1"/>
  <c r="Q30" s="1"/>
  <c r="Q19"/>
  <c r="D12" i="105" l="1"/>
  <c r="D38" i="68" l="1"/>
  <c r="D40" s="1"/>
  <c r="D18" i="69"/>
  <c r="D21" s="1"/>
  <c r="D15" i="109"/>
  <c r="D21" s="1"/>
  <c r="D54" i="103"/>
  <c r="G15"/>
  <c r="D15"/>
  <c r="D17" s="1"/>
  <c r="D14" i="105"/>
  <c r="N17" i="102"/>
  <c r="M17"/>
  <c r="I17"/>
  <c r="D22" i="106"/>
  <c r="N18" i="72"/>
  <c r="J18"/>
  <c r="G18"/>
  <c r="C18"/>
  <c r="E30" i="91"/>
  <c r="E16"/>
  <c r="D16" i="103" l="1"/>
  <c r="D18" s="1"/>
  <c r="D20" s="1"/>
  <c r="O17" i="102"/>
  <c r="M34" i="67" l="1"/>
  <c r="M36" s="1"/>
  <c r="N11" i="66" s="1"/>
  <c r="L34" i="67"/>
  <c r="L36" s="1"/>
  <c r="M11" i="66" s="1"/>
  <c r="K34" i="67"/>
  <c r="K36" s="1"/>
  <c r="L11" i="66" s="1"/>
  <c r="J34" i="67"/>
  <c r="J36" s="1"/>
  <c r="K11" i="66" s="1"/>
  <c r="I36" i="67"/>
  <c r="J11" i="66" s="1"/>
  <c r="H36" i="67"/>
  <c r="I11" i="66" s="1"/>
  <c r="G36" i="67"/>
  <c r="F11" i="66" s="1"/>
  <c r="G11" s="1"/>
  <c r="M38" i="68"/>
  <c r="M40" s="1"/>
  <c r="N12" i="66" s="1"/>
  <c r="L38" i="68"/>
  <c r="L40" s="1"/>
  <c r="K38"/>
  <c r="K40" s="1"/>
  <c r="L12" i="66" s="1"/>
  <c r="J38" i="68"/>
  <c r="J40" s="1"/>
  <c r="K12" i="66" s="1"/>
  <c r="I38" i="68"/>
  <c r="I40" s="1"/>
  <c r="J12" i="66" s="1"/>
  <c r="H38" i="68"/>
  <c r="H40" s="1"/>
  <c r="I12" i="66" s="1"/>
  <c r="G38" i="68"/>
  <c r="G40" s="1"/>
  <c r="F12" i="66" s="1"/>
  <c r="G12" s="1"/>
  <c r="F38" i="68"/>
  <c r="F40" s="1"/>
  <c r="E38"/>
  <c r="E40" s="1"/>
  <c r="M18" i="69"/>
  <c r="N13" i="66" s="1"/>
  <c r="L18" i="69"/>
  <c r="M13" i="66" s="1"/>
  <c r="K18" i="69"/>
  <c r="L13" i="66" s="1"/>
  <c r="J18" i="69"/>
  <c r="K13" i="66" s="1"/>
  <c r="I18" i="69"/>
  <c r="J13" i="66" s="1"/>
  <c r="H18" i="69"/>
  <c r="I13" i="66" s="1"/>
  <c r="G18" i="69"/>
  <c r="F13" i="66" s="1"/>
  <c r="G13" s="1"/>
  <c r="F18" i="69"/>
  <c r="F21" s="1"/>
  <c r="E18"/>
  <c r="E21" s="1"/>
  <c r="D13" i="93"/>
  <c r="G13"/>
  <c r="E11"/>
  <c r="M11"/>
  <c r="L11"/>
  <c r="K11"/>
  <c r="J11"/>
  <c r="H11"/>
  <c r="J15" i="109"/>
  <c r="J21" s="1"/>
  <c r="I15"/>
  <c r="I21" s="1"/>
  <c r="H15"/>
  <c r="H21" s="1"/>
  <c r="G15"/>
  <c r="G21" s="1"/>
  <c r="F15"/>
  <c r="F21" s="1"/>
  <c r="L61" i="103"/>
  <c r="K61"/>
  <c r="J61"/>
  <c r="I61"/>
  <c r="H61"/>
  <c r="G61"/>
  <c r="F61"/>
  <c r="E61"/>
  <c r="D61"/>
  <c r="L56"/>
  <c r="K56"/>
  <c r="J56"/>
  <c r="I56"/>
  <c r="H56"/>
  <c r="G56"/>
  <c r="F56"/>
  <c r="E56"/>
  <c r="D56"/>
  <c r="L55"/>
  <c r="K55"/>
  <c r="J55"/>
  <c r="I55"/>
  <c r="H55"/>
  <c r="G55"/>
  <c r="F55"/>
  <c r="E55"/>
  <c r="D55"/>
  <c r="L54"/>
  <c r="K54"/>
  <c r="J54"/>
  <c r="I54"/>
  <c r="H54"/>
  <c r="G54"/>
  <c r="F54"/>
  <c r="E54"/>
  <c r="L46"/>
  <c r="L47" s="1"/>
  <c r="L49" s="1"/>
  <c r="L51" s="1"/>
  <c r="K46"/>
  <c r="K47" s="1"/>
  <c r="K49" s="1"/>
  <c r="K51" s="1"/>
  <c r="J46"/>
  <c r="J47" s="1"/>
  <c r="J49" s="1"/>
  <c r="J51" s="1"/>
  <c r="I46"/>
  <c r="I47" s="1"/>
  <c r="I49" s="1"/>
  <c r="I51" s="1"/>
  <c r="H46"/>
  <c r="H47" s="1"/>
  <c r="H49" s="1"/>
  <c r="H51" s="1"/>
  <c r="G46"/>
  <c r="G47" s="1"/>
  <c r="G49" s="1"/>
  <c r="G51" s="1"/>
  <c r="F46"/>
  <c r="F47" s="1"/>
  <c r="F49" s="1"/>
  <c r="F51" s="1"/>
  <c r="E46"/>
  <c r="E47" s="1"/>
  <c r="E49" s="1"/>
  <c r="E51" s="1"/>
  <c r="D46"/>
  <c r="L36"/>
  <c r="L37" s="1"/>
  <c r="L39" s="1"/>
  <c r="K36"/>
  <c r="K37" s="1"/>
  <c r="K39" s="1"/>
  <c r="J36"/>
  <c r="J37" s="1"/>
  <c r="J39" s="1"/>
  <c r="I36"/>
  <c r="I37" s="1"/>
  <c r="I39" s="1"/>
  <c r="H36"/>
  <c r="H37" s="1"/>
  <c r="H39" s="1"/>
  <c r="G36"/>
  <c r="G37" s="1"/>
  <c r="G39" s="1"/>
  <c r="F36"/>
  <c r="F37" s="1"/>
  <c r="F39" s="1"/>
  <c r="E36"/>
  <c r="E37" s="1"/>
  <c r="E39" s="1"/>
  <c r="D36"/>
  <c r="D37" s="1"/>
  <c r="D39" s="1"/>
  <c r="D41" s="1"/>
  <c r="G17"/>
  <c r="D18" i="105"/>
  <c r="M18"/>
  <c r="L18"/>
  <c r="K18"/>
  <c r="J18"/>
  <c r="I18"/>
  <c r="H18"/>
  <c r="G18"/>
  <c r="F18"/>
  <c r="E18"/>
  <c r="L49" i="102"/>
  <c r="H49"/>
  <c r="L40"/>
  <c r="H40"/>
  <c r="G11" i="105"/>
  <c r="G12" s="1"/>
  <c r="N20" i="102"/>
  <c r="I20"/>
  <c r="M20" s="1"/>
  <c r="N19"/>
  <c r="I19"/>
  <c r="N18"/>
  <c r="I18"/>
  <c r="N21" l="1"/>
  <c r="H14" i="103"/>
  <c r="I10" s="1"/>
  <c r="M18" i="102"/>
  <c r="I21"/>
  <c r="F40" s="1"/>
  <c r="N27"/>
  <c r="L14" i="66"/>
  <c r="I14"/>
  <c r="D47" i="103"/>
  <c r="D49" s="1"/>
  <c r="J57"/>
  <c r="G9" i="109"/>
  <c r="J12" i="93"/>
  <c r="G58" i="102" s="1"/>
  <c r="J11" i="105"/>
  <c r="J12" s="1"/>
  <c r="D9" i="109"/>
  <c r="E12" i="93"/>
  <c r="F12" s="1"/>
  <c r="E11" i="105"/>
  <c r="E12" s="1"/>
  <c r="F12" s="1"/>
  <c r="F14" i="66"/>
  <c r="E57" i="103"/>
  <c r="E58" s="1"/>
  <c r="I57"/>
  <c r="F9" i="109"/>
  <c r="I11" i="105"/>
  <c r="I12" s="1"/>
  <c r="I12" i="93"/>
  <c r="G49" i="102" s="1"/>
  <c r="J9" i="109"/>
  <c r="M11" i="105"/>
  <c r="M12" s="1"/>
  <c r="M12" i="93"/>
  <c r="D20" i="105"/>
  <c r="D21" s="1"/>
  <c r="E9" i="109"/>
  <c r="H12" i="93"/>
  <c r="H11" i="105"/>
  <c r="I9" i="109"/>
  <c r="L12" i="93"/>
  <c r="L11" i="105"/>
  <c r="L12" s="1"/>
  <c r="M12" i="66"/>
  <c r="M14" s="1"/>
  <c r="G14"/>
  <c r="H9" i="109"/>
  <c r="K11" i="105"/>
  <c r="K12" s="1"/>
  <c r="K12" i="93"/>
  <c r="F11"/>
  <c r="J14" i="66"/>
  <c r="N14"/>
  <c r="K14"/>
  <c r="I11" i="58"/>
  <c r="K57" i="103"/>
  <c r="K58" s="1"/>
  <c r="J58"/>
  <c r="M19" i="102"/>
  <c r="O19" s="1"/>
  <c r="G57" i="103"/>
  <c r="G58" s="1"/>
  <c r="F39" i="102"/>
  <c r="F57" i="103"/>
  <c r="F58" s="1"/>
  <c r="G20" i="69"/>
  <c r="F11" i="58"/>
  <c r="J60" i="103"/>
  <c r="J41"/>
  <c r="G41"/>
  <c r="G60"/>
  <c r="K41"/>
  <c r="K60"/>
  <c r="L60"/>
  <c r="L41"/>
  <c r="F60"/>
  <c r="F41"/>
  <c r="H60"/>
  <c r="H41"/>
  <c r="E41"/>
  <c r="E60"/>
  <c r="I41"/>
  <c r="I60"/>
  <c r="I58"/>
  <c r="D57"/>
  <c r="D58" s="1"/>
  <c r="H57"/>
  <c r="H58" s="1"/>
  <c r="L57"/>
  <c r="L58" s="1"/>
  <c r="F13" i="58"/>
  <c r="G16" i="103"/>
  <c r="G18" s="1"/>
  <c r="G20" s="1"/>
  <c r="I13" i="58" s="1"/>
  <c r="E20" i="105"/>
  <c r="F20"/>
  <c r="N26" i="102"/>
  <c r="I26"/>
  <c r="O20"/>
  <c r="O18"/>
  <c r="J59" i="103" l="1"/>
  <c r="J10"/>
  <c r="K10" s="1"/>
  <c r="I59"/>
  <c r="D14" i="104"/>
  <c r="D13"/>
  <c r="G14"/>
  <c r="G13"/>
  <c r="H12" i="105"/>
  <c r="H10"/>
  <c r="G10"/>
  <c r="I40" i="102"/>
  <c r="F49" s="1"/>
  <c r="F13" i="93"/>
  <c r="J10"/>
  <c r="J13" s="1"/>
  <c r="K10" s="1"/>
  <c r="K13" s="1"/>
  <c r="O21" i="102"/>
  <c r="F47"/>
  <c r="I47" s="1"/>
  <c r="F56" s="1"/>
  <c r="I56" s="1"/>
  <c r="F65" s="1"/>
  <c r="N65" s="1"/>
  <c r="N28"/>
  <c r="J11" i="58"/>
  <c r="M11"/>
  <c r="H11"/>
  <c r="N11"/>
  <c r="D51" i="103"/>
  <c r="D60"/>
  <c r="D59" s="1"/>
  <c r="H20" i="69"/>
  <c r="H21" s="1"/>
  <c r="F14" i="103"/>
  <c r="H59"/>
  <c r="G59"/>
  <c r="G11" i="58"/>
  <c r="E13" i="93"/>
  <c r="H10" s="1"/>
  <c r="H13" s="1"/>
  <c r="I10" s="1"/>
  <c r="E14" i="105"/>
  <c r="E21" s="1"/>
  <c r="E22" s="1"/>
  <c r="G15" i="58" s="1"/>
  <c r="F11" i="105"/>
  <c r="F14" s="1"/>
  <c r="F21" s="1"/>
  <c r="F22" s="1"/>
  <c r="H15" i="58" s="1"/>
  <c r="E59" i="103"/>
  <c r="L59"/>
  <c r="F59"/>
  <c r="K59"/>
  <c r="I65" i="102"/>
  <c r="F74" s="1"/>
  <c r="G21" i="69"/>
  <c r="L11" i="58"/>
  <c r="N56" i="102"/>
  <c r="N39"/>
  <c r="N40" s="1"/>
  <c r="I39"/>
  <c r="K11" i="58"/>
  <c r="K26" i="102"/>
  <c r="M26" s="1"/>
  <c r="O26" s="1"/>
  <c r="F45"/>
  <c r="K27"/>
  <c r="M27" s="1"/>
  <c r="O27" s="1"/>
  <c r="F46"/>
  <c r="O11" i="58"/>
  <c r="F62" i="103"/>
  <c r="I62"/>
  <c r="H62"/>
  <c r="K62"/>
  <c r="G62"/>
  <c r="L62"/>
  <c r="E62"/>
  <c r="J62"/>
  <c r="F15" i="58"/>
  <c r="K65" i="102"/>
  <c r="M65" s="1"/>
  <c r="O65" s="1"/>
  <c r="K56"/>
  <c r="M56" s="1"/>
  <c r="O56" s="1"/>
  <c r="K28"/>
  <c r="M28" s="1"/>
  <c r="O28" s="1"/>
  <c r="N47" l="1"/>
  <c r="K47"/>
  <c r="M47" s="1"/>
  <c r="O47" s="1"/>
  <c r="Q11" i="58"/>
  <c r="I49" i="102"/>
  <c r="F58" s="1"/>
  <c r="J14" i="104" s="1"/>
  <c r="I14"/>
  <c r="E14"/>
  <c r="E13"/>
  <c r="F14"/>
  <c r="F13"/>
  <c r="H14"/>
  <c r="H13"/>
  <c r="G14" i="105"/>
  <c r="G20"/>
  <c r="H20"/>
  <c r="H14"/>
  <c r="L10" i="103"/>
  <c r="M13" i="104"/>
  <c r="L13"/>
  <c r="K13"/>
  <c r="J13"/>
  <c r="I13"/>
  <c r="L10" i="93"/>
  <c r="L13" s="1"/>
  <c r="D62" i="103"/>
  <c r="E21" i="102"/>
  <c r="H12" i="58"/>
  <c r="N74" i="102"/>
  <c r="I74"/>
  <c r="F83" s="1"/>
  <c r="I46"/>
  <c r="F55" s="1"/>
  <c r="N46"/>
  <c r="I45"/>
  <c r="N45"/>
  <c r="F48"/>
  <c r="K39"/>
  <c r="M39" s="1"/>
  <c r="O39" s="1"/>
  <c r="O40" s="1"/>
  <c r="I58" l="1"/>
  <c r="F67" s="1"/>
  <c r="K14" i="104" s="1"/>
  <c r="F15" i="103"/>
  <c r="F16" s="1"/>
  <c r="F18" s="1"/>
  <c r="F20" s="1"/>
  <c r="H13" i="58" s="1"/>
  <c r="G12"/>
  <c r="E15" i="103" s="1"/>
  <c r="M10"/>
  <c r="I10" i="105"/>
  <c r="H21"/>
  <c r="H22" s="1"/>
  <c r="J15" i="58" s="1"/>
  <c r="G21" i="105"/>
  <c r="I15" i="58" s="1"/>
  <c r="M10" i="93"/>
  <c r="M13" s="1"/>
  <c r="J12" i="58"/>
  <c r="E40" i="102"/>
  <c r="K46"/>
  <c r="M46" s="1"/>
  <c r="O46" s="1"/>
  <c r="F54"/>
  <c r="K45"/>
  <c r="N55"/>
  <c r="I55"/>
  <c r="F64" s="1"/>
  <c r="N48"/>
  <c r="N49" s="1"/>
  <c r="I48"/>
  <c r="K74"/>
  <c r="M74" s="1"/>
  <c r="O74" s="1"/>
  <c r="I83"/>
  <c r="N83"/>
  <c r="I67" l="1"/>
  <c r="F76" s="1"/>
  <c r="L14" i="104" s="1"/>
  <c r="H15" i="103"/>
  <c r="I11" s="1"/>
  <c r="F17"/>
  <c r="I20" i="105"/>
  <c r="I14"/>
  <c r="J10" s="1"/>
  <c r="E17" i="103"/>
  <c r="E16"/>
  <c r="E18" s="1"/>
  <c r="E20" s="1"/>
  <c r="G13" i="58" s="1"/>
  <c r="I20" i="69"/>
  <c r="I21" s="1"/>
  <c r="K55" i="102"/>
  <c r="M55" s="1"/>
  <c r="O55" s="1"/>
  <c r="M45"/>
  <c r="N64"/>
  <c r="I64"/>
  <c r="N54"/>
  <c r="I54"/>
  <c r="K54" s="1"/>
  <c r="F57"/>
  <c r="K83"/>
  <c r="M83" s="1"/>
  <c r="O83" s="1"/>
  <c r="K48"/>
  <c r="M48" s="1"/>
  <c r="O48" s="1"/>
  <c r="M22" i="106"/>
  <c r="O16" i="58" s="1"/>
  <c r="L22" i="106"/>
  <c r="N16" i="58" s="1"/>
  <c r="K22" i="106"/>
  <c r="M16" i="58" s="1"/>
  <c r="J22" i="106"/>
  <c r="L16" i="58" s="1"/>
  <c r="I22" i="106"/>
  <c r="K16" i="58" s="1"/>
  <c r="Q16" s="1"/>
  <c r="H22" i="106"/>
  <c r="J16" i="58" s="1"/>
  <c r="F22" i="106"/>
  <c r="H16" i="58" s="1"/>
  <c r="E22" i="106"/>
  <c r="G16" i="58" s="1"/>
  <c r="M17" i="104"/>
  <c r="L17"/>
  <c r="K17"/>
  <c r="J17"/>
  <c r="I17"/>
  <c r="H17"/>
  <c r="G17"/>
  <c r="F17"/>
  <c r="E17"/>
  <c r="M18" i="72"/>
  <c r="L18"/>
  <c r="K18"/>
  <c r="F18"/>
  <c r="E18"/>
  <c r="D18"/>
  <c r="Q16" i="91"/>
  <c r="P16"/>
  <c r="O16"/>
  <c r="N16"/>
  <c r="M16"/>
  <c r="L16"/>
  <c r="K16"/>
  <c r="J16"/>
  <c r="I16"/>
  <c r="H16"/>
  <c r="G16"/>
  <c r="F16"/>
  <c r="P30"/>
  <c r="O30"/>
  <c r="N30"/>
  <c r="M30"/>
  <c r="L30"/>
  <c r="K30"/>
  <c r="J30"/>
  <c r="I30"/>
  <c r="H30"/>
  <c r="G30"/>
  <c r="F30"/>
  <c r="H16" i="103" l="1"/>
  <c r="H18" s="1"/>
  <c r="H20" s="1"/>
  <c r="J13" i="58" s="1"/>
  <c r="H17" i="103"/>
  <c r="I76" i="102"/>
  <c r="F85" s="1"/>
  <c r="M14" i="104" s="1"/>
  <c r="I21" i="105"/>
  <c r="I22" s="1"/>
  <c r="K15" i="58" s="1"/>
  <c r="J20" i="105"/>
  <c r="J14"/>
  <c r="K10" s="1"/>
  <c r="J20" i="69"/>
  <c r="J21" s="1"/>
  <c r="D17" i="104"/>
  <c r="O45" i="102"/>
  <c r="O49" s="1"/>
  <c r="M54"/>
  <c r="O54" s="1"/>
  <c r="K64"/>
  <c r="M64" s="1"/>
  <c r="O64" s="1"/>
  <c r="F73"/>
  <c r="N57"/>
  <c r="N58" s="1"/>
  <c r="I57"/>
  <c r="F66" s="1"/>
  <c r="F63"/>
  <c r="I85" l="1"/>
  <c r="J21" i="105"/>
  <c r="J22" s="1"/>
  <c r="L15" i="58" s="1"/>
  <c r="K20" i="105"/>
  <c r="K14"/>
  <c r="L10" s="1"/>
  <c r="E49" i="102"/>
  <c r="K12" i="58"/>
  <c r="K57" i="102"/>
  <c r="M57" s="1"/>
  <c r="O57" s="1"/>
  <c r="O58" s="1"/>
  <c r="I63"/>
  <c r="N63"/>
  <c r="N66"/>
  <c r="I66"/>
  <c r="F75" s="1"/>
  <c r="I73"/>
  <c r="F82" s="1"/>
  <c r="N73"/>
  <c r="K73" l="1"/>
  <c r="M73" s="1"/>
  <c r="O73" s="1"/>
  <c r="I15" i="103"/>
  <c r="K21" i="105"/>
  <c r="K22" s="1"/>
  <c r="M15" i="58" s="1"/>
  <c r="N67" i="102"/>
  <c r="L20" i="105"/>
  <c r="L14"/>
  <c r="M10" s="1"/>
  <c r="I17" i="103"/>
  <c r="K20" i="69"/>
  <c r="K21" s="1"/>
  <c r="L12" i="58"/>
  <c r="E58" i="102"/>
  <c r="I75"/>
  <c r="N75"/>
  <c r="F72"/>
  <c r="N82"/>
  <c r="I82"/>
  <c r="K82" s="1"/>
  <c r="M82" s="1"/>
  <c r="O82" s="1"/>
  <c r="K66"/>
  <c r="M66" s="1"/>
  <c r="O66" s="1"/>
  <c r="K63"/>
  <c r="B20" i="58"/>
  <c r="B21" s="1"/>
  <c r="J15" i="103" l="1"/>
  <c r="J16" s="1"/>
  <c r="J18" s="1"/>
  <c r="J20" s="1"/>
  <c r="J11"/>
  <c r="J12" s="1"/>
  <c r="I16"/>
  <c r="I18" s="1"/>
  <c r="I20" s="1"/>
  <c r="I22" s="1"/>
  <c r="K13" i="58" s="1"/>
  <c r="L21" i="105"/>
  <c r="L22" s="1"/>
  <c r="N15" i="58" s="1"/>
  <c r="M20" i="105"/>
  <c r="M14"/>
  <c r="M63" i="102"/>
  <c r="F84"/>
  <c r="N72"/>
  <c r="N76" s="1"/>
  <c r="I72"/>
  <c r="K72" s="1"/>
  <c r="K75"/>
  <c r="M75" s="1"/>
  <c r="O75" s="1"/>
  <c r="J17" i="103" l="1"/>
  <c r="K11"/>
  <c r="K12" s="1"/>
  <c r="J22"/>
  <c r="L13" i="58" s="1"/>
  <c r="M21" i="105"/>
  <c r="M22" s="1"/>
  <c r="O15" i="58" s="1"/>
  <c r="Q15" s="1"/>
  <c r="L20" i="69"/>
  <c r="L21" s="1"/>
  <c r="E67" i="102"/>
  <c r="M12" i="58"/>
  <c r="M72" i="102"/>
  <c r="F81"/>
  <c r="N84"/>
  <c r="I84"/>
  <c r="K84" s="1"/>
  <c r="M84" s="1"/>
  <c r="O63"/>
  <c r="O67" s="1"/>
  <c r="K15" i="103" l="1"/>
  <c r="L11" s="1"/>
  <c r="L12" s="1"/>
  <c r="N12" i="58"/>
  <c r="E76" i="102"/>
  <c r="O84"/>
  <c r="N81"/>
  <c r="N85" s="1"/>
  <c r="I81"/>
  <c r="O72"/>
  <c r="O76" s="1"/>
  <c r="B11" i="106"/>
  <c r="B12" s="1"/>
  <c r="B13" s="1"/>
  <c r="B14" s="1"/>
  <c r="B15" s="1"/>
  <c r="B16" s="1"/>
  <c r="B17" s="1"/>
  <c r="B18" s="1"/>
  <c r="B19" s="1"/>
  <c r="B20" s="1"/>
  <c r="B21" s="1"/>
  <c r="B11" i="105"/>
  <c r="B12" s="1"/>
  <c r="B13" s="1"/>
  <c r="B14" s="1"/>
  <c r="B16" s="1"/>
  <c r="B17" s="1"/>
  <c r="B18" s="1"/>
  <c r="B20" s="1"/>
  <c r="B11" i="104"/>
  <c r="B12" s="1"/>
  <c r="B13" s="1"/>
  <c r="B14" s="1"/>
  <c r="B15" s="1"/>
  <c r="B17" s="1"/>
  <c r="B18" s="1"/>
  <c r="B19" s="1"/>
  <c r="B20" s="1"/>
  <c r="B11" i="103"/>
  <c r="B12" s="1"/>
  <c r="B13" s="1"/>
  <c r="B14" s="1"/>
  <c r="B15" s="1"/>
  <c r="B16" s="1"/>
  <c r="B17" s="1"/>
  <c r="B18" s="1"/>
  <c r="B19" s="1"/>
  <c r="B20" s="1"/>
  <c r="B21" s="1"/>
  <c r="B22" s="1"/>
  <c r="K16" l="1"/>
  <c r="K18" s="1"/>
  <c r="K20" s="1"/>
  <c r="K22" s="1"/>
  <c r="M13" i="58" s="1"/>
  <c r="K17" i="103"/>
  <c r="L15"/>
  <c r="M11" s="1"/>
  <c r="M12" s="1"/>
  <c r="M20" i="69"/>
  <c r="M21" s="1"/>
  <c r="K81" i="102"/>
  <c r="B21" i="105"/>
  <c r="B22" s="1"/>
  <c r="B12" i="58"/>
  <c r="B13" s="1"/>
  <c r="B14" s="1"/>
  <c r="B15" s="1"/>
  <c r="B16" s="1"/>
  <c r="B17" s="1"/>
  <c r="L16" i="103" l="1"/>
  <c r="L18" s="1"/>
  <c r="L20" s="1"/>
  <c r="L22" s="1"/>
  <c r="N13" i="58" s="1"/>
  <c r="L17" i="103"/>
  <c r="M81" i="102"/>
  <c r="B9" i="9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30" s="1"/>
  <c r="B31" s="1"/>
  <c r="E85" i="102" l="1"/>
  <c r="O12" i="58"/>
  <c r="O81" i="102"/>
  <c r="O85" s="1"/>
  <c r="B9" i="57"/>
  <c r="B10" s="1"/>
  <c r="B11" s="1"/>
  <c r="B12" s="1"/>
  <c r="M15" i="103" l="1"/>
  <c r="M17" s="1"/>
  <c r="Q12" i="58"/>
  <c r="B13" i="57"/>
  <c r="B14" s="1"/>
  <c r="B15" s="1"/>
  <c r="B12" i="66"/>
  <c r="B13" s="1"/>
  <c r="B14" s="1"/>
  <c r="B28" i="67"/>
  <c r="B29" s="1"/>
  <c r="B30" s="1"/>
  <c r="B31" s="1"/>
  <c r="M16" i="103" l="1"/>
  <c r="M18" s="1"/>
  <c r="M20" s="1"/>
  <c r="M22" s="1"/>
  <c r="O13" i="58" s="1"/>
  <c r="Q13" s="1"/>
  <c r="B16" i="57"/>
  <c r="B17" s="1"/>
  <c r="B18" s="1"/>
  <c r="B19" s="1"/>
  <c r="B20" s="1"/>
  <c r="B21" s="1"/>
  <c r="B22" s="1"/>
  <c r="B23" l="1"/>
  <c r="B24" s="1"/>
  <c r="B25" s="1"/>
  <c r="B26" s="1"/>
  <c r="B27" s="1"/>
  <c r="B28" s="1"/>
  <c r="B30" s="1"/>
  <c r="B31" s="1"/>
  <c r="B32" s="1"/>
  <c r="B33" l="1"/>
  <c r="B34" s="1"/>
  <c r="B35" s="1"/>
  <c r="B36" s="1"/>
  <c r="B37" s="1"/>
  <c r="B38" s="1"/>
  <c r="B39" s="1"/>
  <c r="I14" i="58"/>
  <c r="I17" s="1"/>
  <c r="F14"/>
  <c r="F17" s="1"/>
  <c r="F22" l="1"/>
  <c r="D15" i="104" s="1"/>
  <c r="D18" s="1"/>
  <c r="F23" i="58"/>
  <c r="I22"/>
  <c r="G15" i="104" s="1"/>
  <c r="G18" s="1"/>
  <c r="I23" i="58"/>
  <c r="G14"/>
  <c r="H14"/>
  <c r="J14"/>
  <c r="K14"/>
  <c r="L14"/>
  <c r="M14"/>
  <c r="N14"/>
  <c r="O14"/>
  <c r="Q14"/>
  <c r="G17"/>
  <c r="H17"/>
  <c r="J17"/>
  <c r="K17"/>
  <c r="L17"/>
  <c r="M17"/>
  <c r="N17"/>
  <c r="O17"/>
  <c r="Q17"/>
  <c r="G22"/>
  <c r="H22"/>
  <c r="J22"/>
  <c r="K22"/>
  <c r="L22"/>
  <c r="M22"/>
  <c r="N22"/>
  <c r="O22"/>
  <c r="G23"/>
  <c r="H23"/>
  <c r="J23"/>
  <c r="K23"/>
  <c r="L23"/>
  <c r="M23"/>
  <c r="N23"/>
  <c r="O23"/>
  <c r="Q23"/>
  <c r="E15" i="104"/>
  <c r="F15"/>
  <c r="H15"/>
  <c r="I15"/>
  <c r="J15"/>
  <c r="K15"/>
  <c r="L15"/>
  <c r="M15"/>
  <c r="E18"/>
  <c r="F18"/>
  <c r="H18"/>
  <c r="I18"/>
  <c r="J18"/>
  <c r="K18"/>
  <c r="L18"/>
  <c r="M18"/>
  <c r="E20"/>
  <c r="F20"/>
  <c r="H20"/>
  <c r="I20"/>
  <c r="J20"/>
  <c r="K20"/>
  <c r="L20"/>
  <c r="M20"/>
</calcChain>
</file>

<file path=xl/sharedStrings.xml><?xml version="1.0" encoding="utf-8"?>
<sst xmlns="http://schemas.openxmlformats.org/spreadsheetml/2006/main" count="1148" uniqueCount="411">
  <si>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</si>
  <si>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</si>
  <si>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</si>
  <si>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</si>
  <si>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</si>
  <si>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</si>
  <si>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</si>
  <si>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</si>
  <si>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</si>
  <si>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</si>
  <si>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</si>
  <si>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</si>
  <si>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</si>
  <si>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</si>
  <si>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</si>
  <si>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</si>
  <si>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</si>
  <si>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</si>
  <si>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</si>
  <si>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</si>
  <si>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</si>
  <si>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</si>
  <si>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</si>
  <si>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</si>
  <si>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</si>
  <si>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</si>
  <si>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</si>
  <si>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</si>
  <si>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</si>
  <si>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</si>
  <si>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</si>
  <si>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</si>
  <si>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</si>
  <si>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</si>
  <si>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</si>
  <si>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</si>
  <si>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</si>
  <si>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</si>
  <si>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</si>
  <si>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</si>
  <si>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%</t>
  </si>
  <si>
    <t>Target PLF for Incentive</t>
  </si>
  <si>
    <t>MU</t>
  </si>
  <si>
    <t xml:space="preserve">Note: </t>
  </si>
  <si>
    <t>Total Working Capital requirement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</si>
  <si>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</si>
  <si>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</si>
  <si>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</si>
  <si>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</si>
  <si>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</si>
  <si>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</si>
  <si>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</si>
  <si>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</si>
  <si>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</si>
  <si>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</si>
  <si>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</si>
  <si>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</si>
  <si>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</si>
  <si>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</si>
  <si>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</si>
  <si>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</si>
  <si>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</si>
  <si>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</si>
  <si>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</si>
  <si>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</si>
  <si>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</si>
  <si>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</si>
  <si>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</si>
  <si>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</si>
  <si>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</si>
  <si>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</si>
  <si>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</si>
  <si>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</si>
  <si>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</si>
  <si>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</si>
  <si>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</si>
  <si>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</si>
  <si>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</si>
  <si>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</si>
  <si>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</si>
  <si>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</si>
  <si>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</si>
  <si>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</si>
  <si>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</si>
  <si>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</si>
  <si>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</si>
  <si>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</si>
  <si>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</si>
  <si>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</si>
  <si>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</si>
  <si>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</si>
  <si>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</si>
  <si>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</si>
  <si>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</si>
  <si>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</si>
  <si>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</si>
  <si>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</si>
  <si>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</si>
  <si>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</si>
  <si>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</si>
  <si>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</si>
  <si>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</si>
  <si>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</si>
  <si>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</si>
  <si>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</si>
  <si>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</si>
  <si>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</si>
  <si>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</si>
  <si>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</si>
  <si>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</si>
  <si>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</si>
  <si>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</si>
  <si>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</si>
  <si>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</si>
  <si>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</si>
  <si>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</si>
  <si>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</si>
  <si>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</si>
  <si>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</si>
  <si>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</si>
  <si>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</si>
  <si>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</si>
  <si>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</si>
  <si>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</si>
  <si>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</si>
  <si>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</si>
  <si>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</si>
  <si>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</si>
  <si>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</si>
  <si>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</si>
  <si>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</si>
  <si>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</si>
  <si>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</si>
  <si>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</si>
  <si>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</si>
  <si>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</si>
  <si>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</si>
  <si>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</si>
  <si>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</si>
  <si>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</si>
  <si>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</si>
  <si>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</si>
  <si>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</si>
  <si>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 xml:space="preserve">Components of tariff </t>
  </si>
  <si>
    <t>Relevant sales &amp; load/demand data for revenue calculation</t>
  </si>
  <si>
    <t>Full year revenue (Rs. Crore)</t>
  </si>
  <si>
    <t>Sales in MU</t>
  </si>
  <si>
    <t>Item 3 (specify)</t>
  </si>
  <si>
    <t xml:space="preserve">Revenue from Fixed / Capacity Charges </t>
  </si>
  <si>
    <t>Revenue from Energy Charges</t>
  </si>
  <si>
    <t>Income from sale of ash/rejected coal</t>
  </si>
  <si>
    <t>Revenue from sale of electricity</t>
  </si>
  <si>
    <t>Non-Tariff Income</t>
  </si>
  <si>
    <t>Form 12</t>
  </si>
  <si>
    <t>Income from sale of tender documents</t>
  </si>
  <si>
    <t>Unit 1 / Station 1</t>
  </si>
  <si>
    <t>Unit 2 / Station 2</t>
  </si>
  <si>
    <t xml:space="preserve">Depreciation </t>
  </si>
  <si>
    <t>Addition of Loan during the year</t>
  </si>
  <si>
    <t>Energy Charges (Rs./kWh)</t>
  </si>
  <si>
    <t>Fuel surcharge per unit, if any (Rs./kWh)</t>
  </si>
  <si>
    <t>Fixed / Capacity Charges (Rs. Crore / year)</t>
  </si>
  <si>
    <t>Form 13</t>
  </si>
  <si>
    <t>Total Revenue</t>
  </si>
  <si>
    <t>Normative Availability (%)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</si>
  <si>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</si>
  <si>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</si>
  <si>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</si>
  <si>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</si>
  <si>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</si>
  <si>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</si>
  <si>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</si>
  <si>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</si>
  <si>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</si>
  <si>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</si>
  <si>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Justification</t>
  </si>
  <si>
    <t>Financing Details</t>
  </si>
  <si>
    <t>Internal Resources</t>
  </si>
  <si>
    <t>Project Schedule</t>
  </si>
  <si>
    <t>Abstract of Capital Cost</t>
  </si>
  <si>
    <t>Breakup of Capital Cost</t>
  </si>
  <si>
    <t>Breakup of Construction/Supply/Services/Packages</t>
  </si>
  <si>
    <t>Details of Loans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</si>
  <si>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</si>
  <si>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</si>
  <si>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</si>
  <si>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</si>
  <si>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</si>
  <si>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</si>
  <si>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</si>
  <si>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</si>
  <si>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</si>
  <si>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</si>
  <si>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</si>
  <si>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</si>
  <si>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</si>
  <si>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</si>
  <si>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</si>
  <si>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</si>
  <si>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</si>
  <si>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Financial Package</t>
  </si>
  <si>
    <t>True-Up requirement</t>
  </si>
  <si>
    <t xml:space="preserve">Details of outages should be submitted for each Unit of each station separately </t>
  </si>
  <si>
    <t>R &amp; M Expenses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</si>
  <si>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</si>
  <si>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</si>
  <si>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</si>
  <si>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</si>
  <si>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</si>
  <si>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</si>
  <si>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</si>
  <si>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</si>
  <si>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Land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</si>
  <si>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</si>
  <si>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</si>
  <si>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</si>
  <si>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</si>
  <si>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</si>
  <si>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</si>
  <si>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Capital Cost Approval*</t>
  </si>
  <si>
    <t>Revenue from Sale of Electricity</t>
  </si>
  <si>
    <t xml:space="preserve">Any Other Charges (specify part name and unit) </t>
  </si>
  <si>
    <t>Share of Capacity (MW/%)</t>
  </si>
  <si>
    <t>Revenue from Any Other Charge (specify part name)</t>
  </si>
  <si>
    <t>Revenue from Fuel Surcharge</t>
  </si>
  <si>
    <t>Control Period</t>
  </si>
  <si>
    <t>n+1</t>
  </si>
  <si>
    <t>n+2</t>
  </si>
  <si>
    <t>n+3</t>
  </si>
  <si>
    <t>n+4</t>
  </si>
  <si>
    <t>n+5</t>
  </si>
  <si>
    <t>Current Year 'n'</t>
  </si>
  <si>
    <t>Year (n-1)</t>
  </si>
  <si>
    <t xml:space="preserve">April-March     </t>
  </si>
  <si>
    <t>Claimed</t>
  </si>
  <si>
    <t>Apr-Sep</t>
  </si>
  <si>
    <t xml:space="preserve">Oct-Mar        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</si>
  <si>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</si>
  <si>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</si>
  <si>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</si>
  <si>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</si>
  <si>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</si>
  <si>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</si>
  <si>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</si>
  <si>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</si>
  <si>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</si>
  <si>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</si>
  <si>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</si>
  <si>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</si>
  <si>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</si>
  <si>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</si>
  <si>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FY</t>
  </si>
  <si>
    <t>Name of the work</t>
  </si>
  <si>
    <t>Name of the package (BTG, BoP, Civil Works etc.)</t>
  </si>
  <si>
    <t>Scope of work</t>
  </si>
  <si>
    <t>Total estimated cost* (Rs. Crore)</t>
  </si>
  <si>
    <t>*</t>
  </si>
  <si>
    <t>Total estimated cost to be supported by documentary evidences like work orders, investment approvals etc.</t>
  </si>
  <si>
    <t>Capital expenditure during the year (Rs. Crore)</t>
  </si>
  <si>
    <t>Capitalisation during the year (Rs. Crore)</t>
  </si>
  <si>
    <t>Relevant Clause of the TSERC MYT Regulation, 2023 under which the capitalisation has been claimed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</si>
  <si>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</si>
  <si>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</si>
  <si>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</si>
  <si>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</si>
  <si>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</si>
  <si>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</si>
  <si>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</si>
  <si>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</si>
  <si>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</si>
  <si>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</si>
  <si>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</si>
  <si>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>Asset group under which the capitalisation has been accounted (Land, Buldings, etc.)</t>
  </si>
  <si>
    <t>Civil works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</si>
  <si>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</si>
  <si>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</si>
  <si>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</si>
  <si>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3.1:  Statement of Additional Capitalisation after COD</t>
  </si>
  <si>
    <t>Form 4:  Fixed Assets &amp; Depreciation</t>
  </si>
  <si>
    <t>Capital Expenditure during the year</t>
  </si>
  <si>
    <t>Form 5:  Interest and finance charges on loan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</si>
  <si>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</si>
  <si>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</si>
  <si>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</si>
  <si>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</si>
  <si>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</si>
  <si>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</si>
  <si>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</si>
  <si>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</si>
  <si>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</si>
  <si>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</si>
  <si>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</si>
  <si>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</si>
  <si>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</si>
  <si>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</si>
  <si>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Rate of Return on Equity</t>
  </si>
  <si>
    <t>Base rate of Return on Equity</t>
  </si>
  <si>
    <t>Effective Income Tax rate</t>
  </si>
  <si>
    <t>Income from rent of land or buildings</t>
  </si>
  <si>
    <t>Net income from sale of de-capitalised assets</t>
  </si>
  <si>
    <t>Income from sale of scrap</t>
  </si>
  <si>
    <t>Income from statutory investments</t>
  </si>
  <si>
    <t>Interest income on advances to suppliers/ contractors</t>
  </si>
  <si>
    <t>Income from rental from staff quarters</t>
  </si>
  <si>
    <t>Income from rental from contractors</t>
  </si>
  <si>
    <t>Income from hire charges from contactors and others</t>
  </si>
  <si>
    <t>Income from advertisements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</si>
  <si>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</si>
  <si>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</si>
  <si>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</si>
  <si>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</si>
  <si>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</si>
  <si>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</si>
  <si>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r>
      <t xml:space="preserve">              </t>
    </r>
    <r>
      <rPr>
        <b/>
        <sz val="11"/>
        <rFont val="Arial"/>
        <family val="2"/>
      </rPr>
      <t xml:space="preserve">               </t>
    </r>
  </si>
  <si>
    <t>Form 13: Sales</t>
  </si>
  <si>
    <t>Beneficiary</t>
  </si>
  <si>
    <t>Beneficiary 1</t>
  </si>
  <si>
    <t>Beneficiary 2</t>
  </si>
  <si>
    <t>Beneficiary 3</t>
  </si>
  <si>
    <t>Ensuing Year (n+1)</t>
  </si>
  <si>
    <t>Ensuing Year (n+2)</t>
  </si>
  <si>
    <t>Ensuing Year (n+3)</t>
  </si>
  <si>
    <t>Ensuing Year (n+4)</t>
  </si>
  <si>
    <t>Ensuing Year (n+5)</t>
  </si>
  <si>
    <t>Form 14: Revenue from Sale of Electricity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</si>
  <si>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</si>
  <si>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</si>
  <si>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</si>
  <si>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</si>
  <si>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</si>
  <si>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</si>
  <si>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</si>
  <si>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</si>
  <si>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</si>
  <si>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</si>
  <si>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</si>
  <si>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</si>
  <si>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</si>
  <si>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</si>
  <si>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</si>
  <si>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</si>
  <si>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</si>
  <si>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</si>
  <si>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</si>
  <si>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</si>
  <si>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</si>
  <si>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</si>
  <si>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Phasing of Expenditure, Debt and Equity upto COD</t>
  </si>
  <si>
    <t>Interest During Construction and Finance Charges upto COD</t>
  </si>
  <si>
    <r>
      <rPr>
        <b/>
        <sz val="12"/>
        <rFont val="Arial"/>
        <family val="2"/>
      </rPr>
      <t>Note</t>
    </r>
    <r>
      <rPr>
        <sz val="12"/>
        <rFont val="Arial"/>
        <family val="2"/>
      </rPr>
      <t>: * Applicable only for new Generating Station/Unit for which Provisional/Final tariff approval is being sought</t>
    </r>
  </si>
  <si>
    <t>Form 19.1</t>
  </si>
  <si>
    <t>Form 19.2</t>
  </si>
  <si>
    <t>Form 17</t>
  </si>
  <si>
    <t>Form 18</t>
  </si>
  <si>
    <t>Form 19.3</t>
  </si>
  <si>
    <t>Form 19.4</t>
  </si>
  <si>
    <t>Form 19.5</t>
  </si>
  <si>
    <t>Form 19.6</t>
  </si>
  <si>
    <t>Form 19.7</t>
  </si>
  <si>
    <t>Form 19.8</t>
  </si>
  <si>
    <t>Plant Characteristics (Thermal)</t>
  </si>
  <si>
    <t>Plant Characteristics (Hydel)</t>
  </si>
  <si>
    <t>Unfunded past liabilities of pension &amp; gratuity</t>
  </si>
  <si>
    <t>AFC +Energy Charges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</si>
  <si>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</si>
  <si>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</si>
  <si>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t>1 In case actual availability is less or more than normative value, the modification in the formula need to be done accordingly.</t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</si>
  <si>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</si>
  <si>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</si>
  <si>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>Year end adjustment of fixed charges as per availability</t>
  </si>
  <si>
    <t>Difference bill issued after MTR order</t>
  </si>
  <si>
    <t>&lt;Small Hydel&gt;</t>
  </si>
  <si>
    <t>FY 2022-23</t>
  </si>
  <si>
    <t>TSSPDCL (70.55%)</t>
  </si>
  <si>
    <t>TSNPDCL (29.45%)</t>
  </si>
  <si>
    <t>FY 2023-24</t>
  </si>
  <si>
    <t>FY 2024-25</t>
  </si>
  <si>
    <t>FY 2025-26</t>
  </si>
  <si>
    <t>FY 2026-27</t>
  </si>
  <si>
    <t>FY 2027-28</t>
  </si>
  <si>
    <t>FY 2028-29</t>
  </si>
  <si>
    <t>Small Hydel</t>
  </si>
  <si>
    <t>FY 2019-20</t>
  </si>
  <si>
    <t>FY 2020-21</t>
  </si>
  <si>
    <t>FY 2021-22</t>
  </si>
  <si>
    <t>Fy 2022-23</t>
  </si>
  <si>
    <t>Land &amp; Land Rights</t>
  </si>
  <si>
    <t>Lines and Cable Network</t>
  </si>
  <si>
    <t>Plant and Equipment</t>
  </si>
  <si>
    <t>Capital Spares</t>
  </si>
  <si>
    <t>Hydralic Works</t>
  </si>
  <si>
    <t>Other Civil Works</t>
  </si>
  <si>
    <t>Furniture&amp; Fixtures</t>
  </si>
  <si>
    <t>Computers</t>
  </si>
  <si>
    <t>Intangible assets</t>
  </si>
  <si>
    <t>CWIP PLANT AND MACHINERY</t>
  </si>
  <si>
    <t>CWIP OTHER CIVIL WORKS</t>
  </si>
  <si>
    <t>&lt;TGGENCO&gt;</t>
  </si>
  <si>
    <t>TGGENCO</t>
  </si>
  <si>
    <t>IT Initiatives</t>
  </si>
  <si>
    <t>Lines &amp; Cable Network</t>
  </si>
  <si>
    <t>Intangible Assets</t>
  </si>
  <si>
    <t xml:space="preserve">Small Hydel </t>
  </si>
  <si>
    <t>&lt;Small Hydel &gt;</t>
  </si>
  <si>
    <t>2.2  Administration &amp; General Expenses</t>
  </si>
  <si>
    <t>Form 2.3: Repair &amp; Maintenance Expenses</t>
  </si>
  <si>
    <t>Form 3:  Summary of Capital Expenditure and Capitalisation</t>
  </si>
  <si>
    <t>2.1 Employee Expenses</t>
  </si>
  <si>
    <t>Form 1:  Summary Sheet</t>
  </si>
  <si>
    <t>Form 7: Return on Equity</t>
  </si>
  <si>
    <t>Form 8: Non-Tariff Income</t>
  </si>
</sst>
</file>

<file path=xl/styles.xml><?xml version="1.0" encoding="utf-8"?>
<styleSheet xmlns="http://schemas.openxmlformats.org/spreadsheetml/2006/main">
  <numFmts count="10"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0"/>
    <numFmt numFmtId="169" formatCode="0.000000"/>
    <numFmt numFmtId="170" formatCode="0.000000000"/>
    <numFmt numFmtId="171" formatCode="0.000000000000000"/>
    <numFmt numFmtId="172" formatCode="0.00000000"/>
  </numFmts>
  <fonts count="3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indexed="8"/>
      <name val="Arial"/>
      <family val="2"/>
    </font>
    <font>
      <vertAlign val="superscript"/>
      <sz val="11"/>
      <name val="Arial"/>
      <family val="2"/>
    </font>
    <font>
      <b/>
      <sz val="11"/>
      <color theme="1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4">
    <xf numFmtId="0" fontId="0" fillId="0" borderId="0"/>
    <xf numFmtId="0" fontId="9" fillId="0" borderId="0" applyNumberFormat="0" applyFill="0" applyBorder="0" applyAlignment="0" applyProtection="0"/>
    <xf numFmtId="0" fontId="10" fillId="0" borderId="1"/>
    <xf numFmtId="0" fontId="10" fillId="0" borderId="1"/>
    <xf numFmtId="38" fontId="11" fillId="2" borderId="0" applyNumberFormat="0" applyBorder="0" applyAlignment="0" applyProtection="0"/>
    <xf numFmtId="0" fontId="12" fillId="0" borderId="2" applyNumberFormat="0" applyAlignment="0" applyProtection="0">
      <alignment horizontal="left" vertical="center"/>
    </xf>
    <xf numFmtId="0" fontId="12" fillId="0" borderId="3">
      <alignment horizontal="left" vertical="center"/>
    </xf>
    <xf numFmtId="10" fontId="11" fillId="3" borderId="4" applyNumberFormat="0" applyBorder="0" applyAlignment="0" applyProtection="0"/>
    <xf numFmtId="37" fontId="13" fillId="0" borderId="0"/>
    <xf numFmtId="166" fontId="14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>
      <alignment vertical="center"/>
    </xf>
    <xf numFmtId="167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0" fontId="8" fillId="0" borderId="0"/>
    <xf numFmtId="0" fontId="16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18" fillId="0" borderId="0"/>
    <xf numFmtId="9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7" fillId="0" borderId="0" applyFont="0" applyFill="0" applyBorder="0" applyAlignment="0" applyProtection="0"/>
    <xf numFmtId="164" fontId="19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8" fillId="0" borderId="0"/>
    <xf numFmtId="0" fontId="8" fillId="0" borderId="0"/>
    <xf numFmtId="0" fontId="6" fillId="0" borderId="0"/>
    <xf numFmtId="0" fontId="8" fillId="0" borderId="0" applyBorder="0" applyProtection="0"/>
    <xf numFmtId="167" fontId="1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2" fillId="0" borderId="0"/>
    <xf numFmtId="43" fontId="2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76">
    <xf numFmtId="0" fontId="0" fillId="0" borderId="0" xfId="0"/>
    <xf numFmtId="0" fontId="7" fillId="0" borderId="0" xfId="10" applyFont="1" applyAlignment="1">
      <alignment horizontal="center" vertical="center"/>
    </xf>
    <xf numFmtId="0" fontId="15" fillId="0" borderId="4" xfId="14" applyFont="1" applyBorder="1" applyAlignment="1">
      <alignment horizontal="center" vertical="center"/>
    </xf>
    <xf numFmtId="0" fontId="15" fillId="0" borderId="4" xfId="14" applyFont="1" applyBorder="1">
      <alignment vertical="center"/>
    </xf>
    <xf numFmtId="0" fontId="15" fillId="0" borderId="0" xfId="10" applyFont="1"/>
    <xf numFmtId="0" fontId="15" fillId="0" borderId="0" xfId="10" applyFont="1" applyAlignment="1">
      <alignment vertical="center"/>
    </xf>
    <xf numFmtId="0" fontId="7" fillId="0" borderId="0" xfId="14" applyFont="1">
      <alignment vertical="center"/>
    </xf>
    <xf numFmtId="0" fontId="12" fillId="0" borderId="0" xfId="14" applyFont="1" applyAlignment="1">
      <alignment horizontal="right" vertical="center"/>
    </xf>
    <xf numFmtId="0" fontId="7" fillId="0" borderId="4" xfId="14" applyFont="1" applyBorder="1" applyAlignment="1">
      <alignment horizontal="center" vertical="center"/>
    </xf>
    <xf numFmtId="0" fontId="7" fillId="0" borderId="4" xfId="14" applyFont="1" applyBorder="1">
      <alignment vertical="center"/>
    </xf>
    <xf numFmtId="0" fontId="7" fillId="0" borderId="4" xfId="14" applyFont="1" applyBorder="1" applyAlignment="1">
      <alignment horizontal="left" vertical="center"/>
    </xf>
    <xf numFmtId="0" fontId="7" fillId="0" borderId="4" xfId="14" applyFont="1" applyBorder="1" applyAlignment="1">
      <alignment vertical="top" wrapText="1"/>
    </xf>
    <xf numFmtId="0" fontId="7" fillId="6" borderId="4" xfId="14" applyFont="1" applyFill="1" applyBorder="1" applyAlignment="1">
      <alignment horizontal="center" vertical="center"/>
    </xf>
    <xf numFmtId="0" fontId="12" fillId="6" borderId="4" xfId="14" applyFont="1" applyFill="1" applyBorder="1">
      <alignment vertical="center"/>
    </xf>
    <xf numFmtId="0" fontId="7" fillId="6" borderId="4" xfId="14" applyFont="1" applyFill="1" applyBorder="1" applyAlignment="1">
      <alignment horizontal="left" vertical="center"/>
    </xf>
    <xf numFmtId="0" fontId="7" fillId="0" borderId="0" xfId="10" applyFont="1"/>
    <xf numFmtId="0" fontId="7" fillId="5" borderId="0" xfId="14" applyFont="1" applyFill="1">
      <alignment vertical="center"/>
    </xf>
    <xf numFmtId="0" fontId="12" fillId="0" borderId="8" xfId="14" applyFont="1" applyBorder="1" applyAlignment="1">
      <alignment horizontal="center" vertical="center"/>
    </xf>
    <xf numFmtId="0" fontId="12" fillId="0" borderId="4" xfId="14" applyFont="1" applyBorder="1" applyAlignment="1">
      <alignment horizontal="center" vertical="center"/>
    </xf>
    <xf numFmtId="0" fontId="15" fillId="0" borderId="0" xfId="14" applyFont="1">
      <alignment vertical="center"/>
    </xf>
    <xf numFmtId="0" fontId="20" fillId="0" borderId="4" xfId="14" applyFont="1" applyBorder="1" applyAlignment="1">
      <alignment horizontal="center" vertical="center"/>
    </xf>
    <xf numFmtId="0" fontId="20" fillId="0" borderId="4" xfId="14" applyFont="1" applyBorder="1" applyAlignment="1">
      <alignment horizontal="center" vertical="center" wrapText="1"/>
    </xf>
    <xf numFmtId="0" fontId="15" fillId="0" borderId="4" xfId="14" applyFont="1" applyBorder="1" applyAlignment="1">
      <alignment horizontal="left" vertical="center"/>
    </xf>
    <xf numFmtId="0" fontId="15" fillId="5" borderId="4" xfId="14" applyFont="1" applyFill="1" applyBorder="1" applyAlignment="1">
      <alignment horizontal="left" vertical="center"/>
    </xf>
    <xf numFmtId="0" fontId="15" fillId="0" borderId="4" xfId="14" applyFont="1" applyBorder="1" applyAlignment="1">
      <alignment vertical="top" wrapText="1"/>
    </xf>
    <xf numFmtId="0" fontId="20" fillId="0" borderId="4" xfId="14" applyFont="1" applyBorder="1">
      <alignment vertical="center"/>
    </xf>
    <xf numFmtId="0" fontId="15" fillId="0" borderId="4" xfId="10" applyFont="1" applyBorder="1" applyAlignment="1">
      <alignment horizontal="center" vertical="center"/>
    </xf>
    <xf numFmtId="0" fontId="15" fillId="0" borderId="4" xfId="10" applyFont="1" applyBorder="1" applyAlignment="1">
      <alignment horizontal="center" vertical="center" wrapText="1"/>
    </xf>
    <xf numFmtId="0" fontId="20" fillId="0" borderId="7" xfId="10" applyFont="1" applyBorder="1" applyAlignment="1">
      <alignment horizontal="center" vertical="center" wrapText="1"/>
    </xf>
    <xf numFmtId="0" fontId="20" fillId="0" borderId="4" xfId="10" applyFont="1" applyBorder="1" applyAlignment="1">
      <alignment horizontal="center" vertical="center"/>
    </xf>
    <xf numFmtId="0" fontId="20" fillId="0" borderId="0" xfId="10" applyFont="1" applyAlignment="1">
      <alignment horizontal="left" vertical="center"/>
    </xf>
    <xf numFmtId="0" fontId="20" fillId="0" borderId="0" xfId="10" applyFont="1" applyAlignment="1">
      <alignment horizontal="right" vertical="center"/>
    </xf>
    <xf numFmtId="0" fontId="20" fillId="0" borderId="0" xfId="14" applyFont="1" applyAlignment="1">
      <alignment horizontal="right" vertical="center"/>
    </xf>
    <xf numFmtId="0" fontId="15" fillId="0" borderId="4" xfId="1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4" xfId="10" applyFont="1" applyBorder="1" applyAlignment="1">
      <alignment horizontal="left" vertical="center"/>
    </xf>
    <xf numFmtId="0" fontId="20" fillId="0" borderId="4" xfId="10" applyFont="1" applyBorder="1" applyAlignment="1">
      <alignment horizontal="left" vertical="center" wrapText="1"/>
    </xf>
    <xf numFmtId="0" fontId="20" fillId="0" borderId="4" xfId="10" applyFont="1" applyBorder="1" applyAlignment="1">
      <alignment horizontal="center" vertical="center" wrapText="1"/>
    </xf>
    <xf numFmtId="0" fontId="20" fillId="0" borderId="4" xfId="10" applyFont="1" applyBorder="1" applyAlignment="1">
      <alignment horizontal="left" vertical="center"/>
    </xf>
    <xf numFmtId="0" fontId="20" fillId="0" borderId="0" xfId="10" applyFont="1" applyAlignment="1">
      <alignment vertical="center"/>
    </xf>
    <xf numFmtId="0" fontId="20" fillId="0" borderId="0" xfId="14" applyFont="1" applyAlignment="1">
      <alignment horizontal="center" vertical="center"/>
    </xf>
    <xf numFmtId="0" fontId="20" fillId="0" borderId="0" xfId="10" applyFont="1" applyAlignment="1">
      <alignment horizontal="center" vertical="center"/>
    </xf>
    <xf numFmtId="0" fontId="20" fillId="0" borderId="0" xfId="14" applyFont="1">
      <alignment vertical="center"/>
    </xf>
    <xf numFmtId="0" fontId="15" fillId="0" borderId="4" xfId="10" applyFont="1" applyBorder="1" applyAlignment="1">
      <alignment horizontal="left" vertical="center" wrapText="1"/>
    </xf>
    <xf numFmtId="0" fontId="20" fillId="0" borderId="4" xfId="10" applyFont="1" applyBorder="1" applyAlignment="1">
      <alignment vertical="center"/>
    </xf>
    <xf numFmtId="0" fontId="20" fillId="0" borderId="0" xfId="10" applyFont="1" applyAlignment="1">
      <alignment horizontal="centerContinuous"/>
    </xf>
    <xf numFmtId="0" fontId="15" fillId="0" borderId="0" xfId="10" applyFont="1" applyAlignment="1">
      <alignment horizontal="centerContinuous"/>
    </xf>
    <xf numFmtId="0" fontId="15" fillId="0" borderId="4" xfId="10" applyFont="1" applyBorder="1"/>
    <xf numFmtId="0" fontId="20" fillId="0" borderId="4" xfId="10" applyFont="1" applyBorder="1"/>
    <xf numFmtId="0" fontId="20" fillId="0" borderId="0" xfId="10" applyFont="1" applyAlignment="1">
      <alignment horizontal="justify" vertical="top" wrapText="1"/>
    </xf>
    <xf numFmtId="0" fontId="15" fillId="0" borderId="0" xfId="10" applyFont="1" applyAlignment="1">
      <alignment horizontal="left"/>
    </xf>
    <xf numFmtId="0" fontId="15" fillId="0" borderId="4" xfId="10" applyFont="1" applyBorder="1" applyAlignment="1">
      <alignment wrapText="1"/>
    </xf>
    <xf numFmtId="0" fontId="15" fillId="0" borderId="0" xfId="10" applyFont="1" applyAlignment="1">
      <alignment horizontal="left" vertical="center"/>
    </xf>
    <xf numFmtId="0" fontId="15" fillId="0" borderId="0" xfId="10" applyFont="1" applyAlignment="1">
      <alignment horizontal="right" vertical="center"/>
    </xf>
    <xf numFmtId="0" fontId="21" fillId="0" borderId="0" xfId="10" applyFont="1" applyAlignment="1">
      <alignment horizontal="left" vertical="center"/>
    </xf>
    <xf numFmtId="0" fontId="21" fillId="0" borderId="0" xfId="10" applyFont="1" applyAlignment="1">
      <alignment vertical="center"/>
    </xf>
    <xf numFmtId="0" fontId="21" fillId="0" borderId="0" xfId="10" applyFont="1" applyAlignment="1">
      <alignment horizontal="center" vertical="center"/>
    </xf>
    <xf numFmtId="0" fontId="15" fillId="0" borderId="4" xfId="10" quotePrefix="1" applyFont="1" applyBorder="1" applyAlignment="1">
      <alignment horizontal="left" vertical="top" wrapText="1"/>
    </xf>
    <xf numFmtId="0" fontId="15" fillId="0" borderId="4" xfId="10" applyFont="1" applyBorder="1" applyAlignment="1">
      <alignment horizontal="left"/>
    </xf>
    <xf numFmtId="0" fontId="20" fillId="0" borderId="4" xfId="10" applyFont="1" applyBorder="1" applyAlignment="1">
      <alignment horizontal="left"/>
    </xf>
    <xf numFmtId="0" fontId="15" fillId="0" borderId="0" xfId="14" applyFont="1" applyAlignment="1">
      <alignment horizontal="center" vertical="center"/>
    </xf>
    <xf numFmtId="0" fontId="15" fillId="0" borderId="4" xfId="10" applyFont="1" applyBorder="1" applyAlignment="1">
      <alignment horizontal="left" vertical="top" wrapText="1"/>
    </xf>
    <xf numFmtId="0" fontId="20" fillId="0" borderId="0" xfId="10" applyFont="1" applyAlignment="1">
      <alignment horizontal="left"/>
    </xf>
    <xf numFmtId="0" fontId="20" fillId="0" borderId="0" xfId="10" applyFont="1" applyAlignment="1">
      <alignment horizontal="right"/>
    </xf>
    <xf numFmtId="0" fontId="20" fillId="0" borderId="0" xfId="10" applyFont="1" applyAlignment="1">
      <alignment horizontal="left" vertical="center" wrapText="1"/>
    </xf>
    <xf numFmtId="0" fontId="20" fillId="0" borderId="0" xfId="10" applyFont="1" applyAlignment="1">
      <alignment horizontal="center" vertical="center" wrapText="1"/>
    </xf>
    <xf numFmtId="0" fontId="15" fillId="0" borderId="7" xfId="10" applyFont="1" applyBorder="1" applyAlignment="1">
      <alignment horizontal="center" vertical="center"/>
    </xf>
    <xf numFmtId="0" fontId="21" fillId="0" borderId="0" xfId="10" applyFont="1" applyAlignment="1">
      <alignment horizontal="right" vertical="center"/>
    </xf>
    <xf numFmtId="0" fontId="15" fillId="0" borderId="0" xfId="10" applyFont="1" applyAlignment="1">
      <alignment horizontal="center"/>
    </xf>
    <xf numFmtId="0" fontId="15" fillId="4" borderId="15" xfId="68" applyFont="1" applyFill="1" applyBorder="1" applyAlignment="1">
      <alignment horizontal="center" vertical="center"/>
    </xf>
    <xf numFmtId="0" fontId="20" fillId="4" borderId="13" xfId="68" applyFont="1" applyFill="1" applyBorder="1" applyAlignment="1">
      <alignment horizontal="center" vertical="center" wrapText="1"/>
    </xf>
    <xf numFmtId="0" fontId="20" fillId="4" borderId="14" xfId="68" applyFont="1" applyFill="1" applyBorder="1" applyAlignment="1">
      <alignment horizontal="center" vertical="center" wrapText="1"/>
    </xf>
    <xf numFmtId="0" fontId="15" fillId="4" borderId="16" xfId="68" applyFont="1" applyFill="1" applyBorder="1" applyAlignment="1">
      <alignment horizontal="left" vertical="center"/>
    </xf>
    <xf numFmtId="0" fontId="20" fillId="4" borderId="16" xfId="68" applyFont="1" applyFill="1" applyBorder="1" applyAlignment="1">
      <alignment horizontal="center" vertical="center"/>
    </xf>
    <xf numFmtId="10" fontId="15" fillId="4" borderId="16" xfId="68" applyNumberFormat="1" applyFont="1" applyFill="1" applyBorder="1" applyAlignment="1">
      <alignment horizontal="center" vertical="center"/>
    </xf>
    <xf numFmtId="2" fontId="15" fillId="4" borderId="16" xfId="68" applyNumberFormat="1" applyFont="1" applyFill="1" applyBorder="1" applyAlignment="1">
      <alignment horizontal="center" vertical="center"/>
    </xf>
    <xf numFmtId="2" fontId="15" fillId="0" borderId="16" xfId="68" applyNumberFormat="1" applyFont="1" applyBorder="1" applyAlignment="1">
      <alignment horizontal="center" vertical="center"/>
    </xf>
    <xf numFmtId="0" fontId="15" fillId="4" borderId="5" xfId="68" applyFont="1" applyFill="1" applyBorder="1" applyAlignment="1">
      <alignment horizontal="center" vertical="center"/>
    </xf>
    <xf numFmtId="0" fontId="15" fillId="4" borderId="4" xfId="68" applyFont="1" applyFill="1" applyBorder="1" applyAlignment="1">
      <alignment horizontal="left" vertical="center" wrapText="1"/>
    </xf>
    <xf numFmtId="0" fontId="20" fillId="4" borderId="4" xfId="68" applyFont="1" applyFill="1" applyBorder="1" applyAlignment="1">
      <alignment horizontal="center" vertical="center"/>
    </xf>
    <xf numFmtId="10" fontId="15" fillId="4" borderId="4" xfId="39" applyNumberFormat="1" applyFont="1" applyFill="1" applyBorder="1" applyAlignment="1">
      <alignment horizontal="center" vertical="center"/>
    </xf>
    <xf numFmtId="2" fontId="15" fillId="4" borderId="4" xfId="68" applyNumberFormat="1" applyFont="1" applyFill="1" applyBorder="1" applyAlignment="1">
      <alignment horizontal="center" vertical="center"/>
    </xf>
    <xf numFmtId="2" fontId="15" fillId="0" borderId="4" xfId="68" applyNumberFormat="1" applyFont="1" applyBorder="1" applyAlignment="1">
      <alignment horizontal="center" vertical="center"/>
    </xf>
    <xf numFmtId="2" fontId="15" fillId="4" borderId="4" xfId="19" applyNumberFormat="1" applyFont="1" applyFill="1" applyBorder="1" applyAlignment="1">
      <alignment horizontal="center" vertical="center"/>
    </xf>
    <xf numFmtId="0" fontId="15" fillId="4" borderId="4" xfId="68" applyFont="1" applyFill="1" applyBorder="1" applyAlignment="1">
      <alignment horizontal="left" vertical="center"/>
    </xf>
    <xf numFmtId="10" fontId="22" fillId="0" borderId="4" xfId="39" applyNumberFormat="1" applyFont="1" applyFill="1" applyBorder="1" applyAlignment="1">
      <alignment horizontal="center" vertical="center"/>
    </xf>
    <xf numFmtId="0" fontId="15" fillId="4" borderId="12" xfId="68" applyFont="1" applyFill="1" applyBorder="1" applyAlignment="1">
      <alignment horizontal="center" vertical="center"/>
    </xf>
    <xf numFmtId="0" fontId="20" fillId="4" borderId="13" xfId="68" applyFont="1" applyFill="1" applyBorder="1" applyAlignment="1">
      <alignment horizontal="center" vertical="center"/>
    </xf>
    <xf numFmtId="0" fontId="12" fillId="0" borderId="0" xfId="14" applyFont="1" applyAlignment="1">
      <alignment horizontal="center" vertical="center"/>
    </xf>
    <xf numFmtId="0" fontId="20" fillId="0" borderId="6" xfId="14" applyFont="1" applyBorder="1" applyAlignment="1">
      <alignment horizontal="center" vertical="center" wrapText="1"/>
    </xf>
    <xf numFmtId="0" fontId="20" fillId="0" borderId="9" xfId="14" applyFont="1" applyBorder="1" applyAlignment="1">
      <alignment horizontal="center" vertical="center" wrapText="1"/>
    </xf>
    <xf numFmtId="0" fontId="15" fillId="0" borderId="4" xfId="10" applyFont="1" applyBorder="1" applyAlignment="1">
      <alignment vertical="center" wrapText="1"/>
    </xf>
    <xf numFmtId="0" fontId="15" fillId="0" borderId="9" xfId="14" applyFont="1" applyBorder="1">
      <alignment vertical="center"/>
    </xf>
    <xf numFmtId="0" fontId="20" fillId="0" borderId="4" xfId="10" applyFont="1" applyBorder="1" applyAlignment="1">
      <alignment vertical="center" wrapText="1"/>
    </xf>
    <xf numFmtId="0" fontId="20" fillId="4" borderId="4" xfId="14" applyFont="1" applyFill="1" applyBorder="1" applyAlignment="1">
      <alignment horizontal="center" vertical="center" wrapText="1"/>
    </xf>
    <xf numFmtId="0" fontId="20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20" fillId="4" borderId="4" xfId="10" quotePrefix="1" applyFont="1" applyFill="1" applyBorder="1" applyAlignment="1">
      <alignment horizontal="center" vertical="center" wrapText="1"/>
    </xf>
    <xf numFmtId="0" fontId="20" fillId="4" borderId="4" xfId="10" applyFont="1" applyFill="1" applyBorder="1" applyAlignment="1">
      <alignment horizontal="left" vertical="center" wrapText="1"/>
    </xf>
    <xf numFmtId="0" fontId="20" fillId="4" borderId="4" xfId="10" applyFont="1" applyFill="1" applyBorder="1" applyAlignment="1">
      <alignment horizontal="center" vertical="center"/>
    </xf>
    <xf numFmtId="0" fontId="15" fillId="4" borderId="4" xfId="14" applyFont="1" applyFill="1" applyBorder="1">
      <alignment vertical="center"/>
    </xf>
    <xf numFmtId="0" fontId="15" fillId="4" borderId="4" xfId="10" applyFont="1" applyFill="1" applyBorder="1" applyAlignment="1">
      <alignment horizontal="center" vertical="center"/>
    </xf>
    <xf numFmtId="0" fontId="15" fillId="4" borderId="4" xfId="10" applyFont="1" applyFill="1" applyBorder="1" applyAlignment="1">
      <alignment vertical="center" wrapText="1"/>
    </xf>
    <xf numFmtId="0" fontId="20" fillId="4" borderId="4" xfId="10" applyFont="1" applyFill="1" applyBorder="1" applyAlignment="1">
      <alignment vertical="center" wrapText="1"/>
    </xf>
    <xf numFmtId="0" fontId="15" fillId="4" borderId="4" xfId="10" applyFont="1" applyFill="1" applyBorder="1" applyAlignment="1">
      <alignment vertical="center"/>
    </xf>
    <xf numFmtId="0" fontId="20" fillId="4" borderId="0" xfId="10" applyFont="1" applyFill="1" applyAlignment="1">
      <alignment vertical="center"/>
    </xf>
    <xf numFmtId="0" fontId="15" fillId="4" borderId="0" xfId="10" applyFont="1" applyFill="1" applyAlignment="1">
      <alignment vertical="center"/>
    </xf>
    <xf numFmtId="166" fontId="15" fillId="0" borderId="0" xfId="10" applyNumberFormat="1" applyFont="1" applyAlignment="1">
      <alignment vertical="center"/>
    </xf>
    <xf numFmtId="0" fontId="23" fillId="0" borderId="0" xfId="10" applyFont="1" applyAlignment="1">
      <alignment horizontal="left" vertical="center"/>
    </xf>
    <xf numFmtId="0" fontId="15" fillId="0" borderId="0" xfId="0" applyFont="1" applyAlignment="1">
      <alignment vertical="center"/>
    </xf>
    <xf numFmtId="0" fontId="20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center"/>
    </xf>
    <xf numFmtId="0" fontId="15" fillId="0" borderId="4" xfId="0" applyFont="1" applyBorder="1" applyAlignment="1">
      <alignment vertical="center" wrapText="1"/>
    </xf>
    <xf numFmtId="0" fontId="25" fillId="0" borderId="0" xfId="10" applyFont="1" applyAlignment="1">
      <alignment vertical="center"/>
    </xf>
    <xf numFmtId="16" fontId="20" fillId="0" borderId="4" xfId="10" applyNumberFormat="1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2" fontId="15" fillId="0" borderId="4" xfId="0" applyNumberFormat="1" applyFont="1" applyBorder="1" applyAlignment="1">
      <alignment horizontal="center" vertical="center"/>
    </xf>
    <xf numFmtId="2" fontId="15" fillId="0" borderId="4" xfId="0" applyNumberFormat="1" applyFont="1" applyBorder="1" applyAlignment="1">
      <alignment vertical="center"/>
    </xf>
    <xf numFmtId="0" fontId="15" fillId="0" borderId="4" xfId="0" applyFont="1" applyBorder="1" applyAlignment="1">
      <alignment horizontal="center" vertical="center" wrapText="1"/>
    </xf>
    <xf numFmtId="169" fontId="15" fillId="0" borderId="4" xfId="0" applyNumberFormat="1" applyFont="1" applyBorder="1" applyAlignment="1">
      <alignment horizontal="center" vertical="center"/>
    </xf>
    <xf numFmtId="169" fontId="15" fillId="0" borderId="4" xfId="0" applyNumberFormat="1" applyFont="1" applyBorder="1" applyAlignment="1">
      <alignment vertical="center"/>
    </xf>
    <xf numFmtId="168" fontId="15" fillId="0" borderId="4" xfId="0" applyNumberFormat="1" applyFont="1" applyBorder="1" applyAlignment="1">
      <alignment horizontal="center" vertical="center"/>
    </xf>
    <xf numFmtId="2" fontId="15" fillId="0" borderId="4" xfId="0" applyNumberFormat="1" applyFont="1" applyBorder="1" applyAlignment="1">
      <alignment horizontal="right" vertical="center"/>
    </xf>
    <xf numFmtId="0" fontId="20" fillId="0" borderId="9" xfId="0" applyFont="1" applyBorder="1" applyAlignment="1">
      <alignment vertical="center" wrapText="1"/>
    </xf>
    <xf numFmtId="2" fontId="20" fillId="0" borderId="4" xfId="0" applyNumberFormat="1" applyFont="1" applyBorder="1" applyAlignment="1">
      <alignment vertical="center"/>
    </xf>
    <xf numFmtId="0" fontId="20" fillId="0" borderId="4" xfId="0" applyFont="1" applyBorder="1" applyAlignment="1">
      <alignment vertical="center" wrapText="1"/>
    </xf>
    <xf numFmtId="2" fontId="20" fillId="0" borderId="4" xfId="0" applyNumberFormat="1" applyFont="1" applyBorder="1" applyAlignment="1">
      <alignment horizontal="right" vertical="center"/>
    </xf>
    <xf numFmtId="2" fontId="15" fillId="0" borderId="4" xfId="10" applyNumberFormat="1" applyFont="1" applyBorder="1" applyAlignment="1">
      <alignment horizontal="center" vertical="center"/>
    </xf>
    <xf numFmtId="2" fontId="20" fillId="6" borderId="4" xfId="0" applyNumberFormat="1" applyFont="1" applyFill="1" applyBorder="1" applyAlignment="1">
      <alignment vertical="center"/>
    </xf>
    <xf numFmtId="2" fontId="15" fillId="0" borderId="4" xfId="10" applyNumberFormat="1" applyFont="1" applyBorder="1" applyAlignment="1">
      <alignment horizontal="center" vertical="center" wrapText="1"/>
    </xf>
    <xf numFmtId="2" fontId="20" fillId="6" borderId="4" xfId="10" applyNumberFormat="1" applyFont="1" applyFill="1" applyBorder="1" applyAlignment="1">
      <alignment horizontal="center" vertical="center"/>
    </xf>
    <xf numFmtId="2" fontId="20" fillId="6" borderId="4" xfId="0" applyNumberFormat="1" applyFont="1" applyFill="1" applyBorder="1" applyAlignment="1">
      <alignment horizontal="right" vertical="center"/>
    </xf>
    <xf numFmtId="2" fontId="20" fillId="6" borderId="4" xfId="14" applyNumberFormat="1" applyFont="1" applyFill="1" applyBorder="1">
      <alignment vertical="center"/>
    </xf>
    <xf numFmtId="2" fontId="20" fillId="6" borderId="4" xfId="10" applyNumberFormat="1" applyFont="1" applyFill="1" applyBorder="1" applyAlignment="1">
      <alignment vertical="center"/>
    </xf>
    <xf numFmtId="0" fontId="20" fillId="0" borderId="9" xfId="14" applyFont="1" applyBorder="1">
      <alignment vertical="center"/>
    </xf>
    <xf numFmtId="2" fontId="20" fillId="6" borderId="9" xfId="14" applyNumberFormat="1" applyFont="1" applyFill="1" applyBorder="1">
      <alignment vertical="center"/>
    </xf>
    <xf numFmtId="2" fontId="20" fillId="6" borderId="16" xfId="68" applyNumberFormat="1" applyFont="1" applyFill="1" applyBorder="1" applyAlignment="1">
      <alignment horizontal="center" vertical="center"/>
    </xf>
    <xf numFmtId="2" fontId="15" fillId="4" borderId="22" xfId="68" applyNumberFormat="1" applyFont="1" applyFill="1" applyBorder="1" applyAlignment="1">
      <alignment horizontal="center" vertical="center"/>
    </xf>
    <xf numFmtId="2" fontId="20" fillId="6" borderId="7" xfId="19" applyNumberFormat="1" applyFont="1" applyFill="1" applyBorder="1" applyAlignment="1">
      <alignment horizontal="center" vertical="center"/>
    </xf>
    <xf numFmtId="2" fontId="15" fillId="4" borderId="18" xfId="68" applyNumberFormat="1" applyFont="1" applyFill="1" applyBorder="1" applyAlignment="1">
      <alignment horizontal="center" vertical="center"/>
    </xf>
    <xf numFmtId="2" fontId="20" fillId="6" borderId="21" xfId="68" applyNumberFormat="1" applyFont="1" applyFill="1" applyBorder="1" applyAlignment="1">
      <alignment horizontal="center" vertical="center"/>
    </xf>
    <xf numFmtId="2" fontId="20" fillId="6" borderId="7" xfId="68" applyNumberFormat="1" applyFont="1" applyFill="1" applyBorder="1" applyAlignment="1">
      <alignment horizontal="center" vertical="center"/>
    </xf>
    <xf numFmtId="2" fontId="20" fillId="6" borderId="4" xfId="68" applyNumberFormat="1" applyFont="1" applyFill="1" applyBorder="1" applyAlignment="1">
      <alignment horizontal="center" vertical="center"/>
    </xf>
    <xf numFmtId="2" fontId="15" fillId="4" borderId="6" xfId="68" applyNumberFormat="1" applyFont="1" applyFill="1" applyBorder="1" applyAlignment="1">
      <alignment horizontal="center" vertical="center"/>
    </xf>
    <xf numFmtId="2" fontId="20" fillId="6" borderId="4" xfId="19" applyNumberFormat="1" applyFont="1" applyFill="1" applyBorder="1" applyAlignment="1">
      <alignment horizontal="center" vertical="center"/>
    </xf>
    <xf numFmtId="2" fontId="15" fillId="4" borderId="3" xfId="68" applyNumberFormat="1" applyFont="1" applyFill="1" applyBorder="1" applyAlignment="1">
      <alignment horizontal="center" vertical="center"/>
    </xf>
    <xf numFmtId="2" fontId="20" fillId="6" borderId="6" xfId="68" applyNumberFormat="1" applyFont="1" applyFill="1" applyBorder="1" applyAlignment="1">
      <alignment horizontal="center" vertical="center"/>
    </xf>
    <xf numFmtId="10" fontId="20" fillId="6" borderId="13" xfId="68" applyNumberFormat="1" applyFont="1" applyFill="1" applyBorder="1" applyAlignment="1">
      <alignment horizontal="center" vertical="center"/>
    </xf>
    <xf numFmtId="2" fontId="20" fillId="6" borderId="13" xfId="19" applyNumberFormat="1" applyFont="1" applyFill="1" applyBorder="1" applyAlignment="1">
      <alignment horizontal="center" vertical="center"/>
    </xf>
    <xf numFmtId="2" fontId="20" fillId="6" borderId="23" xfId="19" applyNumberFormat="1" applyFont="1" applyFill="1" applyBorder="1" applyAlignment="1">
      <alignment horizontal="center" vertical="center"/>
    </xf>
    <xf numFmtId="2" fontId="20" fillId="6" borderId="20" xfId="19" applyNumberFormat="1" applyFont="1" applyFill="1" applyBorder="1" applyAlignment="1">
      <alignment horizontal="center" vertical="center"/>
    </xf>
    <xf numFmtId="10" fontId="15" fillId="0" borderId="9" xfId="39" applyNumberFormat="1" applyFont="1" applyBorder="1" applyAlignment="1">
      <alignment vertical="center"/>
    </xf>
    <xf numFmtId="10" fontId="15" fillId="0" borderId="9" xfId="14" applyNumberFormat="1" applyFont="1" applyBorder="1">
      <alignment vertical="center"/>
    </xf>
    <xf numFmtId="10" fontId="20" fillId="6" borderId="9" xfId="14" applyNumberFormat="1" applyFont="1" applyFill="1" applyBorder="1">
      <alignment vertical="center"/>
    </xf>
    <xf numFmtId="2" fontId="15" fillId="0" borderId="9" xfId="14" applyNumberFormat="1" applyFont="1" applyBorder="1">
      <alignment vertical="center"/>
    </xf>
    <xf numFmtId="10" fontId="15" fillId="0" borderId="4" xfId="10" applyNumberFormat="1" applyFont="1" applyBorder="1" applyAlignment="1">
      <alignment vertical="center"/>
    </xf>
    <xf numFmtId="2" fontId="15" fillId="0" borderId="4" xfId="10" applyNumberFormat="1" applyFont="1" applyBorder="1" applyAlignment="1">
      <alignment vertical="center"/>
    </xf>
    <xf numFmtId="2" fontId="15" fillId="0" borderId="4" xfId="14" applyNumberFormat="1" applyFont="1" applyBorder="1" applyAlignment="1">
      <alignment horizontal="center" vertical="center"/>
    </xf>
    <xf numFmtId="2" fontId="20" fillId="6" borderId="4" xfId="14" applyNumberFormat="1" applyFont="1" applyFill="1" applyBorder="1" applyAlignment="1">
      <alignment horizontal="center" vertical="center"/>
    </xf>
    <xf numFmtId="2" fontId="15" fillId="0" borderId="4" xfId="14" applyNumberFormat="1" applyFont="1" applyBorder="1">
      <alignment vertical="center"/>
    </xf>
    <xf numFmtId="10" fontId="20" fillId="6" borderId="4" xfId="14" applyNumberFormat="1" applyFont="1" applyFill="1" applyBorder="1">
      <alignment vertical="center"/>
    </xf>
    <xf numFmtId="2" fontId="20" fillId="6" borderId="4" xfId="10" applyNumberFormat="1" applyFont="1" applyFill="1" applyBorder="1"/>
    <xf numFmtId="2" fontId="15" fillId="0" borderId="4" xfId="10" applyNumberFormat="1" applyFont="1" applyBorder="1"/>
    <xf numFmtId="2" fontId="15" fillId="0" borderId="4" xfId="10" applyNumberFormat="1" applyFont="1" applyBorder="1" applyAlignment="1">
      <alignment horizontal="left" vertical="center"/>
    </xf>
    <xf numFmtId="2" fontId="15" fillId="0" borderId="4" xfId="10" applyNumberFormat="1" applyFont="1" applyBorder="1" applyAlignment="1">
      <alignment horizontal="right" vertical="center"/>
    </xf>
    <xf numFmtId="2" fontId="15" fillId="0" borderId="4" xfId="10" applyNumberFormat="1" applyFont="1" applyBorder="1" applyAlignment="1">
      <alignment horizontal="left" vertical="center" wrapText="1"/>
    </xf>
    <xf numFmtId="2" fontId="20" fillId="0" borderId="4" xfId="14" applyNumberFormat="1" applyFont="1" applyBorder="1" applyAlignment="1">
      <alignment horizontal="center" vertical="center"/>
    </xf>
    <xf numFmtId="2" fontId="20" fillId="5" borderId="4" xfId="14" applyNumberFormat="1" applyFont="1" applyFill="1" applyBorder="1" applyAlignment="1">
      <alignment horizontal="center" vertical="center"/>
    </xf>
    <xf numFmtId="2" fontId="20" fillId="0" borderId="4" xfId="10" applyNumberFormat="1" applyFont="1" applyBorder="1" applyAlignment="1">
      <alignment horizontal="center" vertical="center" wrapText="1"/>
    </xf>
    <xf numFmtId="2" fontId="20" fillId="0" borderId="4" xfId="10" applyNumberFormat="1" applyFont="1" applyBorder="1" applyAlignment="1">
      <alignment vertical="center"/>
    </xf>
    <xf numFmtId="2" fontId="15" fillId="0" borderId="4" xfId="14" applyNumberFormat="1" applyFont="1" applyBorder="1" applyAlignment="1">
      <alignment horizontal="right" vertical="center"/>
    </xf>
    <xf numFmtId="0" fontId="15" fillId="0" borderId="4" xfId="10" applyFont="1" applyBorder="1" applyAlignment="1">
      <alignment horizontal="right" vertical="center" wrapText="1"/>
    </xf>
    <xf numFmtId="2" fontId="15" fillId="0" borderId="4" xfId="10" applyNumberFormat="1" applyFont="1" applyBorder="1" applyAlignment="1">
      <alignment horizontal="right" vertical="center" wrapText="1"/>
    </xf>
    <xf numFmtId="2" fontId="20" fillId="6" borderId="9" xfId="14" applyNumberFormat="1" applyFont="1" applyFill="1" applyBorder="1" applyAlignment="1">
      <alignment horizontal="right" vertical="center"/>
    </xf>
    <xf numFmtId="2" fontId="15" fillId="6" borderId="9" xfId="14" applyNumberFormat="1" applyFont="1" applyFill="1" applyBorder="1">
      <alignment vertical="center"/>
    </xf>
    <xf numFmtId="0" fontId="15" fillId="0" borderId="0" xfId="10" applyFont="1" applyAlignment="1">
      <alignment horizontal="center" vertical="center"/>
    </xf>
    <xf numFmtId="10" fontId="20" fillId="6" borderId="4" xfId="10" applyNumberFormat="1" applyFont="1" applyFill="1" applyBorder="1" applyAlignment="1">
      <alignment vertical="center"/>
    </xf>
    <xf numFmtId="2" fontId="15" fillId="6" borderId="4" xfId="10" applyNumberFormat="1" applyFont="1" applyFill="1" applyBorder="1" applyAlignment="1">
      <alignment horizontal="center" vertical="center"/>
    </xf>
    <xf numFmtId="2" fontId="15" fillId="6" borderId="4" xfId="10" applyNumberFormat="1" applyFont="1" applyFill="1" applyBorder="1" applyAlignment="1">
      <alignment horizontal="center" vertical="center" wrapText="1"/>
    </xf>
    <xf numFmtId="2" fontId="27" fillId="0" borderId="4" xfId="10" applyNumberFormat="1" applyFont="1" applyBorder="1" applyAlignment="1">
      <alignment horizontal="center" vertical="center"/>
    </xf>
    <xf numFmtId="2" fontId="27" fillId="0" borderId="4" xfId="10" applyNumberFormat="1" applyFont="1" applyBorder="1" applyAlignment="1">
      <alignment vertical="center"/>
    </xf>
    <xf numFmtId="164" fontId="27" fillId="0" borderId="4" xfId="71" applyNumberFormat="1" applyFont="1" applyBorder="1" applyAlignment="1">
      <alignment horizontal="center" vertical="center"/>
    </xf>
    <xf numFmtId="2" fontId="28" fillId="0" borderId="4" xfId="10" applyNumberFormat="1" applyFont="1" applyBorder="1" applyAlignment="1">
      <alignment horizontal="right" vertical="center"/>
    </xf>
    <xf numFmtId="0" fontId="27" fillId="0" borderId="8" xfId="10" applyFont="1" applyBorder="1" applyAlignment="1">
      <alignment horizontal="center" vertical="center" wrapText="1"/>
    </xf>
    <xf numFmtId="0" fontId="27" fillId="0" borderId="4" xfId="10" applyFont="1" applyBorder="1" applyAlignment="1">
      <alignment vertical="center" wrapText="1"/>
    </xf>
    <xf numFmtId="0" fontId="27" fillId="0" borderId="4" xfId="10" applyFont="1" applyBorder="1" applyAlignment="1">
      <alignment horizontal="center" vertical="center" wrapText="1"/>
    </xf>
    <xf numFmtId="2" fontId="27" fillId="0" borderId="4" xfId="10" applyNumberFormat="1" applyFont="1" applyBorder="1" applyAlignment="1">
      <alignment horizontal="right" vertical="center"/>
    </xf>
    <xf numFmtId="2" fontId="28" fillId="0" borderId="4" xfId="10" applyNumberFormat="1" applyFont="1" applyBorder="1" applyAlignment="1">
      <alignment vertical="center"/>
    </xf>
    <xf numFmtId="2" fontId="15" fillId="0" borderId="0" xfId="10" applyNumberFormat="1" applyFont="1" applyAlignment="1">
      <alignment vertical="center"/>
    </xf>
    <xf numFmtId="2" fontId="20" fillId="0" borderId="0" xfId="10" applyNumberFormat="1" applyFont="1" applyAlignment="1">
      <alignment horizontal="centerContinuous" vertical="center"/>
    </xf>
    <xf numFmtId="2" fontId="20" fillId="0" borderId="0" xfId="10" applyNumberFormat="1" applyFont="1" applyAlignment="1">
      <alignment horizontal="center" vertical="center"/>
    </xf>
    <xf numFmtId="2" fontId="20" fillId="0" borderId="0" xfId="10" applyNumberFormat="1" applyFont="1" applyAlignment="1">
      <alignment horizontal="left" vertical="center"/>
    </xf>
    <xf numFmtId="2" fontId="20" fillId="0" borderId="0" xfId="10" applyNumberFormat="1" applyFont="1" applyAlignment="1">
      <alignment horizontal="right" vertical="center"/>
    </xf>
    <xf numFmtId="0" fontId="24" fillId="0" borderId="4" xfId="10" applyFont="1" applyBorder="1" applyAlignment="1">
      <alignment horizontal="center" vertical="center" wrapText="1"/>
    </xf>
    <xf numFmtId="2" fontId="23" fillId="0" borderId="0" xfId="10" applyNumberFormat="1" applyFont="1" applyAlignment="1">
      <alignment horizontal="left" vertical="center"/>
    </xf>
    <xf numFmtId="2" fontId="20" fillId="0" borderId="4" xfId="10" applyNumberFormat="1" applyFont="1" applyBorder="1" applyAlignment="1">
      <alignment horizontal="right" vertical="center"/>
    </xf>
    <xf numFmtId="2" fontId="15" fillId="0" borderId="4" xfId="10" applyNumberFormat="1" applyFont="1" applyBorder="1" applyAlignment="1">
      <alignment vertical="top" wrapText="1"/>
    </xf>
    <xf numFmtId="2" fontId="20" fillId="7" borderId="4" xfId="68" applyNumberFormat="1" applyFont="1" applyFill="1" applyBorder="1" applyAlignment="1">
      <alignment horizontal="center" vertical="center"/>
    </xf>
    <xf numFmtId="0" fontId="1" fillId="0" borderId="0" xfId="72"/>
    <xf numFmtId="0" fontId="1" fillId="0" borderId="4" xfId="72" applyBorder="1"/>
    <xf numFmtId="43" fontId="15" fillId="0" borderId="4" xfId="73" applyFont="1" applyBorder="1" applyAlignment="1">
      <alignment vertical="center"/>
    </xf>
    <xf numFmtId="0" fontId="15" fillId="7" borderId="4" xfId="10" applyFont="1" applyFill="1" applyBorder="1" applyAlignment="1">
      <alignment vertical="center"/>
    </xf>
    <xf numFmtId="2" fontId="15" fillId="0" borderId="9" xfId="14" applyNumberFormat="1" applyFont="1" applyBorder="1" applyAlignment="1">
      <alignment horizontal="right" vertical="center"/>
    </xf>
    <xf numFmtId="2" fontId="20" fillId="7" borderId="13" xfId="19" applyNumberFormat="1" applyFont="1" applyFill="1" applyBorder="1" applyAlignment="1">
      <alignment horizontal="center" vertical="center"/>
    </xf>
    <xf numFmtId="43" fontId="15" fillId="5" borderId="4" xfId="10" applyNumberFormat="1" applyFont="1" applyFill="1" applyBorder="1"/>
    <xf numFmtId="43" fontId="20" fillId="5" borderId="4" xfId="10" applyNumberFormat="1" applyFont="1" applyFill="1" applyBorder="1"/>
    <xf numFmtId="43" fontId="15" fillId="5" borderId="4" xfId="14" applyNumberFormat="1" applyFont="1" applyFill="1" applyBorder="1">
      <alignment vertical="center"/>
    </xf>
    <xf numFmtId="0" fontId="15" fillId="0" borderId="4" xfId="0" applyFont="1" applyBorder="1" applyAlignment="1">
      <alignment wrapText="1"/>
    </xf>
    <xf numFmtId="0" fontId="29" fillId="0" borderId="4" xfId="0" applyFont="1" applyBorder="1"/>
    <xf numFmtId="0" fontId="15" fillId="0" borderId="4" xfId="0" applyFont="1" applyBorder="1"/>
    <xf numFmtId="10" fontId="29" fillId="0" borderId="4" xfId="0" applyNumberFormat="1" applyFont="1" applyBorder="1"/>
    <xf numFmtId="0" fontId="29" fillId="0" borderId="4" xfId="0" applyFont="1" applyBorder="1" applyAlignment="1">
      <alignment wrapText="1"/>
    </xf>
    <xf numFmtId="10" fontId="29" fillId="0" borderId="0" xfId="0" applyNumberFormat="1" applyFont="1"/>
    <xf numFmtId="9" fontId="29" fillId="0" borderId="4" xfId="0" applyNumberFormat="1" applyFont="1" applyBorder="1"/>
    <xf numFmtId="10" fontId="15" fillId="0" borderId="4" xfId="0" applyNumberFormat="1" applyFont="1" applyBorder="1"/>
    <xf numFmtId="2" fontId="15" fillId="0" borderId="0" xfId="14" applyNumberFormat="1" applyFont="1">
      <alignment vertical="center"/>
    </xf>
    <xf numFmtId="0" fontId="20" fillId="0" borderId="9" xfId="0" applyFont="1" applyBorder="1" applyAlignment="1">
      <alignment horizontal="center" vertical="center"/>
    </xf>
    <xf numFmtId="0" fontId="20" fillId="0" borderId="3" xfId="14" applyFont="1" applyBorder="1" applyAlignment="1">
      <alignment horizontal="center" vertical="center" wrapText="1"/>
    </xf>
    <xf numFmtId="2" fontId="30" fillId="6" borderId="4" xfId="14" applyNumberFormat="1" applyFont="1" applyFill="1" applyBorder="1" applyAlignment="1">
      <alignment horizontal="center" vertical="center"/>
    </xf>
    <xf numFmtId="168" fontId="15" fillId="0" borderId="0" xfId="10" applyNumberFormat="1" applyFont="1" applyAlignment="1">
      <alignment vertical="center"/>
    </xf>
    <xf numFmtId="170" fontId="15" fillId="0" borderId="0" xfId="10" applyNumberFormat="1" applyFont="1" applyAlignment="1">
      <alignment vertical="center"/>
    </xf>
    <xf numFmtId="171" fontId="15" fillId="0" borderId="0" xfId="10" applyNumberFormat="1" applyFont="1" applyAlignment="1">
      <alignment vertical="center"/>
    </xf>
    <xf numFmtId="2" fontId="15" fillId="7" borderId="4" xfId="68" applyNumberFormat="1" applyFont="1" applyFill="1" applyBorder="1" applyAlignment="1">
      <alignment horizontal="center" vertical="center"/>
    </xf>
    <xf numFmtId="172" fontId="15" fillId="0" borderId="0" xfId="14" applyNumberFormat="1" applyFont="1">
      <alignment vertical="center"/>
    </xf>
    <xf numFmtId="0" fontId="12" fillId="0" borderId="0" xfId="14" applyFont="1" applyAlignment="1">
      <alignment horizontal="center" vertical="center"/>
    </xf>
    <xf numFmtId="0" fontId="7" fillId="0" borderId="0" xfId="10" applyFont="1" applyAlignment="1">
      <alignment horizontal="center" vertical="center"/>
    </xf>
    <xf numFmtId="0" fontId="12" fillId="0" borderId="0" xfId="10" applyFont="1" applyAlignment="1">
      <alignment horizontal="center" vertical="center" wrapText="1"/>
    </xf>
    <xf numFmtId="0" fontId="7" fillId="0" borderId="0" xfId="10" applyFont="1" applyAlignment="1">
      <alignment horizontal="center" vertical="center" wrapText="1"/>
    </xf>
    <xf numFmtId="0" fontId="20" fillId="0" borderId="8" xfId="14" applyFont="1" applyBorder="1" applyAlignment="1">
      <alignment horizontal="center" vertical="center"/>
    </xf>
    <xf numFmtId="0" fontId="20" fillId="0" borderId="10" xfId="14" applyFont="1" applyBorder="1" applyAlignment="1">
      <alignment horizontal="center" vertical="center"/>
    </xf>
    <xf numFmtId="0" fontId="20" fillId="0" borderId="7" xfId="14" applyFont="1" applyBorder="1" applyAlignment="1">
      <alignment horizontal="center" vertical="center"/>
    </xf>
    <xf numFmtId="0" fontId="20" fillId="0" borderId="8" xfId="14" applyFont="1" applyBorder="1" applyAlignment="1">
      <alignment horizontal="center" vertical="center" wrapText="1"/>
    </xf>
    <xf numFmtId="0" fontId="20" fillId="0" borderId="10" xfId="14" applyFont="1" applyBorder="1" applyAlignment="1">
      <alignment horizontal="center" vertical="center" wrapText="1"/>
    </xf>
    <xf numFmtId="0" fontId="15" fillId="0" borderId="7" xfId="10" applyFont="1" applyBorder="1" applyAlignment="1">
      <alignment horizontal="center" vertical="center" wrapText="1"/>
    </xf>
    <xf numFmtId="0" fontId="20" fillId="0" borderId="4" xfId="14" applyFont="1" applyBorder="1" applyAlignment="1">
      <alignment horizontal="center" vertical="center"/>
    </xf>
    <xf numFmtId="0" fontId="15" fillId="0" borderId="4" xfId="10" applyFont="1" applyBorder="1" applyAlignment="1">
      <alignment horizontal="center" vertical="center"/>
    </xf>
    <xf numFmtId="0" fontId="20" fillId="0" borderId="4" xfId="14" applyFont="1" applyBorder="1" applyAlignment="1">
      <alignment horizontal="center" vertical="center" wrapText="1"/>
    </xf>
    <xf numFmtId="0" fontId="15" fillId="0" borderId="4" xfId="10" applyFont="1" applyBorder="1" applyAlignment="1">
      <alignment horizontal="center" vertical="center" wrapText="1"/>
    </xf>
    <xf numFmtId="0" fontId="20" fillId="0" borderId="6" xfId="14" applyFont="1" applyBorder="1" applyAlignment="1">
      <alignment horizontal="center" vertical="center" wrapText="1"/>
    </xf>
    <xf numFmtId="0" fontId="20" fillId="0" borderId="3" xfId="14" applyFont="1" applyBorder="1" applyAlignment="1">
      <alignment horizontal="center" vertical="center" wrapText="1"/>
    </xf>
    <xf numFmtId="0" fontId="20" fillId="0" borderId="9" xfId="14" applyFont="1" applyBorder="1" applyAlignment="1">
      <alignment horizontal="center" vertical="center" wrapText="1"/>
    </xf>
    <xf numFmtId="0" fontId="20" fillId="0" borderId="0" xfId="14" applyFont="1" applyAlignment="1">
      <alignment horizontal="center" vertical="center"/>
    </xf>
    <xf numFmtId="0" fontId="20" fillId="0" borderId="0" xfId="10" applyFont="1" applyAlignment="1">
      <alignment horizontal="center" vertical="center"/>
    </xf>
    <xf numFmtId="0" fontId="20" fillId="0" borderId="8" xfId="10" applyFont="1" applyBorder="1" applyAlignment="1">
      <alignment horizontal="center" vertical="center" wrapText="1"/>
    </xf>
    <xf numFmtId="0" fontId="20" fillId="0" borderId="10" xfId="10" applyFont="1" applyBorder="1" applyAlignment="1">
      <alignment horizontal="center" vertical="center" wrapText="1"/>
    </xf>
    <xf numFmtId="0" fontId="20" fillId="0" borderId="7" xfId="10" applyFont="1" applyBorder="1" applyAlignment="1">
      <alignment horizontal="center" vertical="center" wrapText="1"/>
    </xf>
    <xf numFmtId="0" fontId="20" fillId="0" borderId="0" xfId="10" applyFont="1" applyAlignment="1">
      <alignment horizontal="left" vertical="center"/>
    </xf>
    <xf numFmtId="0" fontId="20" fillId="0" borderId="4" xfId="10" applyFont="1" applyBorder="1" applyAlignment="1">
      <alignment horizontal="center" vertical="center" wrapText="1"/>
    </xf>
    <xf numFmtId="0" fontId="20" fillId="0" borderId="4" xfId="10" applyFont="1" applyBorder="1" applyAlignment="1">
      <alignment horizontal="center" vertical="center"/>
    </xf>
    <xf numFmtId="0" fontId="15" fillId="0" borderId="4" xfId="10" applyFont="1" applyBorder="1" applyAlignment="1">
      <alignment vertical="center"/>
    </xf>
    <xf numFmtId="0" fontId="20" fillId="0" borderId="0" xfId="10" applyFont="1" applyAlignment="1">
      <alignment horizontal="center"/>
    </xf>
    <xf numFmtId="0" fontId="20" fillId="4" borderId="17" xfId="68" applyFont="1" applyFill="1" applyBorder="1" applyAlignment="1">
      <alignment horizontal="center" vertical="center"/>
    </xf>
    <xf numFmtId="0" fontId="20" fillId="4" borderId="18" xfId="68" applyFont="1" applyFill="1" applyBorder="1" applyAlignment="1">
      <alignment horizontal="center" vertical="center"/>
    </xf>
    <xf numFmtId="0" fontId="20" fillId="4" borderId="19" xfId="68" applyFont="1" applyFill="1" applyBorder="1" applyAlignment="1">
      <alignment horizontal="center" vertical="center"/>
    </xf>
    <xf numFmtId="0" fontId="20" fillId="4" borderId="5" xfId="68" applyFont="1" applyFill="1" applyBorder="1" applyAlignment="1">
      <alignment horizontal="center" vertical="center" wrapText="1"/>
    </xf>
    <xf numFmtId="0" fontId="20" fillId="4" borderId="12" xfId="68" applyFont="1" applyFill="1" applyBorder="1" applyAlignment="1">
      <alignment horizontal="center" vertical="center" wrapText="1"/>
    </xf>
    <xf numFmtId="0" fontId="20" fillId="4" borderId="4" xfId="68" quotePrefix="1" applyFont="1" applyFill="1" applyBorder="1" applyAlignment="1">
      <alignment horizontal="center" vertical="center" wrapText="1"/>
    </xf>
    <xf numFmtId="0" fontId="20" fillId="4" borderId="13" xfId="68" quotePrefix="1" applyFont="1" applyFill="1" applyBorder="1" applyAlignment="1">
      <alignment horizontal="center" vertical="center" wrapText="1"/>
    </xf>
    <xf numFmtId="0" fontId="20" fillId="4" borderId="4" xfId="68" applyFont="1" applyFill="1" applyBorder="1" applyAlignment="1">
      <alignment horizontal="center" vertical="center" wrapText="1"/>
    </xf>
    <xf numFmtId="0" fontId="20" fillId="4" borderId="13" xfId="68" applyFont="1" applyFill="1" applyBorder="1" applyAlignment="1">
      <alignment horizontal="center" vertical="center" wrapText="1"/>
    </xf>
    <xf numFmtId="0" fontId="20" fillId="4" borderId="11" xfId="68" applyFont="1" applyFill="1" applyBorder="1" applyAlignment="1">
      <alignment horizontal="center" vertical="center" wrapText="1"/>
    </xf>
    <xf numFmtId="0" fontId="20" fillId="0" borderId="6" xfId="10" applyFont="1" applyBorder="1" applyAlignment="1">
      <alignment horizontal="center" vertical="center"/>
    </xf>
    <xf numFmtId="0" fontId="20" fillId="0" borderId="3" xfId="10" applyFont="1" applyBorder="1" applyAlignment="1">
      <alignment horizontal="center" vertical="center"/>
    </xf>
    <xf numFmtId="0" fontId="20" fillId="0" borderId="9" xfId="10" applyFont="1" applyBorder="1" applyAlignment="1">
      <alignment horizontal="center" vertical="center"/>
    </xf>
    <xf numFmtId="0" fontId="12" fillId="0" borderId="0" xfId="14" applyFont="1" applyAlignment="1">
      <alignment horizontal="center" vertical="top"/>
    </xf>
    <xf numFmtId="0" fontId="8" fillId="0" borderId="4" xfId="10" applyBorder="1" applyAlignment="1">
      <alignment horizontal="center" vertical="center" wrapText="1"/>
    </xf>
    <xf numFmtId="0" fontId="8" fillId="0" borderId="4" xfId="10" applyBorder="1" applyAlignment="1">
      <alignment horizontal="center" vertical="center"/>
    </xf>
    <xf numFmtId="2" fontId="20" fillId="0" borderId="6" xfId="10" applyNumberFormat="1" applyFont="1" applyBorder="1" applyAlignment="1">
      <alignment horizontal="center" vertical="center"/>
    </xf>
    <xf numFmtId="2" fontId="20" fillId="0" borderId="3" xfId="10" applyNumberFormat="1" applyFont="1" applyBorder="1" applyAlignment="1">
      <alignment horizontal="center" vertical="center"/>
    </xf>
    <xf numFmtId="2" fontId="20" fillId="0" borderId="9" xfId="10" applyNumberFormat="1" applyFont="1" applyBorder="1" applyAlignment="1">
      <alignment horizontal="center" vertical="center"/>
    </xf>
    <xf numFmtId="2" fontId="20" fillId="0" borderId="0" xfId="14" applyNumberFormat="1" applyFont="1" applyAlignment="1">
      <alignment horizontal="center" vertical="center"/>
    </xf>
    <xf numFmtId="2" fontId="20" fillId="0" borderId="0" xfId="10" applyNumberFormat="1" applyFont="1" applyAlignment="1">
      <alignment horizontal="center" vertical="center"/>
    </xf>
  </cellXfs>
  <cellStyles count="74">
    <cellStyle name="Body" xfId="1"/>
    <cellStyle name="Comma" xfId="71" builtinId="3"/>
    <cellStyle name="Comma  - Style1" xfId="2"/>
    <cellStyle name="Comma 10" xfId="73"/>
    <cellStyle name="Comma 11 2" xfId="19"/>
    <cellStyle name="Comma 2" xfId="24"/>
    <cellStyle name="Comma 2 2" xfId="25"/>
    <cellStyle name="Comma 2 2 2" xfId="63"/>
    <cellStyle name="Comma 2 3" xfId="26"/>
    <cellStyle name="Comma 2 4" xfId="56"/>
    <cellStyle name="Comma 3" xfId="27"/>
    <cellStyle name="Comma 3 2" xfId="62"/>
    <cellStyle name="Comma 4" xfId="28"/>
    <cellStyle name="Comma 4 2" xfId="64"/>
    <cellStyle name="Comma 5" xfId="29"/>
    <cellStyle name="Comma 6" xfId="48"/>
    <cellStyle name="Comma 6 2" xfId="49"/>
    <cellStyle name="Comma 6 3" xfId="50"/>
    <cellStyle name="Comma 6 4" xfId="51"/>
    <cellStyle name="Comma 7" xfId="21"/>
    <cellStyle name="Comma 8" xfId="65"/>
    <cellStyle name="Curren - Style2" xfId="3"/>
    <cellStyle name="Grey" xfId="4"/>
    <cellStyle name="Header1" xfId="5"/>
    <cellStyle name="Header2" xfId="6"/>
    <cellStyle name="Input [yellow]" xfId="7"/>
    <cellStyle name="no dec" xfId="8"/>
    <cellStyle name="Normal" xfId="0" builtinId="0"/>
    <cellStyle name="Normal - Style1" xfId="9"/>
    <cellStyle name="Normal 10" xfId="67"/>
    <cellStyle name="Normal 11" xfId="69"/>
    <cellStyle name="Normal 12" xfId="70"/>
    <cellStyle name="Normal 13" xfId="72"/>
    <cellStyle name="Normal 14 2" xfId="68"/>
    <cellStyle name="Normal 15" xfId="18"/>
    <cellStyle name="Normal 18" xfId="61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4" xfId="52"/>
    <cellStyle name="Normal 2_ARR FINAL" xfId="32"/>
    <cellStyle name="Normal 3" xfId="13"/>
    <cellStyle name="Normal 3 2" xfId="33"/>
    <cellStyle name="Normal 3 2 2" xfId="58"/>
    <cellStyle name="Normal 39" xfId="22"/>
    <cellStyle name="Normal 4" xfId="34"/>
    <cellStyle name="Normal 4 2" xfId="59"/>
    <cellStyle name="Normal 5" xfId="35"/>
    <cellStyle name="Normal 5 2" xfId="36"/>
    <cellStyle name="Normal 6" xfId="37"/>
    <cellStyle name="Normal 7" xfId="38"/>
    <cellStyle name="Normal 8" xfId="53"/>
    <cellStyle name="Normal 9" xfId="54"/>
    <cellStyle name="Normal_FORMATS 5 YEAR ALOKE 2" xfId="14"/>
    <cellStyle name="Percent [0]_#6 Temps &amp; Contractors" xfId="15"/>
    <cellStyle name="Percent [2]" xfId="16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41"/>
  <sheetViews>
    <sheetView showGridLines="0" zoomScale="80" zoomScaleNormal="80" zoomScaleSheetLayoutView="80" workbookViewId="0">
      <selection activeCell="G24" sqref="G24"/>
    </sheetView>
  </sheetViews>
  <sheetFormatPr defaultColWidth="9.28515625" defaultRowHeight="15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15" width="18.7109375" style="6" customWidth="1"/>
    <col min="16" max="16384" width="9.28515625" style="6"/>
  </cols>
  <sheetData>
    <row r="2" spans="2:15" ht="15.75">
      <c r="B2" s="228" t="s">
        <v>398</v>
      </c>
      <c r="C2" s="228"/>
      <c r="D2" s="229"/>
      <c r="E2" s="229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ht="15.75">
      <c r="B3" s="228" t="s">
        <v>381</v>
      </c>
      <c r="C3" s="228"/>
      <c r="D3" s="229"/>
      <c r="E3" s="229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s="15" customFormat="1" ht="15.75">
      <c r="B4" s="230" t="s">
        <v>329</v>
      </c>
      <c r="C4" s="230"/>
      <c r="D4" s="231"/>
      <c r="E4" s="231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5" ht="15.75">
      <c r="D5" s="88" t="s">
        <v>331</v>
      </c>
    </row>
    <row r="6" spans="2:15" ht="15.75">
      <c r="N6" s="7"/>
    </row>
    <row r="7" spans="2:15" ht="15.75">
      <c r="B7" s="17" t="s">
        <v>186</v>
      </c>
      <c r="C7" s="17" t="s">
        <v>330</v>
      </c>
      <c r="D7" s="18" t="s">
        <v>7</v>
      </c>
      <c r="E7" s="18" t="s">
        <v>332</v>
      </c>
    </row>
    <row r="8" spans="2:15">
      <c r="B8" s="8">
        <v>1</v>
      </c>
      <c r="C8" s="8" t="s">
        <v>6</v>
      </c>
      <c r="D8" s="9" t="s">
        <v>334</v>
      </c>
      <c r="E8" s="10"/>
    </row>
    <row r="9" spans="2:15">
      <c r="B9" s="8">
        <f>B8+1</f>
        <v>2</v>
      </c>
      <c r="C9" s="8" t="s">
        <v>275</v>
      </c>
      <c r="D9" s="9" t="s">
        <v>336</v>
      </c>
      <c r="E9" s="10"/>
    </row>
    <row r="10" spans="2:15">
      <c r="B10" s="8">
        <f>B9+1</f>
        <v>3</v>
      </c>
      <c r="C10" s="8" t="s">
        <v>24</v>
      </c>
      <c r="D10" s="9" t="s">
        <v>337</v>
      </c>
      <c r="E10" s="10"/>
    </row>
    <row r="11" spans="2:15">
      <c r="B11" s="8">
        <f>B10+1</f>
        <v>4</v>
      </c>
      <c r="C11" s="8" t="s">
        <v>25</v>
      </c>
      <c r="D11" s="9" t="s">
        <v>338</v>
      </c>
      <c r="E11" s="10"/>
    </row>
    <row r="12" spans="2:15">
      <c r="B12" s="8">
        <f>B11+1</f>
        <v>5</v>
      </c>
      <c r="C12" s="8" t="s">
        <v>276</v>
      </c>
      <c r="D12" s="9" t="s">
        <v>339</v>
      </c>
      <c r="E12" s="10"/>
    </row>
    <row r="13" spans="2:15">
      <c r="B13" s="8">
        <f t="shared" ref="B13:B39" si="0">B12+1</f>
        <v>6</v>
      </c>
      <c r="C13" s="8" t="s">
        <v>22</v>
      </c>
      <c r="D13" s="9" t="s">
        <v>211</v>
      </c>
      <c r="E13" s="10"/>
    </row>
    <row r="14" spans="2:15">
      <c r="B14" s="8">
        <f t="shared" si="0"/>
        <v>7</v>
      </c>
      <c r="C14" s="8" t="s">
        <v>27</v>
      </c>
      <c r="D14" s="9" t="s">
        <v>340</v>
      </c>
      <c r="E14" s="10"/>
    </row>
    <row r="15" spans="2:15">
      <c r="B15" s="8">
        <f t="shared" si="0"/>
        <v>8</v>
      </c>
      <c r="C15" s="8" t="s">
        <v>28</v>
      </c>
      <c r="D15" s="11" t="s">
        <v>183</v>
      </c>
      <c r="E15" s="10"/>
    </row>
    <row r="16" spans="2:15">
      <c r="B16" s="8">
        <f t="shared" si="0"/>
        <v>9</v>
      </c>
      <c r="C16" s="8" t="s">
        <v>23</v>
      </c>
      <c r="D16" s="11" t="s">
        <v>341</v>
      </c>
      <c r="E16" s="10"/>
    </row>
    <row r="17" spans="2:5">
      <c r="B17" s="8">
        <f t="shared" si="0"/>
        <v>10</v>
      </c>
      <c r="C17" s="8" t="s">
        <v>29</v>
      </c>
      <c r="D17" s="9" t="s">
        <v>238</v>
      </c>
      <c r="E17" s="10"/>
    </row>
    <row r="18" spans="2:5">
      <c r="B18" s="8">
        <f t="shared" si="0"/>
        <v>11</v>
      </c>
      <c r="C18" s="8" t="s">
        <v>30</v>
      </c>
      <c r="D18" s="11" t="s">
        <v>294</v>
      </c>
      <c r="E18" s="10"/>
    </row>
    <row r="19" spans="2:5">
      <c r="B19" s="8">
        <f t="shared" si="0"/>
        <v>12</v>
      </c>
      <c r="C19" s="8" t="s">
        <v>31</v>
      </c>
      <c r="D19" s="11" t="s">
        <v>239</v>
      </c>
      <c r="E19" s="10"/>
    </row>
    <row r="20" spans="2:5">
      <c r="B20" s="8">
        <f t="shared" si="0"/>
        <v>13</v>
      </c>
      <c r="C20" s="8" t="s">
        <v>32</v>
      </c>
      <c r="D20" s="11" t="s">
        <v>152</v>
      </c>
      <c r="E20" s="10"/>
    </row>
    <row r="21" spans="2:5">
      <c r="B21" s="8">
        <f t="shared" si="0"/>
        <v>14</v>
      </c>
      <c r="C21" s="8" t="s">
        <v>33</v>
      </c>
      <c r="D21" s="11" t="s">
        <v>26</v>
      </c>
      <c r="E21" s="10"/>
    </row>
    <row r="22" spans="2:5">
      <c r="B22" s="8">
        <f t="shared" si="0"/>
        <v>15</v>
      </c>
      <c r="C22" s="8" t="s">
        <v>34</v>
      </c>
      <c r="D22" s="9" t="s">
        <v>342</v>
      </c>
      <c r="E22" s="10"/>
    </row>
    <row r="23" spans="2:5">
      <c r="B23" s="8">
        <f t="shared" si="0"/>
        <v>16</v>
      </c>
      <c r="C23" s="8" t="s">
        <v>35</v>
      </c>
      <c r="D23" s="9" t="s">
        <v>343</v>
      </c>
      <c r="E23" s="10"/>
    </row>
    <row r="24" spans="2:5">
      <c r="B24" s="8">
        <f t="shared" si="0"/>
        <v>17</v>
      </c>
      <c r="C24" s="8" t="s">
        <v>153</v>
      </c>
      <c r="D24" s="9" t="s">
        <v>242</v>
      </c>
      <c r="E24" s="10"/>
    </row>
    <row r="25" spans="2:5">
      <c r="B25" s="8">
        <f t="shared" si="0"/>
        <v>18</v>
      </c>
      <c r="C25" s="8" t="s">
        <v>162</v>
      </c>
      <c r="D25" s="9" t="s">
        <v>344</v>
      </c>
      <c r="E25" s="10"/>
    </row>
    <row r="26" spans="2:5">
      <c r="B26" s="8">
        <f t="shared" si="0"/>
        <v>19</v>
      </c>
      <c r="C26" s="8" t="s">
        <v>333</v>
      </c>
      <c r="D26" s="9" t="s">
        <v>220</v>
      </c>
      <c r="E26" s="10"/>
    </row>
    <row r="27" spans="2:5">
      <c r="B27" s="8">
        <f t="shared" si="0"/>
        <v>20</v>
      </c>
      <c r="C27" s="8" t="s">
        <v>213</v>
      </c>
      <c r="D27" s="9" t="s">
        <v>345</v>
      </c>
      <c r="E27" s="10"/>
    </row>
    <row r="28" spans="2:5">
      <c r="B28" s="8">
        <f t="shared" si="0"/>
        <v>21</v>
      </c>
      <c r="C28" s="8" t="s">
        <v>214</v>
      </c>
      <c r="D28" s="11" t="s">
        <v>346</v>
      </c>
      <c r="E28" s="10"/>
    </row>
    <row r="29" spans="2:5" ht="15.75">
      <c r="B29" s="12"/>
      <c r="C29" s="12"/>
      <c r="D29" s="13" t="s">
        <v>219</v>
      </c>
      <c r="E29" s="14"/>
    </row>
    <row r="30" spans="2:5">
      <c r="B30" s="8">
        <f>B28+1</f>
        <v>22</v>
      </c>
      <c r="C30" s="8" t="s">
        <v>352</v>
      </c>
      <c r="D30" s="9" t="s">
        <v>360</v>
      </c>
      <c r="E30" s="10"/>
    </row>
    <row r="31" spans="2:5">
      <c r="B31" s="8">
        <f>B30+1</f>
        <v>23</v>
      </c>
      <c r="C31" s="8" t="s">
        <v>353</v>
      </c>
      <c r="D31" s="9" t="s">
        <v>361</v>
      </c>
      <c r="E31" s="10"/>
    </row>
    <row r="32" spans="2:5">
      <c r="B32" s="8">
        <f>B31+1</f>
        <v>24</v>
      </c>
      <c r="C32" s="8" t="s">
        <v>350</v>
      </c>
      <c r="D32" s="9" t="s">
        <v>178</v>
      </c>
      <c r="E32" s="10"/>
    </row>
    <row r="33" spans="2:5">
      <c r="B33" s="8">
        <f t="shared" si="0"/>
        <v>25</v>
      </c>
      <c r="C33" s="8" t="s">
        <v>351</v>
      </c>
      <c r="D33" s="9" t="s">
        <v>179</v>
      </c>
      <c r="E33" s="10"/>
    </row>
    <row r="34" spans="2:5">
      <c r="B34" s="8">
        <f t="shared" si="0"/>
        <v>26</v>
      </c>
      <c r="C34" s="8" t="s">
        <v>354</v>
      </c>
      <c r="D34" s="9" t="s">
        <v>180</v>
      </c>
      <c r="E34" s="10"/>
    </row>
    <row r="35" spans="2:5">
      <c r="B35" s="8">
        <f t="shared" si="0"/>
        <v>27</v>
      </c>
      <c r="C35" s="8" t="s">
        <v>355</v>
      </c>
      <c r="D35" s="9" t="s">
        <v>181</v>
      </c>
      <c r="E35" s="10"/>
    </row>
    <row r="36" spans="2:5">
      <c r="B36" s="8">
        <f t="shared" si="0"/>
        <v>28</v>
      </c>
      <c r="C36" s="8" t="s">
        <v>356</v>
      </c>
      <c r="D36" s="9" t="s">
        <v>200</v>
      </c>
      <c r="E36" s="10"/>
    </row>
    <row r="37" spans="2:5">
      <c r="B37" s="8">
        <f t="shared" si="0"/>
        <v>29</v>
      </c>
      <c r="C37" s="8" t="s">
        <v>357</v>
      </c>
      <c r="D37" s="9" t="s">
        <v>182</v>
      </c>
      <c r="E37" s="10"/>
    </row>
    <row r="38" spans="2:5">
      <c r="B38" s="8">
        <f t="shared" si="0"/>
        <v>30</v>
      </c>
      <c r="C38" s="8" t="s">
        <v>358</v>
      </c>
      <c r="D38" s="9" t="s">
        <v>347</v>
      </c>
      <c r="E38" s="10"/>
    </row>
    <row r="39" spans="2:5">
      <c r="B39" s="8">
        <f t="shared" si="0"/>
        <v>31</v>
      </c>
      <c r="C39" s="8" t="s">
        <v>359</v>
      </c>
      <c r="D39" s="9" t="s">
        <v>348</v>
      </c>
      <c r="E39" s="10"/>
    </row>
    <row r="41" spans="2:5" ht="15.75">
      <c r="B41" s="16" t="s">
        <v>349</v>
      </c>
      <c r="C41" s="16"/>
    </row>
  </sheetData>
  <mergeCells count="3">
    <mergeCell ref="B2:E2"/>
    <mergeCell ref="B4:E4"/>
    <mergeCell ref="B3:E3"/>
  </mergeCells>
  <phoneticPr fontId="11" type="noConversion"/>
  <pageMargins left="0.55000000000000004" right="0.23622047244094491" top="1.1023622047244095" bottom="0.98425196850393704" header="0.23622047244094491" footer="0.23622047244094491"/>
  <pageSetup paperSize="9" scale="7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B1:P85"/>
  <sheetViews>
    <sheetView showGridLines="0" view="pageBreakPreview" topLeftCell="B70" zoomScale="90" zoomScaleNormal="90" zoomScaleSheetLayoutView="90" workbookViewId="0">
      <selection activeCell="F40" sqref="F40"/>
    </sheetView>
  </sheetViews>
  <sheetFormatPr defaultColWidth="9.28515625" defaultRowHeight="14.25"/>
  <cols>
    <col min="1" max="1" width="4.28515625" style="5" customWidth="1"/>
    <col min="2" max="2" width="9.28515625" style="5"/>
    <col min="3" max="3" width="23.7109375" style="5" customWidth="1"/>
    <col min="4" max="4" width="14.28515625" style="5" customWidth="1"/>
    <col min="5" max="6" width="13.28515625" style="5" customWidth="1"/>
    <col min="7" max="7" width="10.7109375" style="5" customWidth="1"/>
    <col min="8" max="8" width="14.7109375" style="5" customWidth="1"/>
    <col min="9" max="9" width="10.7109375" style="5" customWidth="1"/>
    <col min="10" max="10" width="15.28515625" style="5" customWidth="1"/>
    <col min="11" max="12" width="10.7109375" style="5" customWidth="1"/>
    <col min="13" max="13" width="13.7109375" style="5" customWidth="1"/>
    <col min="14" max="14" width="15.28515625" style="5" customWidth="1"/>
    <col min="15" max="15" width="10.7109375" style="5" customWidth="1"/>
    <col min="16" max="16" width="20.140625" style="5" bestFit="1" customWidth="1"/>
    <col min="17" max="22" width="11.7109375" style="5" bestFit="1" customWidth="1"/>
    <col min="23" max="16384" width="9.28515625" style="5"/>
  </cols>
  <sheetData>
    <row r="1" spans="2:15" ht="15">
      <c r="B1" s="30"/>
    </row>
    <row r="2" spans="2:15" ht="15">
      <c r="H2" s="40" t="s">
        <v>398</v>
      </c>
      <c r="I2" s="40"/>
    </row>
    <row r="3" spans="2:15" ht="15">
      <c r="H3" s="40" t="s">
        <v>381</v>
      </c>
      <c r="I3" s="40"/>
    </row>
    <row r="4" spans="2:15" ht="15">
      <c r="H4" s="41" t="s">
        <v>278</v>
      </c>
      <c r="I4" s="41"/>
    </row>
    <row r="5" spans="2:15" ht="15.75" thickBot="1">
      <c r="K5" s="41"/>
      <c r="O5" s="39" t="s">
        <v>4</v>
      </c>
    </row>
    <row r="6" spans="2:15" ht="15">
      <c r="B6" s="255" t="s">
        <v>372</v>
      </c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56"/>
      <c r="O6" s="257"/>
    </row>
    <row r="7" spans="2:15" ht="14.25" customHeight="1">
      <c r="B7" s="258" t="s">
        <v>2</v>
      </c>
      <c r="C7" s="260" t="s">
        <v>274</v>
      </c>
      <c r="D7" s="262" t="s">
        <v>261</v>
      </c>
      <c r="E7" s="262" t="s">
        <v>262</v>
      </c>
      <c r="F7" s="262" t="s">
        <v>263</v>
      </c>
      <c r="G7" s="262"/>
      <c r="H7" s="262"/>
      <c r="I7" s="262"/>
      <c r="J7" s="262" t="s">
        <v>264</v>
      </c>
      <c r="K7" s="262"/>
      <c r="L7" s="262"/>
      <c r="M7" s="262"/>
      <c r="N7" s="262" t="s">
        <v>265</v>
      </c>
      <c r="O7" s="264"/>
    </row>
    <row r="8" spans="2:15" ht="60.75" thickBot="1">
      <c r="B8" s="259"/>
      <c r="C8" s="261"/>
      <c r="D8" s="263"/>
      <c r="E8" s="263"/>
      <c r="F8" s="70" t="s">
        <v>266</v>
      </c>
      <c r="G8" s="70" t="s">
        <v>126</v>
      </c>
      <c r="H8" s="70" t="s">
        <v>267</v>
      </c>
      <c r="I8" s="70" t="s">
        <v>268</v>
      </c>
      <c r="J8" s="70" t="s">
        <v>269</v>
      </c>
      <c r="K8" s="70" t="s">
        <v>126</v>
      </c>
      <c r="L8" s="70" t="s">
        <v>270</v>
      </c>
      <c r="M8" s="70" t="s">
        <v>271</v>
      </c>
      <c r="N8" s="70" t="s">
        <v>266</v>
      </c>
      <c r="O8" s="71" t="s">
        <v>268</v>
      </c>
    </row>
    <row r="9" spans="2:15" ht="15">
      <c r="B9" s="69">
        <v>1</v>
      </c>
      <c r="C9" s="72" t="s">
        <v>386</v>
      </c>
      <c r="D9" s="73">
        <v>1000</v>
      </c>
      <c r="E9" s="74">
        <v>0</v>
      </c>
      <c r="F9" s="75">
        <v>0.28018599999999999</v>
      </c>
      <c r="G9" s="76">
        <v>0</v>
      </c>
      <c r="H9" s="75">
        <v>0</v>
      </c>
      <c r="I9" s="140">
        <f>F9+G9-H9</f>
        <v>0.28018599999999999</v>
      </c>
      <c r="J9" s="141">
        <v>0</v>
      </c>
      <c r="K9" s="142">
        <v>0</v>
      </c>
      <c r="L9" s="143"/>
      <c r="M9" s="144">
        <f>J9+K9-L9</f>
        <v>0</v>
      </c>
      <c r="N9" s="145">
        <f>F9-J9</f>
        <v>0.28018599999999999</v>
      </c>
      <c r="O9" s="145">
        <f>I9-M9</f>
        <v>0.28018599999999999</v>
      </c>
    </row>
    <row r="10" spans="2:15" ht="15">
      <c r="B10" s="77">
        <v>2</v>
      </c>
      <c r="C10" s="78" t="s">
        <v>116</v>
      </c>
      <c r="D10" s="79">
        <v>1100</v>
      </c>
      <c r="E10" s="80">
        <v>3.3399999999999999E-2</v>
      </c>
      <c r="F10" s="81">
        <v>13.688452348000002</v>
      </c>
      <c r="G10" s="82">
        <v>0</v>
      </c>
      <c r="H10" s="81">
        <v>0</v>
      </c>
      <c r="I10" s="146">
        <f>F10+G10-H10</f>
        <v>13.688452348000002</v>
      </c>
      <c r="J10" s="147">
        <v>5.7025201879999994</v>
      </c>
      <c r="K10" s="148">
        <v>0.27193368700000004</v>
      </c>
      <c r="L10" s="149"/>
      <c r="M10" s="150">
        <f t="shared" ref="M10:M12" si="0">J10+K10-L10</f>
        <v>5.9744538749999991</v>
      </c>
      <c r="N10" s="146">
        <f t="shared" ref="N10:N12" si="1">F10-J10</f>
        <v>7.9859321600000026</v>
      </c>
      <c r="O10" s="146">
        <f t="shared" ref="O10:O12" si="2">I10-M10</f>
        <v>7.7139984730000029</v>
      </c>
    </row>
    <row r="11" spans="2:15" ht="15">
      <c r="B11" s="77">
        <v>3</v>
      </c>
      <c r="C11" s="84" t="s">
        <v>387</v>
      </c>
      <c r="D11" s="79">
        <v>1200</v>
      </c>
      <c r="E11" s="80">
        <v>5.28E-2</v>
      </c>
      <c r="F11" s="81">
        <v>0.52434219999999998</v>
      </c>
      <c r="G11" s="82">
        <v>0</v>
      </c>
      <c r="H11" s="81">
        <v>0</v>
      </c>
      <c r="I11" s="146">
        <f t="shared" ref="I11:I12" si="3">F11+G11-H11</f>
        <v>0.52434219999999998</v>
      </c>
      <c r="J11" s="147">
        <v>0.40455868</v>
      </c>
      <c r="K11" s="148">
        <v>9.6213280000000002E-3</v>
      </c>
      <c r="L11" s="149"/>
      <c r="M11" s="150">
        <f t="shared" si="0"/>
        <v>0.41418000799999999</v>
      </c>
      <c r="N11" s="146">
        <f t="shared" si="1"/>
        <v>0.11978351999999998</v>
      </c>
      <c r="O11" s="146">
        <f t="shared" si="2"/>
        <v>0.11016219199999999</v>
      </c>
    </row>
    <row r="12" spans="2:15" ht="15.75" thickBot="1">
      <c r="B12" s="77">
        <v>4</v>
      </c>
      <c r="C12" s="84" t="s">
        <v>388</v>
      </c>
      <c r="D12" s="79">
        <v>1300</v>
      </c>
      <c r="E12" s="85">
        <v>5.28E-2</v>
      </c>
      <c r="F12" s="81">
        <v>85.710041496000002</v>
      </c>
      <c r="G12" s="82">
        <v>0</v>
      </c>
      <c r="H12" s="83">
        <v>8.8426000000000008E-3</v>
      </c>
      <c r="I12" s="201">
        <f t="shared" si="3"/>
        <v>85.701198896000008</v>
      </c>
      <c r="J12" s="147">
        <v>68.70346361499999</v>
      </c>
      <c r="K12" s="148">
        <v>0.40391415988888912</v>
      </c>
      <c r="L12" s="149"/>
      <c r="M12" s="150">
        <f t="shared" si="0"/>
        <v>69.107377774888874</v>
      </c>
      <c r="N12" s="146">
        <f t="shared" si="1"/>
        <v>17.006577881000013</v>
      </c>
      <c r="O12" s="146">
        <f t="shared" si="2"/>
        <v>16.593821121111134</v>
      </c>
    </row>
    <row r="13" spans="2:15" ht="15">
      <c r="B13" s="69">
        <v>5</v>
      </c>
      <c r="C13" s="72" t="s">
        <v>389</v>
      </c>
      <c r="D13" s="73">
        <v>0</v>
      </c>
      <c r="E13" s="74">
        <v>0</v>
      </c>
      <c r="F13" s="75">
        <v>0</v>
      </c>
      <c r="G13" s="76">
        <v>0</v>
      </c>
      <c r="H13" s="75">
        <v>0</v>
      </c>
      <c r="I13" s="140">
        <f>F13+G13-H13</f>
        <v>0</v>
      </c>
      <c r="J13" s="141">
        <v>0</v>
      </c>
      <c r="K13" s="142">
        <v>0</v>
      </c>
      <c r="L13" s="143"/>
      <c r="M13" s="144">
        <f>J13+K13-L13</f>
        <v>0</v>
      </c>
      <c r="N13" s="145">
        <f>F13-J13</f>
        <v>0</v>
      </c>
      <c r="O13" s="145">
        <f>I13-M13</f>
        <v>0</v>
      </c>
    </row>
    <row r="14" spans="2:15" ht="15">
      <c r="B14" s="77">
        <v>6</v>
      </c>
      <c r="C14" s="78" t="s">
        <v>390</v>
      </c>
      <c r="D14" s="79">
        <v>1500</v>
      </c>
      <c r="E14" s="80">
        <v>5.28E-2</v>
      </c>
      <c r="F14" s="81">
        <v>11.057487571000001</v>
      </c>
      <c r="G14" s="82">
        <v>0</v>
      </c>
      <c r="H14" s="81">
        <v>0</v>
      </c>
      <c r="I14" s="146">
        <f>F14+G14-H14</f>
        <v>11.057487571000001</v>
      </c>
      <c r="J14" s="147">
        <v>6.6950106860000007</v>
      </c>
      <c r="K14" s="148">
        <v>0.29905544300000003</v>
      </c>
      <c r="L14" s="149"/>
      <c r="M14" s="150">
        <f t="shared" ref="M14:M16" si="4">J14+K14-L14</f>
        <v>6.994066129000001</v>
      </c>
      <c r="N14" s="146">
        <f t="shared" ref="N14:N16" si="5">F14-J14</f>
        <v>4.3624768850000004</v>
      </c>
      <c r="O14" s="146">
        <f t="shared" ref="O14:O16" si="6">I14-M14</f>
        <v>4.0634214420000001</v>
      </c>
    </row>
    <row r="15" spans="2:15" ht="15">
      <c r="B15" s="77">
        <v>7</v>
      </c>
      <c r="C15" s="84" t="s">
        <v>391</v>
      </c>
      <c r="D15" s="79">
        <v>1600</v>
      </c>
      <c r="E15" s="80">
        <v>3.3399999999999999E-2</v>
      </c>
      <c r="F15" s="81">
        <v>9.6973965</v>
      </c>
      <c r="G15" s="82">
        <v>0</v>
      </c>
      <c r="H15" s="81">
        <v>0</v>
      </c>
      <c r="I15" s="146">
        <f t="shared" ref="I15:I16" si="7">F15+G15-H15</f>
        <v>9.6973965</v>
      </c>
      <c r="J15" s="147">
        <v>6.0804219310000001</v>
      </c>
      <c r="K15" s="148">
        <v>0.17564011400000001</v>
      </c>
      <c r="L15" s="149"/>
      <c r="M15" s="150">
        <f t="shared" si="4"/>
        <v>6.2560620450000002</v>
      </c>
      <c r="N15" s="146">
        <f t="shared" si="5"/>
        <v>3.6169745689999999</v>
      </c>
      <c r="O15" s="146">
        <f t="shared" si="6"/>
        <v>3.4413344549999998</v>
      </c>
    </row>
    <row r="16" spans="2:15" ht="15.75" thickBot="1">
      <c r="B16" s="77">
        <v>8</v>
      </c>
      <c r="C16" s="84" t="s">
        <v>120</v>
      </c>
      <c r="D16" s="79">
        <v>1700</v>
      </c>
      <c r="E16" s="85">
        <v>9.5000000000000001E-2</v>
      </c>
      <c r="F16" s="81">
        <v>0.2085581</v>
      </c>
      <c r="G16" s="82">
        <v>0</v>
      </c>
      <c r="H16" s="83">
        <v>0</v>
      </c>
      <c r="I16" s="146">
        <f t="shared" si="7"/>
        <v>0.2085581</v>
      </c>
      <c r="J16" s="147">
        <v>0.18770229000000002</v>
      </c>
      <c r="K16" s="148">
        <v>0</v>
      </c>
      <c r="L16" s="149"/>
      <c r="M16" s="150">
        <f t="shared" si="4"/>
        <v>0.18770229000000002</v>
      </c>
      <c r="N16" s="146">
        <f t="shared" si="5"/>
        <v>2.0855809999999975E-2</v>
      </c>
      <c r="O16" s="146">
        <f t="shared" si="6"/>
        <v>2.0855809999999975E-2</v>
      </c>
    </row>
    <row r="17" spans="2:16" ht="15">
      <c r="B17" s="69">
        <v>9</v>
      </c>
      <c r="C17" s="72" t="s">
        <v>392</v>
      </c>
      <c r="D17" s="73">
        <v>1800</v>
      </c>
      <c r="E17" s="74">
        <v>6.3299999999999995E-2</v>
      </c>
      <c r="F17" s="75">
        <v>0.43771908599999987</v>
      </c>
      <c r="G17" s="76">
        <v>2.1831580999999999E-2</v>
      </c>
      <c r="H17" s="75">
        <v>0</v>
      </c>
      <c r="I17" s="140">
        <f>F17+G17-H17</f>
        <v>0.45955066699999986</v>
      </c>
      <c r="J17" s="141">
        <v>0.25877046900000006</v>
      </c>
      <c r="K17" s="142">
        <v>1.8253986999999999E-2</v>
      </c>
      <c r="L17" s="143"/>
      <c r="M17" s="144">
        <f>J17+K17-L17</f>
        <v>0.27702445600000003</v>
      </c>
      <c r="N17" s="145">
        <f>F17-J17</f>
        <v>0.17894861699999981</v>
      </c>
      <c r="O17" s="145">
        <f>I17-M17</f>
        <v>0.18252621099999983</v>
      </c>
      <c r="P17" s="224"/>
    </row>
    <row r="18" spans="2:16" ht="15">
      <c r="B18" s="77">
        <v>10</v>
      </c>
      <c r="C18" s="78" t="s">
        <v>393</v>
      </c>
      <c r="D18" s="79">
        <v>1900</v>
      </c>
      <c r="E18" s="80">
        <v>0.15</v>
      </c>
      <c r="F18" s="81">
        <v>0.10022676999999999</v>
      </c>
      <c r="G18" s="82">
        <v>0</v>
      </c>
      <c r="H18" s="81">
        <v>0</v>
      </c>
      <c r="I18" s="146">
        <f>F18+G18-H18</f>
        <v>0.10022676999999999</v>
      </c>
      <c r="J18" s="147">
        <v>8.0663726000000005E-2</v>
      </c>
      <c r="K18" s="148">
        <v>4.1793170000000001E-3</v>
      </c>
      <c r="L18" s="149"/>
      <c r="M18" s="150">
        <f t="shared" ref="M18:M20" si="8">J18+K18-L18</f>
        <v>8.4843043000000007E-2</v>
      </c>
      <c r="N18" s="146">
        <f t="shared" ref="N18:N20" si="9">F18-J18</f>
        <v>1.9563043999999988E-2</v>
      </c>
      <c r="O18" s="146">
        <f t="shared" ref="O18:O20" si="10">I18-M18</f>
        <v>1.5383726999999986E-2</v>
      </c>
      <c r="P18" s="223"/>
    </row>
    <row r="19" spans="2:16" ht="15">
      <c r="B19" s="77">
        <v>11</v>
      </c>
      <c r="C19" s="84" t="s">
        <v>122</v>
      </c>
      <c r="D19" s="79">
        <v>2100</v>
      </c>
      <c r="E19" s="80">
        <v>6.3299999999999995E-2</v>
      </c>
      <c r="F19" s="81">
        <v>8.5589928999999995E-2</v>
      </c>
      <c r="G19" s="82">
        <v>7.5430659999999997E-2</v>
      </c>
      <c r="H19" s="81">
        <v>0</v>
      </c>
      <c r="I19" s="146">
        <f t="shared" ref="I19:I20" si="11">F19+G19-H19</f>
        <v>0.16102058899999999</v>
      </c>
      <c r="J19" s="147">
        <v>1.6888415E-2</v>
      </c>
      <c r="K19" s="148">
        <v>1.0790853E-2</v>
      </c>
      <c r="L19" s="149"/>
      <c r="M19" s="150">
        <f t="shared" si="8"/>
        <v>2.7679268E-2</v>
      </c>
      <c r="N19" s="146">
        <f t="shared" si="9"/>
        <v>6.8701513999999991E-2</v>
      </c>
      <c r="O19" s="146">
        <f t="shared" si="10"/>
        <v>0.13334132099999998</v>
      </c>
    </row>
    <row r="20" spans="2:16" ht="15">
      <c r="B20" s="77">
        <v>12</v>
      </c>
      <c r="C20" s="84" t="s">
        <v>394</v>
      </c>
      <c r="D20" s="79">
        <v>0</v>
      </c>
      <c r="E20" s="85">
        <v>0</v>
      </c>
      <c r="F20" s="81">
        <v>0</v>
      </c>
      <c r="G20" s="82">
        <v>0</v>
      </c>
      <c r="H20" s="83">
        <v>0</v>
      </c>
      <c r="I20" s="146">
        <f t="shared" si="11"/>
        <v>0</v>
      </c>
      <c r="J20" s="147">
        <v>0</v>
      </c>
      <c r="K20" s="148">
        <v>0</v>
      </c>
      <c r="L20" s="149"/>
      <c r="M20" s="150">
        <f t="shared" si="8"/>
        <v>0</v>
      </c>
      <c r="N20" s="146">
        <f t="shared" si="9"/>
        <v>0</v>
      </c>
      <c r="O20" s="146">
        <f t="shared" si="10"/>
        <v>0</v>
      </c>
      <c r="P20" s="225"/>
    </row>
    <row r="21" spans="2:16" ht="15.75" thickBot="1">
      <c r="B21" s="86"/>
      <c r="C21" s="87" t="s">
        <v>127</v>
      </c>
      <c r="D21" s="87"/>
      <c r="E21" s="151">
        <f>IFERROR((K21-L21)/AVERAGE(F21,I21),0)</f>
        <v>9.7951871699018308E-3</v>
      </c>
      <c r="F21" s="152">
        <f>SUM(F9:F20)</f>
        <v>121.79</v>
      </c>
      <c r="G21" s="152">
        <f t="shared" ref="G21:I21" si="12">SUM(G9:G20)</f>
        <v>9.7262240999999999E-2</v>
      </c>
      <c r="H21" s="152">
        <f t="shared" si="12"/>
        <v>8.8426000000000008E-3</v>
      </c>
      <c r="I21" s="152">
        <f t="shared" si="12"/>
        <v>121.87841964100002</v>
      </c>
      <c r="J21" s="207">
        <v>88.13</v>
      </c>
      <c r="K21" s="152">
        <v>1.1933888888888893</v>
      </c>
      <c r="L21" s="152">
        <f t="shared" ref="L21" si="13">SUM(L9:L20)</f>
        <v>0</v>
      </c>
      <c r="M21" s="152">
        <f>J21+K21</f>
        <v>89.323388888888886</v>
      </c>
      <c r="N21" s="152">
        <f t="shared" ref="N21" si="14">SUM(N9:N20)</f>
        <v>33.660000000000018</v>
      </c>
      <c r="O21" s="152">
        <f>SUM(O9:O20)</f>
        <v>32.555030752111143</v>
      </c>
      <c r="P21" s="223"/>
    </row>
    <row r="22" spans="2:16" ht="15" thickBot="1">
      <c r="F22" s="192"/>
      <c r="G22" s="192"/>
      <c r="H22" s="192"/>
      <c r="I22" s="192"/>
      <c r="J22" s="192"/>
      <c r="K22" s="192"/>
      <c r="L22" s="192"/>
      <c r="M22" s="192"/>
      <c r="N22" s="192"/>
      <c r="O22" s="192"/>
    </row>
    <row r="23" spans="2:16" ht="15">
      <c r="B23" s="255" t="s">
        <v>375</v>
      </c>
      <c r="C23" s="256"/>
      <c r="D23" s="256"/>
      <c r="E23" s="256"/>
      <c r="F23" s="256"/>
      <c r="G23" s="256"/>
      <c r="H23" s="256"/>
      <c r="I23" s="256"/>
      <c r="J23" s="256"/>
      <c r="K23" s="256"/>
      <c r="L23" s="256"/>
      <c r="M23" s="256"/>
      <c r="N23" s="256"/>
      <c r="O23" s="257"/>
    </row>
    <row r="24" spans="2:16" ht="14.25" customHeight="1">
      <c r="B24" s="258" t="s">
        <v>2</v>
      </c>
      <c r="C24" s="260" t="s">
        <v>274</v>
      </c>
      <c r="D24" s="262" t="s">
        <v>261</v>
      </c>
      <c r="E24" s="262" t="s">
        <v>262</v>
      </c>
      <c r="F24" s="262" t="s">
        <v>263</v>
      </c>
      <c r="G24" s="262"/>
      <c r="H24" s="262"/>
      <c r="I24" s="262"/>
      <c r="J24" s="262" t="s">
        <v>264</v>
      </c>
      <c r="K24" s="262"/>
      <c r="L24" s="262"/>
      <c r="M24" s="262"/>
      <c r="N24" s="262" t="s">
        <v>265</v>
      </c>
      <c r="O24" s="264"/>
    </row>
    <row r="25" spans="2:16" ht="60.75" thickBot="1">
      <c r="B25" s="259"/>
      <c r="C25" s="261"/>
      <c r="D25" s="263"/>
      <c r="E25" s="263"/>
      <c r="F25" s="70" t="s">
        <v>266</v>
      </c>
      <c r="G25" s="70" t="s">
        <v>126</v>
      </c>
      <c r="H25" s="70" t="s">
        <v>267</v>
      </c>
      <c r="I25" s="70" t="s">
        <v>268</v>
      </c>
      <c r="J25" s="70" t="s">
        <v>269</v>
      </c>
      <c r="K25" s="70" t="s">
        <v>126</v>
      </c>
      <c r="L25" s="70" t="s">
        <v>270</v>
      </c>
      <c r="M25" s="70" t="s">
        <v>271</v>
      </c>
      <c r="N25" s="70" t="s">
        <v>266</v>
      </c>
      <c r="O25" s="71" t="s">
        <v>268</v>
      </c>
    </row>
    <row r="26" spans="2:16" ht="15.75" thickBot="1">
      <c r="B26" s="47">
        <v>1</v>
      </c>
      <c r="C26" s="211" t="s">
        <v>386</v>
      </c>
      <c r="D26" s="212">
        <v>1000</v>
      </c>
      <c r="E26" s="213">
        <v>0</v>
      </c>
      <c r="F26" s="140">
        <v>0.28018599999999999</v>
      </c>
      <c r="G26" s="76">
        <v>0</v>
      </c>
      <c r="H26" s="75">
        <v>0</v>
      </c>
      <c r="I26" s="140">
        <f>F26+G26-H26</f>
        <v>0.28018599999999999</v>
      </c>
      <c r="J26" s="141"/>
      <c r="K26" s="142">
        <f>AVERAGE(F26,I26)*E26</f>
        <v>0</v>
      </c>
      <c r="L26" s="143"/>
      <c r="M26" s="144">
        <f>J26+K26-L26</f>
        <v>0</v>
      </c>
      <c r="N26" s="145">
        <f>F26-J26</f>
        <v>0.28018599999999999</v>
      </c>
      <c r="O26" s="145">
        <f>I26-M26</f>
        <v>0.28018599999999999</v>
      </c>
    </row>
    <row r="27" spans="2:16" ht="15.75" thickBot="1">
      <c r="B27" s="47">
        <v>2</v>
      </c>
      <c r="C27" s="211" t="s">
        <v>116</v>
      </c>
      <c r="D27" s="212">
        <v>1100</v>
      </c>
      <c r="E27" s="214">
        <v>3.3399999999999999E-2</v>
      </c>
      <c r="F27" s="146">
        <v>13.688452348000002</v>
      </c>
      <c r="G27" s="82">
        <v>0</v>
      </c>
      <c r="H27" s="81">
        <v>0</v>
      </c>
      <c r="I27" s="140">
        <f t="shared" ref="I27:I37" si="15">F27+G27-H27</f>
        <v>13.688452348000002</v>
      </c>
      <c r="J27" s="147"/>
      <c r="K27" s="148">
        <f t="shared" ref="K27:K39" si="16">AVERAGE(F27,I27)*E27</f>
        <v>0.45719430842320008</v>
      </c>
      <c r="L27" s="149"/>
      <c r="M27" s="150">
        <f t="shared" ref="M27:M39" si="17">J27+K27-L27</f>
        <v>0.45719430842320008</v>
      </c>
      <c r="N27" s="146">
        <f t="shared" ref="N27:N39" si="18">F27-J27</f>
        <v>13.688452348000002</v>
      </c>
      <c r="O27" s="146">
        <f t="shared" ref="O27:O39" si="19">I27-M27</f>
        <v>13.231258039576803</v>
      </c>
    </row>
    <row r="28" spans="2:16" ht="15.75" thickBot="1">
      <c r="B28" s="47">
        <v>3</v>
      </c>
      <c r="C28" s="211" t="s">
        <v>400</v>
      </c>
      <c r="D28" s="212">
        <v>1200</v>
      </c>
      <c r="E28" s="214">
        <v>5.28E-2</v>
      </c>
      <c r="F28" s="146">
        <v>0.52434219999999998</v>
      </c>
      <c r="G28" s="82">
        <v>0</v>
      </c>
      <c r="H28" s="81">
        <v>0</v>
      </c>
      <c r="I28" s="140">
        <f t="shared" si="15"/>
        <v>0.52434219999999998</v>
      </c>
      <c r="J28" s="147"/>
      <c r="K28" s="148">
        <f t="shared" si="16"/>
        <v>2.7685268159999998E-2</v>
      </c>
      <c r="L28" s="149"/>
      <c r="M28" s="150">
        <f t="shared" si="17"/>
        <v>2.7685268159999998E-2</v>
      </c>
      <c r="N28" s="146">
        <f t="shared" si="18"/>
        <v>0.52434219999999998</v>
      </c>
      <c r="O28" s="146">
        <f t="shared" si="19"/>
        <v>0.49665693183999998</v>
      </c>
    </row>
    <row r="29" spans="2:16" ht="15.75" thickBot="1">
      <c r="B29" s="47">
        <v>4</v>
      </c>
      <c r="C29" s="211" t="s">
        <v>115</v>
      </c>
      <c r="D29" s="212">
        <v>1300</v>
      </c>
      <c r="E29" s="214">
        <v>5.28E-2</v>
      </c>
      <c r="F29" s="146">
        <v>85.701198896000008</v>
      </c>
      <c r="G29" s="82">
        <v>0</v>
      </c>
      <c r="H29" s="81">
        <v>0</v>
      </c>
      <c r="I29" s="140">
        <f t="shared" si="15"/>
        <v>85.701198896000008</v>
      </c>
      <c r="J29" s="147"/>
      <c r="K29" s="148"/>
      <c r="L29" s="149"/>
      <c r="M29" s="150"/>
      <c r="N29" s="146"/>
      <c r="O29" s="146"/>
    </row>
    <row r="30" spans="2:16" ht="15.75" thickBot="1">
      <c r="B30" s="47">
        <v>5</v>
      </c>
      <c r="C30" s="215" t="s">
        <v>389</v>
      </c>
      <c r="D30" s="212">
        <v>1400</v>
      </c>
      <c r="E30" s="214">
        <v>5.28E-2</v>
      </c>
      <c r="F30" s="146">
        <v>0</v>
      </c>
      <c r="G30" s="82">
        <v>0</v>
      </c>
      <c r="H30" s="81">
        <v>0</v>
      </c>
      <c r="I30" s="140">
        <f t="shared" si="15"/>
        <v>0</v>
      </c>
      <c r="J30" s="147"/>
      <c r="K30" s="148"/>
      <c r="L30" s="149"/>
      <c r="M30" s="150"/>
      <c r="N30" s="146"/>
      <c r="O30" s="146"/>
    </row>
    <row r="31" spans="2:16" ht="15.75" thickBot="1">
      <c r="B31" s="47">
        <v>6</v>
      </c>
      <c r="C31" s="215" t="s">
        <v>390</v>
      </c>
      <c r="D31" s="212">
        <v>1500</v>
      </c>
      <c r="E31" s="214">
        <v>5.28E-2</v>
      </c>
      <c r="F31" s="146">
        <v>11.057487571000001</v>
      </c>
      <c r="G31" s="82">
        <v>0</v>
      </c>
      <c r="H31" s="81">
        <v>0</v>
      </c>
      <c r="I31" s="140">
        <f t="shared" si="15"/>
        <v>11.057487571000001</v>
      </c>
      <c r="J31" s="147"/>
      <c r="K31" s="148"/>
      <c r="L31" s="149"/>
      <c r="M31" s="150"/>
      <c r="N31" s="146"/>
      <c r="O31" s="146"/>
    </row>
    <row r="32" spans="2:16" ht="15.75" thickBot="1">
      <c r="B32" s="47">
        <v>7</v>
      </c>
      <c r="C32" s="215" t="s">
        <v>391</v>
      </c>
      <c r="D32" s="212">
        <v>1600</v>
      </c>
      <c r="E32" s="214">
        <v>3.3399999999999999E-2</v>
      </c>
      <c r="F32" s="146">
        <v>9.6973965</v>
      </c>
      <c r="G32" s="82">
        <v>0</v>
      </c>
      <c r="H32" s="81">
        <v>0</v>
      </c>
      <c r="I32" s="140">
        <f t="shared" si="15"/>
        <v>9.6973965</v>
      </c>
      <c r="J32" s="147"/>
      <c r="K32" s="148"/>
      <c r="L32" s="149"/>
      <c r="M32" s="150"/>
      <c r="N32" s="146"/>
      <c r="O32" s="146"/>
    </row>
    <row r="33" spans="2:15" ht="15.75" thickBot="1">
      <c r="B33" s="47">
        <v>8</v>
      </c>
      <c r="C33" s="215" t="s">
        <v>120</v>
      </c>
      <c r="D33" s="212">
        <v>1700</v>
      </c>
      <c r="E33" s="216">
        <v>9.5000000000000001E-2</v>
      </c>
      <c r="F33" s="146">
        <v>0.2085581</v>
      </c>
      <c r="G33" s="82">
        <v>0</v>
      </c>
      <c r="H33" s="81">
        <v>0</v>
      </c>
      <c r="I33" s="140">
        <f>F33+G33-H33</f>
        <v>0.2085581</v>
      </c>
      <c r="J33" s="147"/>
      <c r="K33" s="148"/>
      <c r="L33" s="149"/>
      <c r="M33" s="150"/>
      <c r="N33" s="146"/>
      <c r="O33" s="146"/>
    </row>
    <row r="34" spans="2:15" ht="15.75" thickBot="1">
      <c r="B34" s="47">
        <v>9</v>
      </c>
      <c r="C34" s="215" t="s">
        <v>392</v>
      </c>
      <c r="D34" s="212">
        <v>1800</v>
      </c>
      <c r="E34" s="214">
        <v>6.3299999999999995E-2</v>
      </c>
      <c r="F34" s="146">
        <v>0.45955066699999986</v>
      </c>
      <c r="G34" s="226">
        <v>5.2414889999999999E-2</v>
      </c>
      <c r="H34" s="81">
        <v>0</v>
      </c>
      <c r="I34" s="140">
        <f t="shared" si="15"/>
        <v>0.5119655569999999</v>
      </c>
      <c r="J34" s="147"/>
      <c r="K34" s="148"/>
      <c r="L34" s="149"/>
      <c r="M34" s="150"/>
      <c r="N34" s="146"/>
      <c r="O34" s="146"/>
    </row>
    <row r="35" spans="2:15" ht="15.75" thickBot="1">
      <c r="B35" s="47">
        <v>10</v>
      </c>
      <c r="C35" s="215" t="s">
        <v>393</v>
      </c>
      <c r="D35" s="212">
        <v>1900</v>
      </c>
      <c r="E35" s="217">
        <v>0.15</v>
      </c>
      <c r="F35" s="146">
        <v>0.10022676999999999</v>
      </c>
      <c r="G35" s="82">
        <v>2.9499999999999998E-2</v>
      </c>
      <c r="H35" s="81">
        <v>0</v>
      </c>
      <c r="I35" s="140">
        <f t="shared" si="15"/>
        <v>0.12972676999999999</v>
      </c>
      <c r="J35" s="147"/>
      <c r="K35" s="148"/>
      <c r="L35" s="149"/>
      <c r="M35" s="150"/>
      <c r="N35" s="146"/>
      <c r="O35" s="146"/>
    </row>
    <row r="36" spans="2:15" ht="15.75" thickBot="1">
      <c r="B36" s="47">
        <v>11</v>
      </c>
      <c r="C36" s="211" t="s">
        <v>122</v>
      </c>
      <c r="D36" s="213">
        <v>2100</v>
      </c>
      <c r="E36" s="218">
        <v>6.3299999999999995E-2</v>
      </c>
      <c r="F36" s="146">
        <v>0.16102058899999999</v>
      </c>
      <c r="G36" s="82">
        <v>8.4960000000000001E-3</v>
      </c>
      <c r="H36" s="81">
        <v>0</v>
      </c>
      <c r="I36" s="140">
        <f t="shared" si="15"/>
        <v>0.169516589</v>
      </c>
      <c r="J36" s="147"/>
      <c r="K36" s="148"/>
      <c r="L36" s="149"/>
      <c r="M36" s="150"/>
      <c r="N36" s="146"/>
      <c r="O36" s="146"/>
    </row>
    <row r="37" spans="2:15" ht="15.75" thickBot="1">
      <c r="B37" s="47">
        <v>12</v>
      </c>
      <c r="C37" s="211" t="s">
        <v>401</v>
      </c>
      <c r="D37" s="213">
        <v>2200</v>
      </c>
      <c r="E37" s="218">
        <v>0.15</v>
      </c>
      <c r="F37" s="146">
        <v>0</v>
      </c>
      <c r="G37" s="82">
        <v>0</v>
      </c>
      <c r="H37" s="81">
        <v>0</v>
      </c>
      <c r="I37" s="140">
        <f t="shared" si="15"/>
        <v>0</v>
      </c>
      <c r="J37" s="147"/>
      <c r="K37" s="148"/>
      <c r="L37" s="149"/>
      <c r="M37" s="150"/>
      <c r="N37" s="146"/>
      <c r="O37" s="146"/>
    </row>
    <row r="38" spans="2:15" ht="15">
      <c r="B38" s="213"/>
      <c r="C38" s="211"/>
      <c r="D38" s="213"/>
      <c r="E38" s="213"/>
      <c r="F38" s="146"/>
      <c r="G38" s="82"/>
      <c r="H38" s="81"/>
      <c r="I38" s="140">
        <f>F38+G38-H38</f>
        <v>0</v>
      </c>
      <c r="J38" s="147"/>
      <c r="K38" s="148"/>
      <c r="L38" s="149"/>
      <c r="M38" s="150"/>
      <c r="N38" s="146"/>
      <c r="O38" s="146"/>
    </row>
    <row r="39" spans="2:15" ht="15">
      <c r="B39" s="77"/>
      <c r="C39" s="84" t="s">
        <v>9</v>
      </c>
      <c r="D39" s="79"/>
      <c r="E39" s="85"/>
      <c r="F39" s="146">
        <f>I20</f>
        <v>0</v>
      </c>
      <c r="G39" s="82"/>
      <c r="H39" s="83"/>
      <c r="I39" s="146">
        <f t="shared" ref="I39" si="20">F39+G39-H39</f>
        <v>0</v>
      </c>
      <c r="J39" s="147"/>
      <c r="K39" s="148">
        <f t="shared" si="16"/>
        <v>0</v>
      </c>
      <c r="L39" s="149"/>
      <c r="M39" s="150">
        <f t="shared" si="17"/>
        <v>0</v>
      </c>
      <c r="N39" s="146">
        <f t="shared" si="18"/>
        <v>0</v>
      </c>
      <c r="O39" s="146">
        <f t="shared" si="19"/>
        <v>0</v>
      </c>
    </row>
    <row r="40" spans="2:15" ht="15.75" thickBot="1">
      <c r="B40" s="86"/>
      <c r="C40" s="87" t="s">
        <v>127</v>
      </c>
      <c r="D40" s="87"/>
      <c r="E40" s="151">
        <f>IFERROR((K40-L40)/AVERAGE(F40,I40),0)</f>
        <v>9.8284287215120759E-3</v>
      </c>
      <c r="F40" s="152">
        <f>I21</f>
        <v>121.87841964100002</v>
      </c>
      <c r="G40" s="152">
        <v>0.04</v>
      </c>
      <c r="H40" s="152">
        <f t="shared" ref="H40:O40" si="21">SUM(H26:H39)</f>
        <v>0</v>
      </c>
      <c r="I40" s="152">
        <f>F40+G40</f>
        <v>121.91841964100003</v>
      </c>
      <c r="J40" s="153">
        <f>M21</f>
        <v>89.323388888888886</v>
      </c>
      <c r="K40" s="152">
        <v>1.1980699287065364</v>
      </c>
      <c r="L40" s="154">
        <f t="shared" si="21"/>
        <v>0</v>
      </c>
      <c r="M40" s="153">
        <f>J40+K40</f>
        <v>90.521458817595416</v>
      </c>
      <c r="N40" s="152">
        <f t="shared" si="21"/>
        <v>14.492980548000002</v>
      </c>
      <c r="O40" s="152">
        <f t="shared" si="21"/>
        <v>14.008100971416804</v>
      </c>
    </row>
    <row r="41" spans="2:15" ht="15" thickBot="1"/>
    <row r="42" spans="2:15" ht="15">
      <c r="B42" s="255" t="s">
        <v>376</v>
      </c>
      <c r="C42" s="256"/>
      <c r="D42" s="256"/>
      <c r="E42" s="256"/>
      <c r="F42" s="256"/>
      <c r="G42" s="256"/>
      <c r="H42" s="256"/>
      <c r="I42" s="256"/>
      <c r="J42" s="256"/>
      <c r="K42" s="256"/>
      <c r="L42" s="256"/>
      <c r="M42" s="256"/>
      <c r="N42" s="256"/>
      <c r="O42" s="257"/>
    </row>
    <row r="43" spans="2:15" ht="15">
      <c r="B43" s="258" t="s">
        <v>2</v>
      </c>
      <c r="C43" s="260" t="s">
        <v>274</v>
      </c>
      <c r="D43" s="262" t="s">
        <v>261</v>
      </c>
      <c r="E43" s="262" t="s">
        <v>262</v>
      </c>
      <c r="F43" s="262" t="s">
        <v>263</v>
      </c>
      <c r="G43" s="262"/>
      <c r="H43" s="262"/>
      <c r="I43" s="262"/>
      <c r="J43" s="262" t="s">
        <v>264</v>
      </c>
      <c r="K43" s="262"/>
      <c r="L43" s="262"/>
      <c r="M43" s="262"/>
      <c r="N43" s="262" t="s">
        <v>265</v>
      </c>
      <c r="O43" s="264"/>
    </row>
    <row r="44" spans="2:15" ht="60.75" thickBot="1">
      <c r="B44" s="259"/>
      <c r="C44" s="261"/>
      <c r="D44" s="263"/>
      <c r="E44" s="263"/>
      <c r="F44" s="70" t="s">
        <v>266</v>
      </c>
      <c r="G44" s="70" t="s">
        <v>126</v>
      </c>
      <c r="H44" s="70" t="s">
        <v>267</v>
      </c>
      <c r="I44" s="70" t="s">
        <v>268</v>
      </c>
      <c r="J44" s="70" t="s">
        <v>269</v>
      </c>
      <c r="K44" s="70" t="s">
        <v>126</v>
      </c>
      <c r="L44" s="70" t="s">
        <v>270</v>
      </c>
      <c r="M44" s="70" t="s">
        <v>271</v>
      </c>
      <c r="N44" s="70" t="s">
        <v>266</v>
      </c>
      <c r="O44" s="71" t="s">
        <v>268</v>
      </c>
    </row>
    <row r="45" spans="2:15" ht="15">
      <c r="B45" s="69">
        <v>1</v>
      </c>
      <c r="C45" s="72" t="s">
        <v>212</v>
      </c>
      <c r="D45" s="73"/>
      <c r="E45" s="74"/>
      <c r="F45" s="140">
        <f>I26</f>
        <v>0.28018599999999999</v>
      </c>
      <c r="G45" s="76"/>
      <c r="H45" s="75"/>
      <c r="I45" s="140">
        <f>F45+G45-H45</f>
        <v>0.28018599999999999</v>
      </c>
      <c r="J45" s="141"/>
      <c r="K45" s="142">
        <f>AVERAGE(F45,I45)*E45</f>
        <v>0</v>
      </c>
      <c r="L45" s="143"/>
      <c r="M45" s="144">
        <f>J45+K45-L45</f>
        <v>0</v>
      </c>
      <c r="N45" s="145">
        <f>F45-J45</f>
        <v>0.28018599999999999</v>
      </c>
      <c r="O45" s="145">
        <f>I45-M45</f>
        <v>0.28018599999999999</v>
      </c>
    </row>
    <row r="46" spans="2:15" ht="15">
      <c r="B46" s="77">
        <v>2</v>
      </c>
      <c r="C46" s="78" t="s">
        <v>116</v>
      </c>
      <c r="D46" s="79"/>
      <c r="E46" s="80"/>
      <c r="F46" s="146">
        <f>I27</f>
        <v>13.688452348000002</v>
      </c>
      <c r="G46" s="82"/>
      <c r="H46" s="81"/>
      <c r="I46" s="146">
        <f>F46+G46-H46</f>
        <v>13.688452348000002</v>
      </c>
      <c r="J46" s="147"/>
      <c r="K46" s="148">
        <f t="shared" ref="K46:K48" si="22">AVERAGE(F46,I46)*E46</f>
        <v>0</v>
      </c>
      <c r="L46" s="149"/>
      <c r="M46" s="150">
        <f t="shared" ref="M46:M48" si="23">J46+K46-L46</f>
        <v>0</v>
      </c>
      <c r="N46" s="146">
        <f t="shared" ref="N46:N48" si="24">F46-J46</f>
        <v>13.688452348000002</v>
      </c>
      <c r="O46" s="146">
        <f t="shared" ref="O46:O48" si="25">I46-M46</f>
        <v>13.688452348000002</v>
      </c>
    </row>
    <row r="47" spans="2:15" ht="15">
      <c r="B47" s="77">
        <v>3</v>
      </c>
      <c r="C47" s="84" t="s">
        <v>273</v>
      </c>
      <c r="D47" s="79"/>
      <c r="E47" s="80"/>
      <c r="F47" s="146">
        <f>I28</f>
        <v>0.52434219999999998</v>
      </c>
      <c r="G47" s="82"/>
      <c r="H47" s="81"/>
      <c r="I47" s="146">
        <f t="shared" ref="I47:I48" si="26">F47+G47-H47</f>
        <v>0.52434219999999998</v>
      </c>
      <c r="J47" s="147"/>
      <c r="K47" s="148">
        <f t="shared" si="22"/>
        <v>0</v>
      </c>
      <c r="L47" s="149"/>
      <c r="M47" s="150">
        <f t="shared" si="23"/>
        <v>0</v>
      </c>
      <c r="N47" s="146">
        <f t="shared" si="24"/>
        <v>0.52434219999999998</v>
      </c>
      <c r="O47" s="146">
        <f t="shared" si="25"/>
        <v>0.52434219999999998</v>
      </c>
    </row>
    <row r="48" spans="2:15" ht="15">
      <c r="B48" s="77"/>
      <c r="C48" s="84" t="s">
        <v>9</v>
      </c>
      <c r="D48" s="79"/>
      <c r="E48" s="85"/>
      <c r="F48" s="146">
        <f>I39</f>
        <v>0</v>
      </c>
      <c r="G48" s="82"/>
      <c r="H48" s="83"/>
      <c r="I48" s="146">
        <f t="shared" si="26"/>
        <v>0</v>
      </c>
      <c r="J48" s="147"/>
      <c r="K48" s="148">
        <f t="shared" si="22"/>
        <v>0</v>
      </c>
      <c r="L48" s="149"/>
      <c r="M48" s="150">
        <f t="shared" si="23"/>
        <v>0</v>
      </c>
      <c r="N48" s="146">
        <f t="shared" si="24"/>
        <v>0</v>
      </c>
      <c r="O48" s="146">
        <f t="shared" si="25"/>
        <v>0</v>
      </c>
    </row>
    <row r="49" spans="2:15" ht="15.75" thickBot="1">
      <c r="B49" s="86"/>
      <c r="C49" s="87" t="s">
        <v>127</v>
      </c>
      <c r="D49" s="87"/>
      <c r="E49" s="151">
        <f>IFERROR((K49-L49)/AVERAGE(F49,I49),0)</f>
        <v>8.5142347029197544E-3</v>
      </c>
      <c r="F49" s="152">
        <f>I40</f>
        <v>121.91841964100003</v>
      </c>
      <c r="G49" s="152">
        <f>'F3'!I12</f>
        <v>23.95</v>
      </c>
      <c r="H49" s="152">
        <f t="shared" ref="H49:O49" si="27">SUM(H45:H48)</f>
        <v>0</v>
      </c>
      <c r="I49" s="152">
        <f>F49+G49</f>
        <v>145.86841964100003</v>
      </c>
      <c r="J49" s="153">
        <f>M40</f>
        <v>90.521458817595416</v>
      </c>
      <c r="K49" s="152">
        <v>1.1399999999999999</v>
      </c>
      <c r="L49" s="154">
        <f t="shared" si="27"/>
        <v>0</v>
      </c>
      <c r="M49" s="153">
        <f>J49+K49</f>
        <v>91.661458817595417</v>
      </c>
      <c r="N49" s="152">
        <f t="shared" si="27"/>
        <v>14.492980548000002</v>
      </c>
      <c r="O49" s="152">
        <f t="shared" si="27"/>
        <v>14.492980548000002</v>
      </c>
    </row>
    <row r="50" spans="2:15" ht="15" thickBot="1"/>
    <row r="51" spans="2:15" ht="15">
      <c r="B51" s="255" t="s">
        <v>377</v>
      </c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6"/>
      <c r="N51" s="256"/>
      <c r="O51" s="257"/>
    </row>
    <row r="52" spans="2:15" ht="15">
      <c r="B52" s="258" t="s">
        <v>2</v>
      </c>
      <c r="C52" s="260" t="s">
        <v>274</v>
      </c>
      <c r="D52" s="262" t="s">
        <v>261</v>
      </c>
      <c r="E52" s="262" t="s">
        <v>262</v>
      </c>
      <c r="F52" s="262" t="s">
        <v>263</v>
      </c>
      <c r="G52" s="262"/>
      <c r="H52" s="262"/>
      <c r="I52" s="262"/>
      <c r="J52" s="262" t="s">
        <v>264</v>
      </c>
      <c r="K52" s="262"/>
      <c r="L52" s="262"/>
      <c r="M52" s="262"/>
      <c r="N52" s="262" t="s">
        <v>265</v>
      </c>
      <c r="O52" s="264"/>
    </row>
    <row r="53" spans="2:15" ht="60.75" thickBot="1">
      <c r="B53" s="259"/>
      <c r="C53" s="261"/>
      <c r="D53" s="263"/>
      <c r="E53" s="263"/>
      <c r="F53" s="70" t="s">
        <v>266</v>
      </c>
      <c r="G53" s="70" t="s">
        <v>126</v>
      </c>
      <c r="H53" s="70" t="s">
        <v>267</v>
      </c>
      <c r="I53" s="70" t="s">
        <v>268</v>
      </c>
      <c r="J53" s="70" t="s">
        <v>269</v>
      </c>
      <c r="K53" s="70" t="s">
        <v>126</v>
      </c>
      <c r="L53" s="70" t="s">
        <v>270</v>
      </c>
      <c r="M53" s="70" t="s">
        <v>271</v>
      </c>
      <c r="N53" s="70" t="s">
        <v>266</v>
      </c>
      <c r="O53" s="71" t="s">
        <v>268</v>
      </c>
    </row>
    <row r="54" spans="2:15" ht="15">
      <c r="B54" s="69">
        <v>1</v>
      </c>
      <c r="C54" s="72" t="s">
        <v>212</v>
      </c>
      <c r="D54" s="73"/>
      <c r="E54" s="74"/>
      <c r="F54" s="140">
        <f>I45</f>
        <v>0.28018599999999999</v>
      </c>
      <c r="G54" s="76"/>
      <c r="H54" s="75"/>
      <c r="I54" s="140">
        <f>F54+G54-H54</f>
        <v>0.28018599999999999</v>
      </c>
      <c r="J54" s="141"/>
      <c r="K54" s="142">
        <f>AVERAGE(F54,I54)*E54</f>
        <v>0</v>
      </c>
      <c r="L54" s="143"/>
      <c r="M54" s="144">
        <f>J54+K54-L54</f>
        <v>0</v>
      </c>
      <c r="N54" s="145">
        <f>F54-J54</f>
        <v>0.28018599999999999</v>
      </c>
      <c r="O54" s="145">
        <f>I54-M54</f>
        <v>0.28018599999999999</v>
      </c>
    </row>
    <row r="55" spans="2:15" ht="15">
      <c r="B55" s="77">
        <v>2</v>
      </c>
      <c r="C55" s="78" t="s">
        <v>116</v>
      </c>
      <c r="D55" s="79"/>
      <c r="E55" s="80"/>
      <c r="F55" s="146">
        <f>I46</f>
        <v>13.688452348000002</v>
      </c>
      <c r="G55" s="82"/>
      <c r="H55" s="81"/>
      <c r="I55" s="146">
        <f>F55+G55-H55</f>
        <v>13.688452348000002</v>
      </c>
      <c r="J55" s="147"/>
      <c r="K55" s="148">
        <f t="shared" ref="K55:K57" si="28">AVERAGE(F55,I55)*E55</f>
        <v>0</v>
      </c>
      <c r="L55" s="149"/>
      <c r="M55" s="150">
        <f t="shared" ref="M55:M57" si="29">J55+K55-L55</f>
        <v>0</v>
      </c>
      <c r="N55" s="146">
        <f t="shared" ref="N55:N57" si="30">F55-J55</f>
        <v>13.688452348000002</v>
      </c>
      <c r="O55" s="146">
        <f t="shared" ref="O55:O57" si="31">I55-M55</f>
        <v>13.688452348000002</v>
      </c>
    </row>
    <row r="56" spans="2:15" ht="15">
      <c r="B56" s="77">
        <v>3</v>
      </c>
      <c r="C56" s="84" t="s">
        <v>273</v>
      </c>
      <c r="D56" s="79"/>
      <c r="E56" s="80"/>
      <c r="F56" s="146">
        <f>I47</f>
        <v>0.52434219999999998</v>
      </c>
      <c r="G56" s="82"/>
      <c r="H56" s="81"/>
      <c r="I56" s="146">
        <f t="shared" ref="I56:I57" si="32">F56+G56-H56</f>
        <v>0.52434219999999998</v>
      </c>
      <c r="J56" s="147"/>
      <c r="K56" s="148">
        <f t="shared" si="28"/>
        <v>0</v>
      </c>
      <c r="L56" s="149"/>
      <c r="M56" s="150">
        <f t="shared" si="29"/>
        <v>0</v>
      </c>
      <c r="N56" s="146">
        <f t="shared" si="30"/>
        <v>0.52434219999999998</v>
      </c>
      <c r="O56" s="146">
        <f t="shared" si="31"/>
        <v>0.52434219999999998</v>
      </c>
    </row>
    <row r="57" spans="2:15" ht="15">
      <c r="B57" s="77"/>
      <c r="C57" s="84" t="s">
        <v>9</v>
      </c>
      <c r="D57" s="79"/>
      <c r="E57" s="85"/>
      <c r="F57" s="146">
        <f>I48</f>
        <v>0</v>
      </c>
      <c r="G57" s="82"/>
      <c r="H57" s="83"/>
      <c r="I57" s="146">
        <f t="shared" si="32"/>
        <v>0</v>
      </c>
      <c r="J57" s="147"/>
      <c r="K57" s="148">
        <f t="shared" si="28"/>
        <v>0</v>
      </c>
      <c r="L57" s="149"/>
      <c r="M57" s="150">
        <f t="shared" si="29"/>
        <v>0</v>
      </c>
      <c r="N57" s="146">
        <f t="shared" si="30"/>
        <v>0</v>
      </c>
      <c r="O57" s="146">
        <f t="shared" si="31"/>
        <v>0</v>
      </c>
    </row>
    <row r="58" spans="2:15" ht="15.75" thickBot="1">
      <c r="B58" s="86"/>
      <c r="C58" s="87" t="s">
        <v>127</v>
      </c>
      <c r="D58" s="87"/>
      <c r="E58" s="151">
        <f>IFERROR((K58-L58)/AVERAGE(F58,I58),0)</f>
        <v>1.7916092865397661E-2</v>
      </c>
      <c r="F58" s="152">
        <f>I49</f>
        <v>145.86841964100003</v>
      </c>
      <c r="G58" s="152">
        <f>'F3'!J12</f>
        <v>3.12</v>
      </c>
      <c r="H58" s="152">
        <f t="shared" ref="H58:O58" si="33">SUM(H54:H57)</f>
        <v>0</v>
      </c>
      <c r="I58" s="152">
        <f>F58+G58</f>
        <v>148.98841964100004</v>
      </c>
      <c r="J58" s="153">
        <f>M49</f>
        <v>91.661458817595417</v>
      </c>
      <c r="K58" s="152">
        <v>2.6413412572869732</v>
      </c>
      <c r="L58" s="154">
        <f t="shared" si="33"/>
        <v>0</v>
      </c>
      <c r="M58" s="153">
        <f>J58+K58</f>
        <v>94.302800074882384</v>
      </c>
      <c r="N58" s="152">
        <f t="shared" si="33"/>
        <v>14.492980548000002</v>
      </c>
      <c r="O58" s="152">
        <f t="shared" si="33"/>
        <v>14.492980548000002</v>
      </c>
    </row>
    <row r="59" spans="2:15" ht="15" thickBot="1"/>
    <row r="60" spans="2:15" ht="15">
      <c r="B60" s="255" t="s">
        <v>378</v>
      </c>
      <c r="C60" s="256"/>
      <c r="D60" s="256"/>
      <c r="E60" s="256"/>
      <c r="F60" s="256"/>
      <c r="G60" s="256"/>
      <c r="H60" s="256"/>
      <c r="I60" s="256"/>
      <c r="J60" s="256"/>
      <c r="K60" s="256"/>
      <c r="L60" s="256"/>
      <c r="M60" s="256"/>
      <c r="N60" s="256"/>
      <c r="O60" s="257"/>
    </row>
    <row r="61" spans="2:15" ht="15">
      <c r="B61" s="258" t="s">
        <v>2</v>
      </c>
      <c r="C61" s="260" t="s">
        <v>274</v>
      </c>
      <c r="D61" s="262" t="s">
        <v>261</v>
      </c>
      <c r="E61" s="262" t="s">
        <v>262</v>
      </c>
      <c r="F61" s="262" t="s">
        <v>263</v>
      </c>
      <c r="G61" s="262"/>
      <c r="H61" s="262"/>
      <c r="I61" s="262"/>
      <c r="J61" s="262" t="s">
        <v>264</v>
      </c>
      <c r="K61" s="262"/>
      <c r="L61" s="262"/>
      <c r="M61" s="262"/>
      <c r="N61" s="262" t="s">
        <v>265</v>
      </c>
      <c r="O61" s="264"/>
    </row>
    <row r="62" spans="2:15" ht="60.75" thickBot="1">
      <c r="B62" s="259"/>
      <c r="C62" s="261"/>
      <c r="D62" s="263"/>
      <c r="E62" s="263"/>
      <c r="F62" s="70" t="s">
        <v>266</v>
      </c>
      <c r="G62" s="70" t="s">
        <v>126</v>
      </c>
      <c r="H62" s="70" t="s">
        <v>267</v>
      </c>
      <c r="I62" s="70" t="s">
        <v>268</v>
      </c>
      <c r="J62" s="70" t="s">
        <v>269</v>
      </c>
      <c r="K62" s="70" t="s">
        <v>126</v>
      </c>
      <c r="L62" s="70" t="s">
        <v>270</v>
      </c>
      <c r="M62" s="70" t="s">
        <v>271</v>
      </c>
      <c r="N62" s="70" t="s">
        <v>266</v>
      </c>
      <c r="O62" s="71" t="s">
        <v>268</v>
      </c>
    </row>
    <row r="63" spans="2:15" ht="15">
      <c r="B63" s="69">
        <v>1</v>
      </c>
      <c r="C63" s="72" t="s">
        <v>212</v>
      </c>
      <c r="D63" s="73"/>
      <c r="E63" s="74"/>
      <c r="F63" s="140">
        <f>I54</f>
        <v>0.28018599999999999</v>
      </c>
      <c r="G63" s="76"/>
      <c r="H63" s="75"/>
      <c r="I63" s="140">
        <f>F63+G63-H63</f>
        <v>0.28018599999999999</v>
      </c>
      <c r="J63" s="141"/>
      <c r="K63" s="142">
        <f>AVERAGE(F63,I63)*E63</f>
        <v>0</v>
      </c>
      <c r="L63" s="143"/>
      <c r="M63" s="144">
        <f>J63+K63-L63</f>
        <v>0</v>
      </c>
      <c r="N63" s="145">
        <f>F63-J63</f>
        <v>0.28018599999999999</v>
      </c>
      <c r="O63" s="145">
        <f>I63-M63</f>
        <v>0.28018599999999999</v>
      </c>
    </row>
    <row r="64" spans="2:15" ht="15">
      <c r="B64" s="77">
        <v>2</v>
      </c>
      <c r="C64" s="78" t="s">
        <v>116</v>
      </c>
      <c r="D64" s="79"/>
      <c r="E64" s="80"/>
      <c r="F64" s="146">
        <f>I55</f>
        <v>13.688452348000002</v>
      </c>
      <c r="G64" s="82"/>
      <c r="H64" s="81"/>
      <c r="I64" s="146">
        <f>F64+G64-H64</f>
        <v>13.688452348000002</v>
      </c>
      <c r="J64" s="147"/>
      <c r="K64" s="148">
        <f t="shared" ref="K64:K66" si="34">AVERAGE(F64,I64)*E64</f>
        <v>0</v>
      </c>
      <c r="L64" s="149"/>
      <c r="M64" s="150">
        <f t="shared" ref="M64:M66" si="35">J64+K64-L64</f>
        <v>0</v>
      </c>
      <c r="N64" s="146">
        <f t="shared" ref="N64:N66" si="36">F64-J64</f>
        <v>13.688452348000002</v>
      </c>
      <c r="O64" s="146">
        <f t="shared" ref="O64:O66" si="37">I64-M64</f>
        <v>13.688452348000002</v>
      </c>
    </row>
    <row r="65" spans="2:15" ht="15">
      <c r="B65" s="77">
        <v>3</v>
      </c>
      <c r="C65" s="84" t="s">
        <v>273</v>
      </c>
      <c r="D65" s="79"/>
      <c r="E65" s="80"/>
      <c r="F65" s="146">
        <f>I56</f>
        <v>0.52434219999999998</v>
      </c>
      <c r="G65" s="82"/>
      <c r="H65" s="81"/>
      <c r="I65" s="146">
        <f t="shared" ref="I65:I66" si="38">F65+G65-H65</f>
        <v>0.52434219999999998</v>
      </c>
      <c r="J65" s="147"/>
      <c r="K65" s="148">
        <f t="shared" si="34"/>
        <v>0</v>
      </c>
      <c r="L65" s="149"/>
      <c r="M65" s="150">
        <f t="shared" si="35"/>
        <v>0</v>
      </c>
      <c r="N65" s="146">
        <f t="shared" si="36"/>
        <v>0.52434219999999998</v>
      </c>
      <c r="O65" s="146">
        <f t="shared" si="37"/>
        <v>0.52434219999999998</v>
      </c>
    </row>
    <row r="66" spans="2:15" ht="15">
      <c r="B66" s="77"/>
      <c r="C66" s="84" t="s">
        <v>9</v>
      </c>
      <c r="D66" s="79"/>
      <c r="E66" s="85"/>
      <c r="F66" s="146">
        <f>I57</f>
        <v>0</v>
      </c>
      <c r="G66" s="82"/>
      <c r="H66" s="83"/>
      <c r="I66" s="146">
        <f t="shared" si="38"/>
        <v>0</v>
      </c>
      <c r="J66" s="147"/>
      <c r="K66" s="148">
        <f t="shared" si="34"/>
        <v>0</v>
      </c>
      <c r="L66" s="149"/>
      <c r="M66" s="150">
        <f t="shared" si="35"/>
        <v>0</v>
      </c>
      <c r="N66" s="146">
        <f t="shared" si="36"/>
        <v>0</v>
      </c>
      <c r="O66" s="146">
        <f t="shared" si="37"/>
        <v>0</v>
      </c>
    </row>
    <row r="67" spans="2:15" ht="15.75" thickBot="1">
      <c r="B67" s="86"/>
      <c r="C67" s="87" t="s">
        <v>127</v>
      </c>
      <c r="D67" s="87"/>
      <c r="E67" s="151">
        <f>IFERROR((K67-L67)/AVERAGE(F67,I67),0)</f>
        <v>1.9074721999912652E-2</v>
      </c>
      <c r="F67" s="152">
        <f>I58</f>
        <v>148.98841964100004</v>
      </c>
      <c r="G67" s="152">
        <f t="shared" ref="G67:O67" si="39">SUM(G63:G66)</f>
        <v>0</v>
      </c>
      <c r="H67" s="152">
        <f t="shared" si="39"/>
        <v>0</v>
      </c>
      <c r="I67" s="152">
        <f>F67+G67</f>
        <v>148.98841964100004</v>
      </c>
      <c r="J67" s="153">
        <f>M58</f>
        <v>94.302800074882384</v>
      </c>
      <c r="K67" s="152">
        <v>2.8419126858584014</v>
      </c>
      <c r="L67" s="154">
        <f t="shared" si="39"/>
        <v>0</v>
      </c>
      <c r="M67" s="153">
        <f>J67+K67</f>
        <v>97.144712760740788</v>
      </c>
      <c r="N67" s="152">
        <f t="shared" si="39"/>
        <v>14.492980548000002</v>
      </c>
      <c r="O67" s="152">
        <f t="shared" si="39"/>
        <v>14.492980548000002</v>
      </c>
    </row>
    <row r="68" spans="2:15" ht="15" thickBot="1"/>
    <row r="69" spans="2:15" ht="15">
      <c r="B69" s="255" t="s">
        <v>379</v>
      </c>
      <c r="C69" s="256"/>
      <c r="D69" s="256"/>
      <c r="E69" s="256"/>
      <c r="F69" s="256"/>
      <c r="G69" s="256"/>
      <c r="H69" s="256"/>
      <c r="I69" s="256"/>
      <c r="J69" s="256"/>
      <c r="K69" s="256"/>
      <c r="L69" s="256"/>
      <c r="M69" s="256"/>
      <c r="N69" s="256"/>
      <c r="O69" s="257"/>
    </row>
    <row r="70" spans="2:15" ht="15">
      <c r="B70" s="258" t="s">
        <v>2</v>
      </c>
      <c r="C70" s="260" t="s">
        <v>274</v>
      </c>
      <c r="D70" s="262" t="s">
        <v>261</v>
      </c>
      <c r="E70" s="262" t="s">
        <v>262</v>
      </c>
      <c r="F70" s="262" t="s">
        <v>263</v>
      </c>
      <c r="G70" s="262"/>
      <c r="H70" s="262"/>
      <c r="I70" s="262"/>
      <c r="J70" s="262" t="s">
        <v>264</v>
      </c>
      <c r="K70" s="262"/>
      <c r="L70" s="262"/>
      <c r="M70" s="262"/>
      <c r="N70" s="262" t="s">
        <v>265</v>
      </c>
      <c r="O70" s="264"/>
    </row>
    <row r="71" spans="2:15" ht="60.75" thickBot="1">
      <c r="B71" s="259"/>
      <c r="C71" s="261"/>
      <c r="D71" s="263"/>
      <c r="E71" s="263"/>
      <c r="F71" s="70" t="s">
        <v>266</v>
      </c>
      <c r="G71" s="70" t="s">
        <v>126</v>
      </c>
      <c r="H71" s="70" t="s">
        <v>267</v>
      </c>
      <c r="I71" s="70" t="s">
        <v>268</v>
      </c>
      <c r="J71" s="70" t="s">
        <v>269</v>
      </c>
      <c r="K71" s="70" t="s">
        <v>126</v>
      </c>
      <c r="L71" s="70" t="s">
        <v>270</v>
      </c>
      <c r="M71" s="70" t="s">
        <v>271</v>
      </c>
      <c r="N71" s="70" t="s">
        <v>266</v>
      </c>
      <c r="O71" s="71" t="s">
        <v>268</v>
      </c>
    </row>
    <row r="72" spans="2:15" ht="15">
      <c r="B72" s="69">
        <v>1</v>
      </c>
      <c r="C72" s="72" t="s">
        <v>212</v>
      </c>
      <c r="D72" s="73"/>
      <c r="E72" s="74"/>
      <c r="F72" s="140">
        <f>I63</f>
        <v>0.28018599999999999</v>
      </c>
      <c r="G72" s="76"/>
      <c r="H72" s="75"/>
      <c r="I72" s="140">
        <f>F72+G72-H72</f>
        <v>0.28018599999999999</v>
      </c>
      <c r="J72" s="141"/>
      <c r="K72" s="142">
        <f>AVERAGE(F72,I72)*E72</f>
        <v>0</v>
      </c>
      <c r="L72" s="143"/>
      <c r="M72" s="144">
        <f>J72+K72-L72</f>
        <v>0</v>
      </c>
      <c r="N72" s="145">
        <f>F72-J72</f>
        <v>0.28018599999999999</v>
      </c>
      <c r="O72" s="145">
        <f>I72-M72</f>
        <v>0.28018599999999999</v>
      </c>
    </row>
    <row r="73" spans="2:15" ht="15">
      <c r="B73" s="77">
        <v>2</v>
      </c>
      <c r="C73" s="78" t="s">
        <v>116</v>
      </c>
      <c r="D73" s="79"/>
      <c r="E73" s="80"/>
      <c r="F73" s="146">
        <f>I64</f>
        <v>13.688452348000002</v>
      </c>
      <c r="G73" s="82"/>
      <c r="H73" s="81"/>
      <c r="I73" s="146">
        <f>F73+G73-H73</f>
        <v>13.688452348000002</v>
      </c>
      <c r="J73" s="147"/>
      <c r="K73" s="148">
        <f t="shared" ref="K73:K75" si="40">AVERAGE(F73,I73)*E73</f>
        <v>0</v>
      </c>
      <c r="L73" s="149"/>
      <c r="M73" s="150">
        <f t="shared" ref="M73:M75" si="41">J73+K73-L73</f>
        <v>0</v>
      </c>
      <c r="N73" s="146">
        <f t="shared" ref="N73:N75" si="42">F73-J73</f>
        <v>13.688452348000002</v>
      </c>
      <c r="O73" s="146">
        <f t="shared" ref="O73:O75" si="43">I73-M73</f>
        <v>13.688452348000002</v>
      </c>
    </row>
    <row r="74" spans="2:15" ht="15">
      <c r="B74" s="77">
        <v>3</v>
      </c>
      <c r="C74" s="84" t="s">
        <v>273</v>
      </c>
      <c r="D74" s="79"/>
      <c r="E74" s="80"/>
      <c r="F74" s="146">
        <f>I65</f>
        <v>0.52434219999999998</v>
      </c>
      <c r="G74" s="82"/>
      <c r="H74" s="81"/>
      <c r="I74" s="146">
        <f t="shared" ref="I74:I75" si="44">F74+G74-H74</f>
        <v>0.52434219999999998</v>
      </c>
      <c r="J74" s="147"/>
      <c r="K74" s="148">
        <f t="shared" si="40"/>
        <v>0</v>
      </c>
      <c r="L74" s="149"/>
      <c r="M74" s="150">
        <f t="shared" si="41"/>
        <v>0</v>
      </c>
      <c r="N74" s="146">
        <f t="shared" si="42"/>
        <v>0.52434219999999998</v>
      </c>
      <c r="O74" s="146">
        <f t="shared" si="43"/>
        <v>0.52434219999999998</v>
      </c>
    </row>
    <row r="75" spans="2:15" ht="15">
      <c r="B75" s="77"/>
      <c r="C75" s="84" t="s">
        <v>9</v>
      </c>
      <c r="D75" s="79"/>
      <c r="E75" s="85"/>
      <c r="F75" s="146">
        <f>I66</f>
        <v>0</v>
      </c>
      <c r="G75" s="82"/>
      <c r="H75" s="83"/>
      <c r="I75" s="146">
        <f t="shared" si="44"/>
        <v>0</v>
      </c>
      <c r="J75" s="147"/>
      <c r="K75" s="148">
        <f t="shared" si="40"/>
        <v>0</v>
      </c>
      <c r="L75" s="149"/>
      <c r="M75" s="150">
        <f t="shared" si="41"/>
        <v>0</v>
      </c>
      <c r="N75" s="146">
        <f t="shared" si="42"/>
        <v>0</v>
      </c>
      <c r="O75" s="146">
        <f t="shared" si="43"/>
        <v>0</v>
      </c>
    </row>
    <row r="76" spans="2:15" ht="15.75" thickBot="1">
      <c r="B76" s="86"/>
      <c r="C76" s="87" t="s">
        <v>127</v>
      </c>
      <c r="D76" s="87"/>
      <c r="E76" s="151">
        <f>IFERROR((K76-L76)/AVERAGE(F76,I76),0)</f>
        <v>1.9074721999912652E-2</v>
      </c>
      <c r="F76" s="152">
        <f>I67</f>
        <v>148.98841964100004</v>
      </c>
      <c r="G76" s="152">
        <f t="shared" ref="G76:O76" si="45">SUM(G72:G75)</f>
        <v>0</v>
      </c>
      <c r="H76" s="152">
        <f t="shared" si="45"/>
        <v>0</v>
      </c>
      <c r="I76" s="152">
        <f>F76+G76</f>
        <v>148.98841964100004</v>
      </c>
      <c r="J76" s="153">
        <f>M67</f>
        <v>97.144712760740788</v>
      </c>
      <c r="K76" s="152">
        <v>2.8419126858584014</v>
      </c>
      <c r="L76" s="154">
        <f t="shared" si="45"/>
        <v>0</v>
      </c>
      <c r="M76" s="153">
        <f>J76+K76</f>
        <v>99.986625446599191</v>
      </c>
      <c r="N76" s="152">
        <f t="shared" si="45"/>
        <v>14.492980548000002</v>
      </c>
      <c r="O76" s="152">
        <f t="shared" si="45"/>
        <v>14.492980548000002</v>
      </c>
    </row>
    <row r="77" spans="2:15" ht="15" thickBot="1"/>
    <row r="78" spans="2:15" ht="15">
      <c r="B78" s="255" t="s">
        <v>380</v>
      </c>
      <c r="C78" s="256"/>
      <c r="D78" s="256"/>
      <c r="E78" s="256"/>
      <c r="F78" s="256"/>
      <c r="G78" s="256"/>
      <c r="H78" s="256"/>
      <c r="I78" s="256"/>
      <c r="J78" s="256"/>
      <c r="K78" s="256"/>
      <c r="L78" s="256"/>
      <c r="M78" s="256"/>
      <c r="N78" s="256"/>
      <c r="O78" s="257"/>
    </row>
    <row r="79" spans="2:15" ht="15">
      <c r="B79" s="258" t="s">
        <v>2</v>
      </c>
      <c r="C79" s="260" t="s">
        <v>274</v>
      </c>
      <c r="D79" s="262" t="s">
        <v>261</v>
      </c>
      <c r="E79" s="262" t="s">
        <v>262</v>
      </c>
      <c r="F79" s="262" t="s">
        <v>263</v>
      </c>
      <c r="G79" s="262"/>
      <c r="H79" s="262"/>
      <c r="I79" s="262"/>
      <c r="J79" s="262" t="s">
        <v>264</v>
      </c>
      <c r="K79" s="262"/>
      <c r="L79" s="262"/>
      <c r="M79" s="262"/>
      <c r="N79" s="262" t="s">
        <v>265</v>
      </c>
      <c r="O79" s="264"/>
    </row>
    <row r="80" spans="2:15" ht="60.75" thickBot="1">
      <c r="B80" s="259"/>
      <c r="C80" s="261"/>
      <c r="D80" s="263"/>
      <c r="E80" s="263"/>
      <c r="F80" s="70" t="s">
        <v>266</v>
      </c>
      <c r="G80" s="70" t="s">
        <v>126</v>
      </c>
      <c r="H80" s="70" t="s">
        <v>267</v>
      </c>
      <c r="I80" s="70" t="s">
        <v>268</v>
      </c>
      <c r="J80" s="70" t="s">
        <v>269</v>
      </c>
      <c r="K80" s="70" t="s">
        <v>126</v>
      </c>
      <c r="L80" s="70" t="s">
        <v>270</v>
      </c>
      <c r="M80" s="70" t="s">
        <v>271</v>
      </c>
      <c r="N80" s="70" t="s">
        <v>266</v>
      </c>
      <c r="O80" s="71" t="s">
        <v>268</v>
      </c>
    </row>
    <row r="81" spans="2:15" ht="15">
      <c r="B81" s="69">
        <v>1</v>
      </c>
      <c r="C81" s="72" t="s">
        <v>212</v>
      </c>
      <c r="D81" s="73"/>
      <c r="E81" s="74"/>
      <c r="F81" s="140">
        <f>I72</f>
        <v>0.28018599999999999</v>
      </c>
      <c r="G81" s="76"/>
      <c r="H81" s="75"/>
      <c r="I81" s="140">
        <f>F81+G81-H81</f>
        <v>0.28018599999999999</v>
      </c>
      <c r="J81" s="141"/>
      <c r="K81" s="142">
        <f>AVERAGE(F81,I81)*E81</f>
        <v>0</v>
      </c>
      <c r="L81" s="143"/>
      <c r="M81" s="144">
        <f>J81+K81-L81</f>
        <v>0</v>
      </c>
      <c r="N81" s="145">
        <f>F81-J81</f>
        <v>0.28018599999999999</v>
      </c>
      <c r="O81" s="145">
        <f>I81-M81</f>
        <v>0.28018599999999999</v>
      </c>
    </row>
    <row r="82" spans="2:15" ht="15">
      <c r="B82" s="77">
        <v>2</v>
      </c>
      <c r="C82" s="78" t="s">
        <v>116</v>
      </c>
      <c r="D82" s="79"/>
      <c r="E82" s="80"/>
      <c r="F82" s="146">
        <f>I73</f>
        <v>13.688452348000002</v>
      </c>
      <c r="G82" s="82"/>
      <c r="H82" s="81"/>
      <c r="I82" s="146">
        <f>F82+G82-H82</f>
        <v>13.688452348000002</v>
      </c>
      <c r="J82" s="147"/>
      <c r="K82" s="148">
        <f t="shared" ref="K82:K84" si="46">AVERAGE(F82,I82)*E82</f>
        <v>0</v>
      </c>
      <c r="L82" s="149"/>
      <c r="M82" s="150">
        <f t="shared" ref="M82:M84" si="47">J82+K82-L82</f>
        <v>0</v>
      </c>
      <c r="N82" s="146">
        <f t="shared" ref="N82:N84" si="48">F82-J82</f>
        <v>13.688452348000002</v>
      </c>
      <c r="O82" s="146">
        <f t="shared" ref="O82:O84" si="49">I82-M82</f>
        <v>13.688452348000002</v>
      </c>
    </row>
    <row r="83" spans="2:15" ht="15">
      <c r="B83" s="77">
        <v>3</v>
      </c>
      <c r="C83" s="84" t="s">
        <v>273</v>
      </c>
      <c r="D83" s="79"/>
      <c r="E83" s="80"/>
      <c r="F83" s="146">
        <f>I74</f>
        <v>0.52434219999999998</v>
      </c>
      <c r="G83" s="82"/>
      <c r="H83" s="81"/>
      <c r="I83" s="146">
        <f t="shared" ref="I83:I84" si="50">F83+G83-H83</f>
        <v>0.52434219999999998</v>
      </c>
      <c r="J83" s="147"/>
      <c r="K83" s="148">
        <f t="shared" si="46"/>
        <v>0</v>
      </c>
      <c r="L83" s="149"/>
      <c r="M83" s="150">
        <f t="shared" si="47"/>
        <v>0</v>
      </c>
      <c r="N83" s="146">
        <f t="shared" si="48"/>
        <v>0.52434219999999998</v>
      </c>
      <c r="O83" s="146">
        <f t="shared" si="49"/>
        <v>0.52434219999999998</v>
      </c>
    </row>
    <row r="84" spans="2:15" ht="15">
      <c r="B84" s="77"/>
      <c r="C84" s="84" t="s">
        <v>9</v>
      </c>
      <c r="D84" s="79"/>
      <c r="E84" s="85"/>
      <c r="F84" s="146">
        <f>I75</f>
        <v>0</v>
      </c>
      <c r="G84" s="82"/>
      <c r="H84" s="83"/>
      <c r="I84" s="146">
        <f t="shared" si="50"/>
        <v>0</v>
      </c>
      <c r="J84" s="147"/>
      <c r="K84" s="148">
        <f t="shared" si="46"/>
        <v>0</v>
      </c>
      <c r="L84" s="149"/>
      <c r="M84" s="150">
        <f t="shared" si="47"/>
        <v>0</v>
      </c>
      <c r="N84" s="146">
        <f t="shared" si="48"/>
        <v>0</v>
      </c>
      <c r="O84" s="146">
        <f t="shared" si="49"/>
        <v>0</v>
      </c>
    </row>
    <row r="85" spans="2:15" ht="15.75" thickBot="1">
      <c r="B85" s="86"/>
      <c r="C85" s="87" t="s">
        <v>127</v>
      </c>
      <c r="D85" s="87"/>
      <c r="E85" s="151">
        <f>IFERROR((K85-L85)/AVERAGE(F85,I85),0)</f>
        <v>1.9074721999912652E-2</v>
      </c>
      <c r="F85" s="152">
        <f>I76</f>
        <v>148.98841964100004</v>
      </c>
      <c r="G85" s="152">
        <f t="shared" ref="G85:O85" si="51">SUM(G81:G84)</f>
        <v>0</v>
      </c>
      <c r="H85" s="152">
        <f t="shared" si="51"/>
        <v>0</v>
      </c>
      <c r="I85" s="152">
        <f>F85+G85</f>
        <v>148.98841964100004</v>
      </c>
      <c r="J85" s="153">
        <f>M76</f>
        <v>99.986625446599191</v>
      </c>
      <c r="K85" s="152">
        <v>2.8419126858584014</v>
      </c>
      <c r="L85" s="154">
        <f t="shared" si="51"/>
        <v>0</v>
      </c>
      <c r="M85" s="153">
        <f>J85+K85</f>
        <v>102.8285381324576</v>
      </c>
      <c r="N85" s="152">
        <f t="shared" si="51"/>
        <v>14.492980548000002</v>
      </c>
      <c r="O85" s="152">
        <f t="shared" si="51"/>
        <v>14.492980548000002</v>
      </c>
    </row>
  </sheetData>
  <mergeCells count="56">
    <mergeCell ref="B6:O6"/>
    <mergeCell ref="J24:M24"/>
    <mergeCell ref="N24:O24"/>
    <mergeCell ref="B23:O23"/>
    <mergeCell ref="B7:B8"/>
    <mergeCell ref="C7:C8"/>
    <mergeCell ref="D7:D8"/>
    <mergeCell ref="E7:E8"/>
    <mergeCell ref="F7:I7"/>
    <mergeCell ref="J7:M7"/>
    <mergeCell ref="N7:O7"/>
    <mergeCell ref="B24:B25"/>
    <mergeCell ref="C24:C25"/>
    <mergeCell ref="D24:D25"/>
    <mergeCell ref="E24:E25"/>
    <mergeCell ref="F24:I24"/>
    <mergeCell ref="B42:O42"/>
    <mergeCell ref="B43:B44"/>
    <mergeCell ref="C43:C44"/>
    <mergeCell ref="D43:D44"/>
    <mergeCell ref="E43:E44"/>
    <mergeCell ref="F43:I43"/>
    <mergeCell ref="J43:M43"/>
    <mergeCell ref="N43:O43"/>
    <mergeCell ref="B51:O51"/>
    <mergeCell ref="B52:B53"/>
    <mergeCell ref="C52:C53"/>
    <mergeCell ref="D52:D53"/>
    <mergeCell ref="E52:E53"/>
    <mergeCell ref="F52:I52"/>
    <mergeCell ref="J52:M52"/>
    <mergeCell ref="N52:O52"/>
    <mergeCell ref="B60:O60"/>
    <mergeCell ref="B61:B62"/>
    <mergeCell ref="C61:C62"/>
    <mergeCell ref="D61:D62"/>
    <mergeCell ref="E61:E62"/>
    <mergeCell ref="F61:I61"/>
    <mergeCell ref="J61:M61"/>
    <mergeCell ref="N61:O61"/>
    <mergeCell ref="B69:O69"/>
    <mergeCell ref="B70:B71"/>
    <mergeCell ref="C70:C71"/>
    <mergeCell ref="D70:D71"/>
    <mergeCell ref="E70:E71"/>
    <mergeCell ref="F70:I70"/>
    <mergeCell ref="J70:M70"/>
    <mergeCell ref="N70:O70"/>
    <mergeCell ref="B78:O78"/>
    <mergeCell ref="B79:B80"/>
    <mergeCell ref="C79:C80"/>
    <mergeCell ref="D79:D80"/>
    <mergeCell ref="E79:E80"/>
    <mergeCell ref="F79:I79"/>
    <mergeCell ref="J79:M79"/>
    <mergeCell ref="N79:O79"/>
  </mergeCells>
  <pageMargins left="0.78" right="0.23622047244094491" top="0.98425196850393704" bottom="0.98425196850393704" header="0.23622047244094491" footer="0.23622047244094491"/>
  <pageSetup paperSize="9" scale="45" orientation="portrait" r:id="rId1"/>
  <headerFooter alignWithMargins="0">
    <oddHeader>&amp;F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62"/>
  <sheetViews>
    <sheetView showGridLines="0" view="pageBreakPreview" zoomScale="90" zoomScaleNormal="80" zoomScaleSheetLayoutView="90" workbookViewId="0">
      <selection activeCell="G15" sqref="G15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6.710937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7" width="13.7109375" style="5" bestFit="1" customWidth="1"/>
    <col min="8" max="8" width="12.5703125" style="5" bestFit="1" customWidth="1"/>
    <col min="9" max="9" width="13.28515625" style="5" bestFit="1" customWidth="1"/>
    <col min="10" max="10" width="12.5703125" style="5" customWidth="1"/>
    <col min="11" max="11" width="11.7109375" style="5" bestFit="1" customWidth="1"/>
    <col min="12" max="12" width="13.7109375" style="5" bestFit="1" customWidth="1"/>
    <col min="13" max="18" width="11.7109375" style="5" bestFit="1" customWidth="1"/>
    <col min="19" max="16384" width="9.28515625" style="5"/>
  </cols>
  <sheetData>
    <row r="1" spans="2:15" ht="15">
      <c r="B1" s="30"/>
    </row>
    <row r="2" spans="2:15" ht="14.25" customHeight="1">
      <c r="B2" s="245" t="s">
        <v>398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2:15" ht="14.25" customHeight="1">
      <c r="B3" s="245" t="s">
        <v>381</v>
      </c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</row>
    <row r="4" spans="2:15" ht="14.25" customHeight="1">
      <c r="B4" s="246" t="s">
        <v>280</v>
      </c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</row>
    <row r="5" spans="2:15" ht="15">
      <c r="B5" s="40" t="s">
        <v>45</v>
      </c>
      <c r="C5" s="30" t="s">
        <v>281</v>
      </c>
      <c r="D5" s="31"/>
      <c r="E5" s="31"/>
      <c r="F5" s="31"/>
      <c r="G5" s="31"/>
      <c r="H5" s="31"/>
      <c r="I5" s="31"/>
      <c r="J5" s="31"/>
      <c r="K5" s="31"/>
      <c r="L5" s="31"/>
    </row>
    <row r="6" spans="2:15" ht="15">
      <c r="O6" s="32" t="s">
        <v>4</v>
      </c>
    </row>
    <row r="7" spans="2:15" s="19" customFormat="1" ht="15" customHeight="1">
      <c r="B7" s="235" t="s">
        <v>186</v>
      </c>
      <c r="C7" s="238" t="s">
        <v>18</v>
      </c>
      <c r="D7" s="242" t="s">
        <v>372</v>
      </c>
      <c r="E7" s="243"/>
      <c r="F7" s="244"/>
      <c r="G7" s="89" t="s">
        <v>375</v>
      </c>
      <c r="H7" s="221"/>
      <c r="I7" s="252" t="s">
        <v>225</v>
      </c>
      <c r="J7" s="252"/>
      <c r="K7" s="252"/>
      <c r="L7" s="252"/>
      <c r="M7" s="252"/>
    </row>
    <row r="8" spans="2:15" s="19" customFormat="1" ht="45">
      <c r="B8" s="236"/>
      <c r="C8" s="238"/>
      <c r="D8" s="21" t="s">
        <v>328</v>
      </c>
      <c r="E8" s="21" t="s">
        <v>245</v>
      </c>
      <c r="F8" s="21" t="s">
        <v>201</v>
      </c>
      <c r="G8" s="21" t="s">
        <v>328</v>
      </c>
      <c r="H8" s="21" t="s">
        <v>244</v>
      </c>
      <c r="I8" s="21" t="s">
        <v>376</v>
      </c>
      <c r="J8" s="21" t="s">
        <v>377</v>
      </c>
      <c r="K8" s="21" t="s">
        <v>378</v>
      </c>
      <c r="L8" s="21" t="s">
        <v>379</v>
      </c>
      <c r="M8" s="21" t="s">
        <v>380</v>
      </c>
    </row>
    <row r="9" spans="2:15" s="19" customFormat="1" ht="15">
      <c r="B9" s="237"/>
      <c r="C9" s="239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5">
      <c r="B10" s="66">
        <v>1</v>
      </c>
      <c r="C10" s="33" t="s">
        <v>165</v>
      </c>
      <c r="D10" s="2">
        <f>'F4'!F21*70%</f>
        <v>85.253</v>
      </c>
      <c r="E10" s="33">
        <f>D10</f>
        <v>85.253</v>
      </c>
      <c r="F10" s="33">
        <f>D10</f>
        <v>85.253</v>
      </c>
      <c r="G10" s="27">
        <f>D10</f>
        <v>85.253</v>
      </c>
      <c r="H10" s="133">
        <f>E10+E14</f>
        <v>85.316000000000003</v>
      </c>
      <c r="I10" s="133">
        <f>H10+H14</f>
        <v>85.344000000000008</v>
      </c>
      <c r="J10" s="133">
        <f t="shared" ref="J10:M10" si="0">I10+I14</f>
        <v>102.10900000000001</v>
      </c>
      <c r="K10" s="133">
        <f t="shared" si="0"/>
        <v>104.29300000000001</v>
      </c>
      <c r="L10" s="133">
        <f t="shared" si="0"/>
        <v>104.29300000000001</v>
      </c>
      <c r="M10" s="133">
        <f t="shared" si="0"/>
        <v>104.29300000000001</v>
      </c>
    </row>
    <row r="11" spans="2:15">
      <c r="B11" s="26">
        <f>B10+1</f>
        <v>2</v>
      </c>
      <c r="C11" s="33" t="s">
        <v>166</v>
      </c>
      <c r="D11" s="161">
        <f>'F4'!J21</f>
        <v>88.13</v>
      </c>
      <c r="E11" s="160">
        <f>D11</f>
        <v>88.13</v>
      </c>
      <c r="F11" s="160">
        <f>E11</f>
        <v>88.13</v>
      </c>
      <c r="G11" s="27"/>
      <c r="H11" s="133">
        <f>'F4'!J40</f>
        <v>89.323388888888886</v>
      </c>
      <c r="I11" s="133">
        <f>H11+H15</f>
        <v>90.521458817595416</v>
      </c>
      <c r="J11" s="133">
        <f t="shared" ref="J11:M11" si="1">I11+I15</f>
        <v>91.661458817595417</v>
      </c>
      <c r="K11" s="133">
        <f t="shared" si="1"/>
        <v>94.302800074882384</v>
      </c>
      <c r="L11" s="133">
        <f t="shared" si="1"/>
        <v>97.144712760740788</v>
      </c>
      <c r="M11" s="133">
        <f t="shared" si="1"/>
        <v>99.986625446599191</v>
      </c>
    </row>
    <row r="12" spans="2:15" ht="15">
      <c r="B12" s="26">
        <f t="shared" ref="B12:B22" si="2">B11+1</f>
        <v>3</v>
      </c>
      <c r="C12" s="35" t="s">
        <v>167</v>
      </c>
      <c r="D12" s="139">
        <v>0</v>
      </c>
      <c r="E12" s="139">
        <v>0</v>
      </c>
      <c r="F12" s="139">
        <v>0</v>
      </c>
      <c r="G12" s="139">
        <v>0</v>
      </c>
      <c r="H12" s="139">
        <v>0</v>
      </c>
      <c r="I12" s="139">
        <v>0</v>
      </c>
      <c r="J12" s="139">
        <f t="shared" ref="J12:M12" si="3">J10-J11</f>
        <v>10.447541182404592</v>
      </c>
      <c r="K12" s="139">
        <f t="shared" si="3"/>
        <v>9.9901999251176221</v>
      </c>
      <c r="L12" s="139">
        <f t="shared" si="3"/>
        <v>7.1482872392592185</v>
      </c>
      <c r="M12" s="139">
        <f t="shared" si="3"/>
        <v>4.3063745534008149</v>
      </c>
    </row>
    <row r="13" spans="2:15" ht="28.5">
      <c r="B13" s="26">
        <f t="shared" si="2"/>
        <v>4</v>
      </c>
      <c r="C13" s="91" t="s">
        <v>168</v>
      </c>
      <c r="D13" s="158"/>
      <c r="E13" s="158"/>
      <c r="F13" s="158"/>
      <c r="G13" s="158"/>
      <c r="H13" s="158"/>
      <c r="I13" s="158"/>
      <c r="J13" s="158"/>
      <c r="K13" s="158"/>
      <c r="L13" s="158"/>
      <c r="M13" s="158"/>
    </row>
    <row r="14" spans="2:15" s="39" customFormat="1" ht="28.5">
      <c r="B14" s="26">
        <f t="shared" si="2"/>
        <v>5</v>
      </c>
      <c r="C14" s="43" t="s">
        <v>367</v>
      </c>
      <c r="D14" s="158"/>
      <c r="E14" s="168">
        <f>F3.1!H14*70%</f>
        <v>6.3E-2</v>
      </c>
      <c r="F14" s="168">
        <f>E14</f>
        <v>6.3E-2</v>
      </c>
      <c r="G14" s="175"/>
      <c r="H14" s="176">
        <f>F3.1!H20*70%</f>
        <v>2.7999999999999997E-2</v>
      </c>
      <c r="I14" s="176">
        <f>F3.1!H26*70%</f>
        <v>16.764999999999997</v>
      </c>
      <c r="J14" s="176">
        <f>F3.1!H32*70%</f>
        <v>2.1839999999999997</v>
      </c>
      <c r="K14" s="176">
        <f>F3.1!H38*70%</f>
        <v>0</v>
      </c>
      <c r="L14" s="176">
        <f>F3.1!H44*70%</f>
        <v>0</v>
      </c>
      <c r="M14" s="176">
        <f>F3.1!H50*70%</f>
        <v>0</v>
      </c>
    </row>
    <row r="15" spans="2:15">
      <c r="B15" s="26">
        <f t="shared" si="2"/>
        <v>6</v>
      </c>
      <c r="C15" s="91" t="s">
        <v>173</v>
      </c>
      <c r="D15" s="178">
        <f>'F1'!F12</f>
        <v>4.04</v>
      </c>
      <c r="E15" s="178">
        <f>'F1'!G12</f>
        <v>1.1933888888888893</v>
      </c>
      <c r="F15" s="178">
        <f>'F1'!H12</f>
        <v>1.1933888888888893</v>
      </c>
      <c r="G15" s="178">
        <f>'F1'!I12</f>
        <v>3.95</v>
      </c>
      <c r="H15" s="178">
        <f>'F1'!J12</f>
        <v>1.1980699287065364</v>
      </c>
      <c r="I15" s="178">
        <f>'F1'!K12</f>
        <v>1.1399999999999999</v>
      </c>
      <c r="J15" s="178">
        <f>'F1'!L12</f>
        <v>2.6413412572869732</v>
      </c>
      <c r="K15" s="178">
        <f>'F1'!M12</f>
        <v>2.8419126858584014</v>
      </c>
      <c r="L15" s="178">
        <f>'F1'!N12</f>
        <v>2.8419126858584014</v>
      </c>
      <c r="M15" s="178">
        <f>'F1'!O12</f>
        <v>2.8419126858584014</v>
      </c>
    </row>
    <row r="16" spans="2:15" ht="15">
      <c r="B16" s="26">
        <f t="shared" si="2"/>
        <v>7</v>
      </c>
      <c r="C16" s="33" t="s">
        <v>169</v>
      </c>
      <c r="D16" s="139">
        <f>D12-D13+D14-D15</f>
        <v>-4.04</v>
      </c>
      <c r="E16" s="139">
        <f t="shared" ref="E16:M16" si="4">E12-E13+E14-E15</f>
        <v>-1.1303888888888893</v>
      </c>
      <c r="F16" s="139">
        <f t="shared" si="4"/>
        <v>-1.1303888888888893</v>
      </c>
      <c r="G16" s="139">
        <f t="shared" si="4"/>
        <v>-3.95</v>
      </c>
      <c r="H16" s="139">
        <f t="shared" si="4"/>
        <v>-1.1700699287065364</v>
      </c>
      <c r="I16" s="139">
        <f>I10-I11-I13+I14-I15</f>
        <v>10.447541182404589</v>
      </c>
      <c r="J16" s="139">
        <f t="shared" si="4"/>
        <v>9.9901999251176186</v>
      </c>
      <c r="K16" s="139">
        <f t="shared" si="4"/>
        <v>7.1482872392592203</v>
      </c>
      <c r="L16" s="139">
        <f t="shared" si="4"/>
        <v>4.3063745534008167</v>
      </c>
      <c r="M16" s="139">
        <f t="shared" si="4"/>
        <v>1.4644618675424135</v>
      </c>
    </row>
    <row r="17" spans="2:13" ht="15">
      <c r="B17" s="26">
        <f t="shared" si="2"/>
        <v>8</v>
      </c>
      <c r="C17" s="33" t="s">
        <v>170</v>
      </c>
      <c r="D17" s="139">
        <f>D10-D13+D14-D15</f>
        <v>81.212999999999994</v>
      </c>
      <c r="E17" s="139">
        <f t="shared" ref="E17:M17" si="5">E10-E13+E14-E15</f>
        <v>84.122611111111112</v>
      </c>
      <c r="F17" s="139">
        <f t="shared" si="5"/>
        <v>84.122611111111112</v>
      </c>
      <c r="G17" s="139">
        <f t="shared" si="5"/>
        <v>81.302999999999997</v>
      </c>
      <c r="H17" s="139">
        <f t="shared" si="5"/>
        <v>84.145930071293478</v>
      </c>
      <c r="I17" s="139">
        <f t="shared" si="5"/>
        <v>100.96900000000001</v>
      </c>
      <c r="J17" s="139">
        <f t="shared" si="5"/>
        <v>101.65165874271304</v>
      </c>
      <c r="K17" s="139">
        <f t="shared" si="5"/>
        <v>101.4510873141416</v>
      </c>
      <c r="L17" s="139">
        <f t="shared" si="5"/>
        <v>101.4510873141416</v>
      </c>
      <c r="M17" s="139">
        <f t="shared" si="5"/>
        <v>101.4510873141416</v>
      </c>
    </row>
    <row r="18" spans="2:13" ht="15">
      <c r="B18" s="26">
        <f t="shared" si="2"/>
        <v>9</v>
      </c>
      <c r="C18" s="33" t="s">
        <v>205</v>
      </c>
      <c r="D18" s="139">
        <f>AVERAGE(D12,D16)</f>
        <v>-2.02</v>
      </c>
      <c r="E18" s="139">
        <f t="shared" ref="E18:M18" si="6">AVERAGE(E12,E16)</f>
        <v>-0.56519444444444467</v>
      </c>
      <c r="F18" s="139">
        <f t="shared" si="6"/>
        <v>-0.56519444444444467</v>
      </c>
      <c r="G18" s="139">
        <f t="shared" si="6"/>
        <v>-1.9750000000000001</v>
      </c>
      <c r="H18" s="139">
        <f t="shared" si="6"/>
        <v>-0.58503496435326818</v>
      </c>
      <c r="I18" s="139">
        <f t="shared" si="6"/>
        <v>5.2237705912022943</v>
      </c>
      <c r="J18" s="139">
        <f t="shared" si="6"/>
        <v>10.218870553761105</v>
      </c>
      <c r="K18" s="139">
        <f t="shared" si="6"/>
        <v>8.5692435821884203</v>
      </c>
      <c r="L18" s="139">
        <f t="shared" si="6"/>
        <v>5.7273308963300176</v>
      </c>
      <c r="M18" s="139">
        <f t="shared" si="6"/>
        <v>2.885418210471614</v>
      </c>
    </row>
    <row r="19" spans="2:13">
      <c r="B19" s="26">
        <f t="shared" si="2"/>
        <v>10</v>
      </c>
      <c r="C19" s="91" t="s">
        <v>204</v>
      </c>
      <c r="D19" s="156">
        <v>0.125</v>
      </c>
      <c r="E19" s="156">
        <v>0.125</v>
      </c>
      <c r="F19" s="156">
        <v>0.125</v>
      </c>
      <c r="G19" s="156">
        <v>0.125</v>
      </c>
      <c r="H19" s="156">
        <v>0.125</v>
      </c>
      <c r="I19" s="156">
        <v>0.125</v>
      </c>
      <c r="J19" s="156">
        <v>0.125</v>
      </c>
      <c r="K19" s="156">
        <v>0.125</v>
      </c>
      <c r="L19" s="156">
        <v>0.125</v>
      </c>
      <c r="M19" s="156">
        <v>0.125</v>
      </c>
    </row>
    <row r="20" spans="2:13" ht="15">
      <c r="B20" s="26">
        <f t="shared" si="2"/>
        <v>11</v>
      </c>
      <c r="C20" s="33" t="s">
        <v>282</v>
      </c>
      <c r="D20" s="139">
        <f>D18*D19</f>
        <v>-0.2525</v>
      </c>
      <c r="E20" s="139">
        <f>E18*E19</f>
        <v>-7.0649305555555583E-2</v>
      </c>
      <c r="F20" s="139">
        <f t="shared" ref="F20:M20" si="7">F18*F19</f>
        <v>-7.0649305555555583E-2</v>
      </c>
      <c r="G20" s="139">
        <f t="shared" si="7"/>
        <v>-0.24687500000000001</v>
      </c>
      <c r="H20" s="139">
        <f t="shared" si="7"/>
        <v>-7.3129370544158523E-2</v>
      </c>
      <c r="I20" s="139">
        <f t="shared" si="7"/>
        <v>0.65297132390028678</v>
      </c>
      <c r="J20" s="139">
        <f t="shared" si="7"/>
        <v>1.2773588192201382</v>
      </c>
      <c r="K20" s="139">
        <f t="shared" si="7"/>
        <v>1.0711554477735525</v>
      </c>
      <c r="L20" s="139">
        <f t="shared" si="7"/>
        <v>0.7159163620412522</v>
      </c>
      <c r="M20" s="139">
        <f t="shared" si="7"/>
        <v>0.36067727630895174</v>
      </c>
    </row>
    <row r="21" spans="2:13">
      <c r="B21" s="26">
        <f t="shared" si="2"/>
        <v>12</v>
      </c>
      <c r="C21" s="33" t="s">
        <v>285</v>
      </c>
      <c r="D21" s="92"/>
      <c r="E21" s="92"/>
      <c r="F21" s="92"/>
      <c r="G21" s="92"/>
      <c r="H21" s="92"/>
      <c r="I21" s="92"/>
      <c r="J21" s="92"/>
      <c r="K21" s="92"/>
      <c r="L21" s="92"/>
      <c r="M21" s="92"/>
    </row>
    <row r="22" spans="2:13" ht="15">
      <c r="B22" s="26">
        <f t="shared" si="2"/>
        <v>13</v>
      </c>
      <c r="C22" s="33" t="s">
        <v>286</v>
      </c>
      <c r="D22" s="139">
        <v>0.39</v>
      </c>
      <c r="E22" s="139">
        <v>0</v>
      </c>
      <c r="F22" s="139">
        <v>0</v>
      </c>
      <c r="G22" s="139">
        <v>0.37</v>
      </c>
      <c r="H22" s="139">
        <v>0</v>
      </c>
      <c r="I22" s="139">
        <f>I20+I21</f>
        <v>0.65297132390028678</v>
      </c>
      <c r="J22" s="139">
        <f>J20+J21</f>
        <v>1.2773588192201382</v>
      </c>
      <c r="K22" s="139">
        <f t="shared" ref="K22:M22" si="8">K20+K21</f>
        <v>1.0711554477735525</v>
      </c>
      <c r="L22" s="139">
        <f t="shared" si="8"/>
        <v>0.7159163620412522</v>
      </c>
      <c r="M22" s="139">
        <f t="shared" si="8"/>
        <v>0.36067727630895174</v>
      </c>
    </row>
    <row r="23" spans="2:13">
      <c r="B23" s="179"/>
    </row>
    <row r="24" spans="2:13">
      <c r="B24" s="179"/>
      <c r="C24" s="5" t="s">
        <v>247</v>
      </c>
    </row>
    <row r="25" spans="2:13">
      <c r="C25" s="5" t="s">
        <v>368</v>
      </c>
    </row>
    <row r="27" spans="2:13" ht="15">
      <c r="B27" s="40" t="s">
        <v>50</v>
      </c>
      <c r="C27" s="30" t="s">
        <v>283</v>
      </c>
    </row>
    <row r="28" spans="2:13" ht="15">
      <c r="L28" s="32" t="s">
        <v>4</v>
      </c>
    </row>
    <row r="29" spans="2:13" ht="15" customHeight="1">
      <c r="B29" s="235" t="s">
        <v>186</v>
      </c>
      <c r="C29" s="238" t="s">
        <v>18</v>
      </c>
      <c r="D29" s="89" t="s">
        <v>232</v>
      </c>
      <c r="E29" s="242" t="s">
        <v>231</v>
      </c>
      <c r="F29" s="243"/>
      <c r="G29" s="244"/>
      <c r="H29" s="265" t="s">
        <v>225</v>
      </c>
      <c r="I29" s="266"/>
      <c r="J29" s="266"/>
      <c r="K29" s="266"/>
      <c r="L29" s="267"/>
    </row>
    <row r="30" spans="2:13" ht="15">
      <c r="B30" s="236"/>
      <c r="C30" s="238"/>
      <c r="D30" s="21" t="s">
        <v>245</v>
      </c>
      <c r="E30" s="21" t="s">
        <v>235</v>
      </c>
      <c r="F30" s="21" t="s">
        <v>236</v>
      </c>
      <c r="G30" s="21" t="s">
        <v>244</v>
      </c>
      <c r="H30" s="21" t="s">
        <v>226</v>
      </c>
      <c r="I30" s="21" t="s">
        <v>227</v>
      </c>
      <c r="J30" s="21" t="s">
        <v>228</v>
      </c>
      <c r="K30" s="21" t="s">
        <v>229</v>
      </c>
      <c r="L30" s="21" t="s">
        <v>230</v>
      </c>
    </row>
    <row r="31" spans="2:13" ht="15">
      <c r="B31" s="237"/>
      <c r="C31" s="239"/>
      <c r="D31" s="21" t="s">
        <v>12</v>
      </c>
      <c r="E31" s="21" t="s">
        <v>3</v>
      </c>
      <c r="F31" s="21" t="s">
        <v>5</v>
      </c>
      <c r="G31" s="21" t="s">
        <v>5</v>
      </c>
      <c r="H31" s="21" t="s">
        <v>8</v>
      </c>
      <c r="I31" s="21" t="s">
        <v>8</v>
      </c>
      <c r="J31" s="21" t="s">
        <v>8</v>
      </c>
      <c r="K31" s="21" t="s">
        <v>8</v>
      </c>
      <c r="L31" s="21" t="s">
        <v>8</v>
      </c>
    </row>
    <row r="32" spans="2:13" ht="15">
      <c r="B32" s="26">
        <v>1</v>
      </c>
      <c r="C32" s="44" t="s">
        <v>185</v>
      </c>
      <c r="D32" s="33"/>
      <c r="E32" s="33"/>
      <c r="F32" s="33"/>
      <c r="G32" s="33"/>
      <c r="H32" s="33"/>
      <c r="I32" s="33"/>
      <c r="J32" s="33"/>
      <c r="K32" s="33"/>
      <c r="L32" s="33"/>
    </row>
    <row r="33" spans="2:12">
      <c r="B33" s="33"/>
      <c r="C33" s="33" t="s">
        <v>13</v>
      </c>
      <c r="D33" s="33"/>
      <c r="E33" s="33"/>
      <c r="F33" s="33"/>
      <c r="G33" s="33"/>
      <c r="H33" s="33"/>
      <c r="I33" s="33"/>
      <c r="J33" s="33"/>
      <c r="K33" s="33"/>
      <c r="L33" s="33"/>
    </row>
    <row r="34" spans="2:12">
      <c r="B34" s="33"/>
      <c r="C34" s="33" t="s">
        <v>158</v>
      </c>
      <c r="D34" s="33"/>
      <c r="E34" s="33"/>
      <c r="F34" s="33"/>
      <c r="G34" s="33"/>
      <c r="H34" s="33"/>
      <c r="I34" s="33"/>
      <c r="J34" s="33"/>
      <c r="K34" s="33"/>
      <c r="L34" s="33"/>
    </row>
    <row r="35" spans="2:12">
      <c r="B35" s="33"/>
      <c r="C35" s="33" t="s">
        <v>14</v>
      </c>
      <c r="D35" s="33"/>
      <c r="E35" s="33"/>
      <c r="F35" s="33"/>
      <c r="G35" s="33"/>
      <c r="H35" s="33"/>
      <c r="I35" s="33"/>
      <c r="J35" s="33"/>
      <c r="K35" s="33"/>
      <c r="L35" s="33"/>
    </row>
    <row r="36" spans="2:12" ht="15">
      <c r="B36" s="33"/>
      <c r="C36" s="33" t="s">
        <v>15</v>
      </c>
      <c r="D36" s="137">
        <f>D33+D34-D35</f>
        <v>0</v>
      </c>
      <c r="E36" s="137">
        <f t="shared" ref="E36:L36" si="9">E33+E34-E35</f>
        <v>0</v>
      </c>
      <c r="F36" s="137">
        <f t="shared" si="9"/>
        <v>0</v>
      </c>
      <c r="G36" s="137">
        <f t="shared" si="9"/>
        <v>0</v>
      </c>
      <c r="H36" s="137">
        <f t="shared" si="9"/>
        <v>0</v>
      </c>
      <c r="I36" s="137">
        <f t="shared" si="9"/>
        <v>0</v>
      </c>
      <c r="J36" s="137">
        <f t="shared" si="9"/>
        <v>0</v>
      </c>
      <c r="K36" s="137">
        <f t="shared" si="9"/>
        <v>0</v>
      </c>
      <c r="L36" s="137">
        <f t="shared" si="9"/>
        <v>0</v>
      </c>
    </row>
    <row r="37" spans="2:12" ht="15">
      <c r="B37" s="33"/>
      <c r="C37" s="33" t="s">
        <v>206</v>
      </c>
      <c r="D37" s="137">
        <f>AVERAGE(D33,D36)</f>
        <v>0</v>
      </c>
      <c r="E37" s="137">
        <f t="shared" ref="E37:L37" si="10">AVERAGE(E33,E36)</f>
        <v>0</v>
      </c>
      <c r="F37" s="137">
        <f t="shared" si="10"/>
        <v>0</v>
      </c>
      <c r="G37" s="137">
        <f t="shared" si="10"/>
        <v>0</v>
      </c>
      <c r="H37" s="137">
        <f t="shared" si="10"/>
        <v>0</v>
      </c>
      <c r="I37" s="137">
        <f t="shared" si="10"/>
        <v>0</v>
      </c>
      <c r="J37" s="137">
        <f t="shared" si="10"/>
        <v>0</v>
      </c>
      <c r="K37" s="137">
        <f t="shared" si="10"/>
        <v>0</v>
      </c>
      <c r="L37" s="137">
        <f t="shared" si="10"/>
        <v>0</v>
      </c>
    </row>
    <row r="38" spans="2:12">
      <c r="B38" s="33"/>
      <c r="C38" s="33" t="s">
        <v>16</v>
      </c>
      <c r="D38" s="159"/>
      <c r="E38" s="159"/>
      <c r="F38" s="159"/>
      <c r="G38" s="159"/>
      <c r="H38" s="159"/>
      <c r="I38" s="159"/>
      <c r="J38" s="159"/>
      <c r="K38" s="159"/>
      <c r="L38" s="159"/>
    </row>
    <row r="39" spans="2:12" ht="15">
      <c r="B39" s="33"/>
      <c r="C39" s="33" t="s">
        <v>282</v>
      </c>
      <c r="D39" s="137">
        <f>D37*D38</f>
        <v>0</v>
      </c>
      <c r="E39" s="137">
        <f t="shared" ref="E39:L39" si="11">E37*E38</f>
        <v>0</v>
      </c>
      <c r="F39" s="137">
        <f t="shared" si="11"/>
        <v>0</v>
      </c>
      <c r="G39" s="137">
        <f t="shared" si="11"/>
        <v>0</v>
      </c>
      <c r="H39" s="137">
        <f t="shared" si="11"/>
        <v>0</v>
      </c>
      <c r="I39" s="137">
        <f t="shared" si="11"/>
        <v>0</v>
      </c>
      <c r="J39" s="137">
        <f t="shared" si="11"/>
        <v>0</v>
      </c>
      <c r="K39" s="137">
        <f t="shared" si="11"/>
        <v>0</v>
      </c>
      <c r="L39" s="137">
        <f t="shared" si="11"/>
        <v>0</v>
      </c>
    </row>
    <row r="40" spans="2:12">
      <c r="B40" s="33"/>
      <c r="C40" s="33" t="s">
        <v>285</v>
      </c>
      <c r="D40" s="160"/>
      <c r="E40" s="160"/>
      <c r="F40" s="160"/>
      <c r="G40" s="160"/>
      <c r="H40" s="160"/>
      <c r="I40" s="160"/>
      <c r="J40" s="160"/>
      <c r="K40" s="160"/>
      <c r="L40" s="160"/>
    </row>
    <row r="41" spans="2:12" ht="15">
      <c r="B41" s="33"/>
      <c r="C41" s="33" t="s">
        <v>286</v>
      </c>
      <c r="D41" s="137">
        <f>D39+D40</f>
        <v>0</v>
      </c>
      <c r="E41" s="137">
        <f t="shared" ref="E41:L41" si="12">E39+E40</f>
        <v>0</v>
      </c>
      <c r="F41" s="137">
        <f t="shared" si="12"/>
        <v>0</v>
      </c>
      <c r="G41" s="137">
        <f t="shared" si="12"/>
        <v>0</v>
      </c>
      <c r="H41" s="137">
        <f t="shared" si="12"/>
        <v>0</v>
      </c>
      <c r="I41" s="137">
        <f t="shared" si="12"/>
        <v>0</v>
      </c>
      <c r="J41" s="137">
        <f t="shared" si="12"/>
        <v>0</v>
      </c>
      <c r="K41" s="137">
        <f t="shared" si="12"/>
        <v>0</v>
      </c>
      <c r="L41" s="137">
        <f t="shared" si="12"/>
        <v>0</v>
      </c>
    </row>
    <row r="42" spans="2:12" ht="15">
      <c r="B42" s="26">
        <v>2</v>
      </c>
      <c r="C42" s="44" t="s">
        <v>184</v>
      </c>
      <c r="D42" s="160"/>
      <c r="E42" s="160"/>
      <c r="F42" s="160"/>
      <c r="G42" s="160"/>
      <c r="H42" s="160"/>
      <c r="I42" s="160"/>
      <c r="J42" s="160"/>
      <c r="K42" s="160"/>
      <c r="L42" s="160"/>
    </row>
    <row r="43" spans="2:12">
      <c r="B43" s="33"/>
      <c r="C43" s="33" t="s">
        <v>13</v>
      </c>
      <c r="D43" s="160"/>
      <c r="E43" s="160"/>
      <c r="F43" s="160"/>
      <c r="G43" s="160"/>
      <c r="H43" s="160"/>
      <c r="I43" s="160"/>
      <c r="J43" s="160"/>
      <c r="K43" s="160"/>
      <c r="L43" s="160"/>
    </row>
    <row r="44" spans="2:12">
      <c r="B44" s="33"/>
      <c r="C44" s="33" t="s">
        <v>158</v>
      </c>
      <c r="D44" s="160"/>
      <c r="E44" s="160"/>
      <c r="F44" s="160"/>
      <c r="G44" s="160"/>
      <c r="H44" s="160"/>
      <c r="I44" s="160"/>
      <c r="J44" s="160"/>
      <c r="K44" s="160"/>
      <c r="L44" s="160"/>
    </row>
    <row r="45" spans="2:12">
      <c r="B45" s="33"/>
      <c r="C45" s="33" t="s">
        <v>14</v>
      </c>
      <c r="D45" s="160"/>
      <c r="E45" s="160"/>
      <c r="F45" s="160"/>
      <c r="G45" s="160"/>
      <c r="H45" s="160"/>
      <c r="I45" s="160"/>
      <c r="J45" s="160"/>
      <c r="K45" s="160"/>
      <c r="L45" s="160"/>
    </row>
    <row r="46" spans="2:12" ht="15">
      <c r="B46" s="33"/>
      <c r="C46" s="33" t="s">
        <v>15</v>
      </c>
      <c r="D46" s="137">
        <f>D43+D44-D45</f>
        <v>0</v>
      </c>
      <c r="E46" s="137">
        <f t="shared" ref="E46:L46" si="13">E43+E44-E45</f>
        <v>0</v>
      </c>
      <c r="F46" s="137">
        <f t="shared" si="13"/>
        <v>0</v>
      </c>
      <c r="G46" s="137">
        <f t="shared" si="13"/>
        <v>0</v>
      </c>
      <c r="H46" s="137">
        <f t="shared" si="13"/>
        <v>0</v>
      </c>
      <c r="I46" s="137">
        <f t="shared" si="13"/>
        <v>0</v>
      </c>
      <c r="J46" s="137">
        <f t="shared" si="13"/>
        <v>0</v>
      </c>
      <c r="K46" s="137">
        <f t="shared" si="13"/>
        <v>0</v>
      </c>
      <c r="L46" s="137">
        <f t="shared" si="13"/>
        <v>0</v>
      </c>
    </row>
    <row r="47" spans="2:12" ht="15">
      <c r="B47" s="33"/>
      <c r="C47" s="33" t="s">
        <v>206</v>
      </c>
      <c r="D47" s="137">
        <f>AVERAGE(D43,D46)</f>
        <v>0</v>
      </c>
      <c r="E47" s="137">
        <f t="shared" ref="E47:L47" si="14">AVERAGE(E43,E46)</f>
        <v>0</v>
      </c>
      <c r="F47" s="137">
        <f t="shared" si="14"/>
        <v>0</v>
      </c>
      <c r="G47" s="137">
        <f t="shared" si="14"/>
        <v>0</v>
      </c>
      <c r="H47" s="137">
        <f t="shared" si="14"/>
        <v>0</v>
      </c>
      <c r="I47" s="137">
        <f t="shared" si="14"/>
        <v>0</v>
      </c>
      <c r="J47" s="137">
        <f t="shared" si="14"/>
        <v>0</v>
      </c>
      <c r="K47" s="137">
        <f t="shared" si="14"/>
        <v>0</v>
      </c>
      <c r="L47" s="137">
        <f t="shared" si="14"/>
        <v>0</v>
      </c>
    </row>
    <row r="48" spans="2:12">
      <c r="B48" s="33"/>
      <c r="C48" s="33" t="s">
        <v>16</v>
      </c>
      <c r="D48" s="159"/>
      <c r="E48" s="159"/>
      <c r="F48" s="159"/>
      <c r="G48" s="159"/>
      <c r="H48" s="159"/>
      <c r="I48" s="159"/>
      <c r="J48" s="159"/>
      <c r="K48" s="159"/>
      <c r="L48" s="159"/>
    </row>
    <row r="49" spans="2:12" ht="15">
      <c r="B49" s="33"/>
      <c r="C49" s="33" t="s">
        <v>282</v>
      </c>
      <c r="D49" s="137">
        <f>D47*D48</f>
        <v>0</v>
      </c>
      <c r="E49" s="137">
        <f t="shared" ref="E49:L49" si="15">E47*E48</f>
        <v>0</v>
      </c>
      <c r="F49" s="137">
        <f t="shared" si="15"/>
        <v>0</v>
      </c>
      <c r="G49" s="137">
        <f t="shared" si="15"/>
        <v>0</v>
      </c>
      <c r="H49" s="137">
        <f t="shared" si="15"/>
        <v>0</v>
      </c>
      <c r="I49" s="137">
        <f t="shared" si="15"/>
        <v>0</v>
      </c>
      <c r="J49" s="137">
        <f t="shared" si="15"/>
        <v>0</v>
      </c>
      <c r="K49" s="137">
        <f t="shared" si="15"/>
        <v>0</v>
      </c>
      <c r="L49" s="137">
        <f t="shared" si="15"/>
        <v>0</v>
      </c>
    </row>
    <row r="50" spans="2:12">
      <c r="B50" s="33"/>
      <c r="C50" s="33" t="s">
        <v>285</v>
      </c>
      <c r="D50" s="160"/>
      <c r="E50" s="160"/>
      <c r="F50" s="160"/>
      <c r="G50" s="160"/>
      <c r="H50" s="160"/>
      <c r="I50" s="160"/>
      <c r="J50" s="160"/>
      <c r="K50" s="160"/>
      <c r="L50" s="160"/>
    </row>
    <row r="51" spans="2:12" ht="15">
      <c r="B51" s="33"/>
      <c r="C51" s="33" t="s">
        <v>286</v>
      </c>
      <c r="D51" s="137">
        <f>D49+D50</f>
        <v>0</v>
      </c>
      <c r="E51" s="137">
        <f t="shared" ref="E51:L51" si="16">E49+E50</f>
        <v>0</v>
      </c>
      <c r="F51" s="137">
        <f t="shared" si="16"/>
        <v>0</v>
      </c>
      <c r="G51" s="137">
        <f t="shared" si="16"/>
        <v>0</v>
      </c>
      <c r="H51" s="137">
        <f t="shared" si="16"/>
        <v>0</v>
      </c>
      <c r="I51" s="137">
        <f t="shared" si="16"/>
        <v>0</v>
      </c>
      <c r="J51" s="137">
        <f t="shared" si="16"/>
        <v>0</v>
      </c>
      <c r="K51" s="137">
        <f t="shared" si="16"/>
        <v>0</v>
      </c>
      <c r="L51" s="137">
        <f t="shared" si="16"/>
        <v>0</v>
      </c>
    </row>
    <row r="52" spans="2:12">
      <c r="B52" s="33"/>
      <c r="C52" s="33" t="s">
        <v>284</v>
      </c>
      <c r="D52" s="160"/>
      <c r="E52" s="160"/>
      <c r="F52" s="160"/>
      <c r="G52" s="160"/>
      <c r="H52" s="160"/>
      <c r="I52" s="160"/>
      <c r="J52" s="160"/>
      <c r="K52" s="160"/>
      <c r="L52" s="160"/>
    </row>
    <row r="53" spans="2:12" ht="15">
      <c r="B53" s="26"/>
      <c r="C53" s="44" t="s">
        <v>127</v>
      </c>
      <c r="D53" s="160"/>
      <c r="E53" s="160"/>
      <c r="F53" s="160"/>
      <c r="G53" s="160"/>
      <c r="H53" s="160"/>
      <c r="I53" s="160"/>
      <c r="J53" s="160"/>
      <c r="K53" s="160"/>
      <c r="L53" s="160"/>
    </row>
    <row r="54" spans="2:12" ht="15">
      <c r="B54" s="33"/>
      <c r="C54" s="33" t="s">
        <v>13</v>
      </c>
      <c r="D54" s="137">
        <f>D33+D43</f>
        <v>0</v>
      </c>
      <c r="E54" s="137">
        <f t="shared" ref="E54:L56" si="17">E33+E43</f>
        <v>0</v>
      </c>
      <c r="F54" s="137">
        <f t="shared" si="17"/>
        <v>0</v>
      </c>
      <c r="G54" s="137">
        <f t="shared" si="17"/>
        <v>0</v>
      </c>
      <c r="H54" s="137">
        <f t="shared" si="17"/>
        <v>0</v>
      </c>
      <c r="I54" s="137">
        <f t="shared" si="17"/>
        <v>0</v>
      </c>
      <c r="J54" s="137">
        <f t="shared" si="17"/>
        <v>0</v>
      </c>
      <c r="K54" s="137">
        <f t="shared" si="17"/>
        <v>0</v>
      </c>
      <c r="L54" s="137">
        <f t="shared" si="17"/>
        <v>0</v>
      </c>
    </row>
    <row r="55" spans="2:12" ht="15">
      <c r="B55" s="33"/>
      <c r="C55" s="33" t="s">
        <v>158</v>
      </c>
      <c r="D55" s="137">
        <f>D34+D44</f>
        <v>0</v>
      </c>
      <c r="E55" s="137">
        <f t="shared" si="17"/>
        <v>0</v>
      </c>
      <c r="F55" s="137">
        <f t="shared" si="17"/>
        <v>0</v>
      </c>
      <c r="G55" s="137">
        <f t="shared" si="17"/>
        <v>0</v>
      </c>
      <c r="H55" s="137">
        <f t="shared" si="17"/>
        <v>0</v>
      </c>
      <c r="I55" s="137">
        <f t="shared" si="17"/>
        <v>0</v>
      </c>
      <c r="J55" s="137">
        <f t="shared" si="17"/>
        <v>0</v>
      </c>
      <c r="K55" s="137">
        <f t="shared" si="17"/>
        <v>0</v>
      </c>
      <c r="L55" s="137">
        <f t="shared" si="17"/>
        <v>0</v>
      </c>
    </row>
    <row r="56" spans="2:12" ht="15">
      <c r="B56" s="33"/>
      <c r="C56" s="33" t="s">
        <v>14</v>
      </c>
      <c r="D56" s="137">
        <f>D35+D45</f>
        <v>0</v>
      </c>
      <c r="E56" s="137">
        <f t="shared" si="17"/>
        <v>0</v>
      </c>
      <c r="F56" s="137">
        <f t="shared" si="17"/>
        <v>0</v>
      </c>
      <c r="G56" s="137">
        <f t="shared" si="17"/>
        <v>0</v>
      </c>
      <c r="H56" s="137">
        <f t="shared" si="17"/>
        <v>0</v>
      </c>
      <c r="I56" s="137">
        <f t="shared" si="17"/>
        <v>0</v>
      </c>
      <c r="J56" s="137">
        <f t="shared" si="17"/>
        <v>0</v>
      </c>
      <c r="K56" s="137">
        <f t="shared" si="17"/>
        <v>0</v>
      </c>
      <c r="L56" s="137">
        <f t="shared" si="17"/>
        <v>0</v>
      </c>
    </row>
    <row r="57" spans="2:12" ht="15">
      <c r="B57" s="33"/>
      <c r="C57" s="33" t="s">
        <v>15</v>
      </c>
      <c r="D57" s="137">
        <f>D54+D55-D56</f>
        <v>0</v>
      </c>
      <c r="E57" s="137">
        <f t="shared" ref="E57:L57" si="18">E54+E55-E56</f>
        <v>0</v>
      </c>
      <c r="F57" s="137">
        <f t="shared" si="18"/>
        <v>0</v>
      </c>
      <c r="G57" s="137">
        <f t="shared" si="18"/>
        <v>0</v>
      </c>
      <c r="H57" s="137">
        <f t="shared" si="18"/>
        <v>0</v>
      </c>
      <c r="I57" s="137">
        <f t="shared" si="18"/>
        <v>0</v>
      </c>
      <c r="J57" s="137">
        <f t="shared" si="18"/>
        <v>0</v>
      </c>
      <c r="K57" s="137">
        <f t="shared" si="18"/>
        <v>0</v>
      </c>
      <c r="L57" s="137">
        <f t="shared" si="18"/>
        <v>0</v>
      </c>
    </row>
    <row r="58" spans="2:12" ht="15">
      <c r="B58" s="33"/>
      <c r="C58" s="33" t="s">
        <v>206</v>
      </c>
      <c r="D58" s="137">
        <f>AVERAGE(D54,D57)</f>
        <v>0</v>
      </c>
      <c r="E58" s="137">
        <f t="shared" ref="E58:L58" si="19">AVERAGE(E54,E57)</f>
        <v>0</v>
      </c>
      <c r="F58" s="137">
        <f t="shared" si="19"/>
        <v>0</v>
      </c>
      <c r="G58" s="137">
        <f t="shared" si="19"/>
        <v>0</v>
      </c>
      <c r="H58" s="137">
        <f t="shared" si="19"/>
        <v>0</v>
      </c>
      <c r="I58" s="137">
        <f t="shared" si="19"/>
        <v>0</v>
      </c>
      <c r="J58" s="137">
        <f t="shared" si="19"/>
        <v>0</v>
      </c>
      <c r="K58" s="137">
        <f t="shared" si="19"/>
        <v>0</v>
      </c>
      <c r="L58" s="137">
        <f t="shared" si="19"/>
        <v>0</v>
      </c>
    </row>
    <row r="59" spans="2:12" ht="15">
      <c r="B59" s="33"/>
      <c r="C59" s="33" t="s">
        <v>16</v>
      </c>
      <c r="D59" s="180">
        <f>IFERROR(D60/D58,0)</f>
        <v>0</v>
      </c>
      <c r="E59" s="180">
        <f t="shared" ref="E59:L59" si="20">IFERROR(E60/E58,0)</f>
        <v>0</v>
      </c>
      <c r="F59" s="180">
        <f t="shared" si="20"/>
        <v>0</v>
      </c>
      <c r="G59" s="180">
        <f t="shared" si="20"/>
        <v>0</v>
      </c>
      <c r="H59" s="180">
        <f t="shared" si="20"/>
        <v>0</v>
      </c>
      <c r="I59" s="180">
        <f t="shared" si="20"/>
        <v>0</v>
      </c>
      <c r="J59" s="180">
        <f t="shared" si="20"/>
        <v>0</v>
      </c>
      <c r="K59" s="180">
        <f t="shared" si="20"/>
        <v>0</v>
      </c>
      <c r="L59" s="180">
        <f t="shared" si="20"/>
        <v>0</v>
      </c>
    </row>
    <row r="60" spans="2:12" ht="15">
      <c r="B60" s="33"/>
      <c r="C60" s="33" t="s">
        <v>282</v>
      </c>
      <c r="D60" s="137">
        <f>D39+D49</f>
        <v>0</v>
      </c>
      <c r="E60" s="137">
        <f t="shared" ref="E60:L61" si="21">E39+E49</f>
        <v>0</v>
      </c>
      <c r="F60" s="137">
        <f t="shared" si="21"/>
        <v>0</v>
      </c>
      <c r="G60" s="137">
        <f t="shared" si="21"/>
        <v>0</v>
      </c>
      <c r="H60" s="137">
        <f t="shared" si="21"/>
        <v>0</v>
      </c>
      <c r="I60" s="137">
        <f t="shared" si="21"/>
        <v>0</v>
      </c>
      <c r="J60" s="137">
        <f t="shared" si="21"/>
        <v>0</v>
      </c>
      <c r="K60" s="137">
        <f t="shared" si="21"/>
        <v>0</v>
      </c>
      <c r="L60" s="137">
        <f t="shared" si="21"/>
        <v>0</v>
      </c>
    </row>
    <row r="61" spans="2:12" ht="15">
      <c r="B61" s="33"/>
      <c r="C61" s="33" t="s">
        <v>285</v>
      </c>
      <c r="D61" s="137">
        <f>D40+D50</f>
        <v>0</v>
      </c>
      <c r="E61" s="137">
        <f t="shared" si="21"/>
        <v>0</v>
      </c>
      <c r="F61" s="137">
        <f t="shared" si="21"/>
        <v>0</v>
      </c>
      <c r="G61" s="137">
        <f t="shared" si="21"/>
        <v>0</v>
      </c>
      <c r="H61" s="137">
        <f t="shared" si="21"/>
        <v>0</v>
      </c>
      <c r="I61" s="137">
        <f t="shared" si="21"/>
        <v>0</v>
      </c>
      <c r="J61" s="137">
        <f t="shared" si="21"/>
        <v>0</v>
      </c>
      <c r="K61" s="137">
        <f t="shared" si="21"/>
        <v>0</v>
      </c>
      <c r="L61" s="137">
        <f t="shared" si="21"/>
        <v>0</v>
      </c>
    </row>
    <row r="62" spans="2:12" ht="15">
      <c r="B62" s="33"/>
      <c r="C62" s="33" t="s">
        <v>286</v>
      </c>
      <c r="D62" s="137">
        <f>D60+D61</f>
        <v>0</v>
      </c>
      <c r="E62" s="137">
        <f t="shared" ref="E62:L62" si="22">E60+E61</f>
        <v>0</v>
      </c>
      <c r="F62" s="137">
        <f t="shared" si="22"/>
        <v>0</v>
      </c>
      <c r="G62" s="137">
        <f t="shared" si="22"/>
        <v>0</v>
      </c>
      <c r="H62" s="137">
        <f t="shared" si="22"/>
        <v>0</v>
      </c>
      <c r="I62" s="137">
        <f t="shared" si="22"/>
        <v>0</v>
      </c>
      <c r="J62" s="137">
        <f t="shared" si="22"/>
        <v>0</v>
      </c>
      <c r="K62" s="137">
        <f t="shared" si="22"/>
        <v>0</v>
      </c>
      <c r="L62" s="137">
        <f t="shared" si="22"/>
        <v>0</v>
      </c>
    </row>
  </sheetData>
  <mergeCells count="11">
    <mergeCell ref="B2:M2"/>
    <mergeCell ref="B3:M3"/>
    <mergeCell ref="B4:M4"/>
    <mergeCell ref="E29:G29"/>
    <mergeCell ref="H29:L29"/>
    <mergeCell ref="B7:B9"/>
    <mergeCell ref="C7:C9"/>
    <mergeCell ref="D7:F7"/>
    <mergeCell ref="I7:M7"/>
    <mergeCell ref="B29:B31"/>
    <mergeCell ref="C29:C31"/>
  </mergeCells>
  <pageMargins left="1.02" right="0.25" top="1" bottom="1" header="0.25" footer="0.25"/>
  <pageSetup paperSize="9" scale="48" orientation="landscape" r:id="rId1"/>
  <headerFooter alignWithMargins="0">
    <oddHeader>&amp;F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3"/>
  <sheetViews>
    <sheetView showGridLines="0" view="pageBreakPreview" zoomScale="90" zoomScaleNormal="80" zoomScaleSheetLayoutView="90" workbookViewId="0">
      <selection activeCell="M14" sqref="M14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35.5703125" style="5" customWidth="1"/>
    <col min="4" max="4" width="13.7109375" style="5" bestFit="1" customWidth="1"/>
    <col min="5" max="5" width="12.5703125" style="5" bestFit="1" customWidth="1"/>
    <col min="6" max="6" width="13.42578125" style="5" bestFit="1" customWidth="1"/>
    <col min="7" max="7" width="13.7109375" style="5" bestFit="1" customWidth="1"/>
    <col min="8" max="8" width="12.5703125" style="5" customWidth="1"/>
    <col min="9" max="9" width="11.7109375" style="5" bestFit="1" customWidth="1"/>
    <col min="10" max="10" width="13.7109375" style="5" bestFit="1" customWidth="1"/>
    <col min="11" max="16" width="11.7109375" style="5" bestFit="1" customWidth="1"/>
    <col min="17" max="16384" width="9.28515625" style="5"/>
  </cols>
  <sheetData>
    <row r="1" spans="2:13" ht="15">
      <c r="B1" s="30"/>
    </row>
    <row r="2" spans="2:13" ht="15.75">
      <c r="B2" s="228" t="s">
        <v>398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</row>
    <row r="3" spans="2:13" ht="15.75">
      <c r="B3" s="228" t="s">
        <v>381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</row>
    <row r="4" spans="2:13" ht="15.75">
      <c r="B4" s="268" t="s">
        <v>294</v>
      </c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</row>
    <row r="5" spans="2:13" ht="15">
      <c r="B5" s="40"/>
      <c r="C5" s="30"/>
      <c r="D5" s="31"/>
      <c r="E5" s="31"/>
      <c r="F5" s="31"/>
      <c r="G5" s="31"/>
      <c r="H5" s="31"/>
      <c r="I5" s="31"/>
      <c r="J5" s="31"/>
    </row>
    <row r="6" spans="2:13" ht="15">
      <c r="M6" s="32" t="s">
        <v>4</v>
      </c>
    </row>
    <row r="7" spans="2:13" s="19" customFormat="1" ht="15" customHeight="1">
      <c r="B7" s="235" t="s">
        <v>186</v>
      </c>
      <c r="C7" s="238" t="s">
        <v>18</v>
      </c>
      <c r="D7" s="242" t="s">
        <v>372</v>
      </c>
      <c r="E7" s="243"/>
      <c r="F7" s="244"/>
      <c r="G7" s="242" t="s">
        <v>375</v>
      </c>
      <c r="H7" s="243"/>
      <c r="I7" s="252" t="s">
        <v>225</v>
      </c>
      <c r="J7" s="252"/>
      <c r="K7" s="252"/>
      <c r="L7" s="252"/>
      <c r="M7" s="252"/>
    </row>
    <row r="8" spans="2:13" s="19" customFormat="1" ht="45">
      <c r="B8" s="236"/>
      <c r="C8" s="238"/>
      <c r="D8" s="21" t="s">
        <v>328</v>
      </c>
      <c r="E8" s="21" t="s">
        <v>245</v>
      </c>
      <c r="F8" s="21" t="s">
        <v>201</v>
      </c>
      <c r="G8" s="21" t="s">
        <v>328</v>
      </c>
      <c r="H8" s="21" t="s">
        <v>244</v>
      </c>
      <c r="I8" s="21" t="s">
        <v>376</v>
      </c>
      <c r="J8" s="21" t="s">
        <v>377</v>
      </c>
      <c r="K8" s="21" t="s">
        <v>378</v>
      </c>
      <c r="L8" s="21" t="s">
        <v>379</v>
      </c>
      <c r="M8" s="21" t="s">
        <v>380</v>
      </c>
    </row>
    <row r="9" spans="2:13" s="19" customFormat="1" ht="15">
      <c r="B9" s="237"/>
      <c r="C9" s="239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6">
        <v>1</v>
      </c>
      <c r="C10" s="33" t="s">
        <v>287</v>
      </c>
      <c r="D10" s="2"/>
      <c r="E10" s="33"/>
      <c r="F10" s="33"/>
      <c r="G10" s="27"/>
      <c r="H10" s="27"/>
      <c r="I10" s="27"/>
      <c r="J10" s="27"/>
      <c r="K10" s="27"/>
      <c r="L10" s="27"/>
      <c r="M10" s="27"/>
    </row>
    <row r="11" spans="2:13">
      <c r="B11" s="26">
        <f>B10+1</f>
        <v>2</v>
      </c>
      <c r="C11" s="33" t="s">
        <v>288</v>
      </c>
      <c r="D11" s="2"/>
      <c r="E11" s="33"/>
      <c r="F11" s="33"/>
      <c r="G11" s="27"/>
      <c r="H11" s="27"/>
      <c r="I11" s="27"/>
      <c r="J11" s="27"/>
      <c r="K11" s="27"/>
      <c r="L11" s="27"/>
      <c r="M11" s="27"/>
    </row>
    <row r="12" spans="2:13">
      <c r="B12" s="26">
        <f t="shared" ref="B12:B20" si="0">B11+1</f>
        <v>3</v>
      </c>
      <c r="C12" s="35" t="s">
        <v>289</v>
      </c>
      <c r="D12" s="2"/>
      <c r="E12" s="33"/>
      <c r="F12" s="33"/>
      <c r="G12" s="27"/>
      <c r="H12" s="27"/>
      <c r="I12" s="27"/>
      <c r="J12" s="27"/>
      <c r="K12" s="27"/>
      <c r="L12" s="27"/>
      <c r="M12" s="27"/>
    </row>
    <row r="13" spans="2:13">
      <c r="B13" s="26">
        <f t="shared" si="0"/>
        <v>4</v>
      </c>
      <c r="C13" s="91" t="s">
        <v>290</v>
      </c>
      <c r="D13" s="158">
        <f>'F1'!F11/12</f>
        <v>3.1440749999999995</v>
      </c>
      <c r="E13" s="158">
        <f>'F1'!G11/12</f>
        <v>3.2477380028083651</v>
      </c>
      <c r="F13" s="158">
        <f>'F1'!H11/12</f>
        <v>3.2477380028083651</v>
      </c>
      <c r="G13" s="158">
        <f>'F1'!I11/12</f>
        <v>3.2760750000000001</v>
      </c>
      <c r="H13" s="158">
        <f>'F1'!J11/12</f>
        <v>4.1397978510315001</v>
      </c>
      <c r="I13" s="158">
        <f>'F1'!K11/12</f>
        <v>4.0813810951104159</v>
      </c>
      <c r="J13" s="158">
        <f>'F1'!L11/12</f>
        <v>4.3364479035244674</v>
      </c>
      <c r="K13" s="158">
        <f>'F1'!M11/12</f>
        <v>4.5808749410067673</v>
      </c>
      <c r="L13" s="158">
        <f>'F1'!N11/12</f>
        <v>4.8356587905510855</v>
      </c>
      <c r="M13" s="158">
        <f>'F1'!O11/12</f>
        <v>5.1051694726549428</v>
      </c>
    </row>
    <row r="14" spans="2:13" s="39" customFormat="1" ht="15">
      <c r="B14" s="26">
        <f t="shared" si="0"/>
        <v>5</v>
      </c>
      <c r="C14" s="43" t="s">
        <v>291</v>
      </c>
      <c r="D14" s="158">
        <f>'F1'!F11*15%</f>
        <v>5.6593349999999996</v>
      </c>
      <c r="E14" s="158">
        <f>'F1'!G11*15%</f>
        <v>5.8459284050550568</v>
      </c>
      <c r="F14" s="158">
        <f>'F1'!H11*15%</f>
        <v>5.8459284050550568</v>
      </c>
      <c r="G14" s="158">
        <f>'F1'!I11*15%</f>
        <v>5.896935</v>
      </c>
      <c r="H14" s="158">
        <f>'F1'!J11*15%</f>
        <v>7.4516361318567004</v>
      </c>
      <c r="I14" s="168">
        <f>'F4'!F49*1%</f>
        <v>1.2191841964100003</v>
      </c>
      <c r="J14" s="168">
        <f>'F4'!F58*1%</f>
        <v>1.4586841964100004</v>
      </c>
      <c r="K14" s="168">
        <f>'F4'!F67*1%</f>
        <v>1.4898841964100005</v>
      </c>
      <c r="L14" s="168">
        <f>'F4'!F76*1%</f>
        <v>1.4898841964100005</v>
      </c>
      <c r="M14" s="168">
        <f>'F4'!F85*1%</f>
        <v>1.4898841964100005</v>
      </c>
    </row>
    <row r="15" spans="2:13">
      <c r="B15" s="26">
        <f t="shared" si="0"/>
        <v>6</v>
      </c>
      <c r="C15" s="91" t="s">
        <v>364</v>
      </c>
      <c r="D15" s="158">
        <f>('F1'!F22+'F1'!F16)*2/12</f>
        <v>8.5464833333333328</v>
      </c>
      <c r="E15" s="158">
        <f ca="1">('F1'!G22+'F1'!G16)*2/12</f>
        <v>8.3114077410500986</v>
      </c>
      <c r="F15" s="158">
        <f ca="1">('F1'!H22+'F1'!H16)*2/12</f>
        <v>8.3114077410500986</v>
      </c>
      <c r="G15" s="158">
        <f>('F1'!I22+'F1'!I16)*2/12</f>
        <v>8.850483333333333</v>
      </c>
      <c r="H15" s="158">
        <f ca="1">('F1'!J22+'F1'!J16)*2/12</f>
        <v>10.189079587728605</v>
      </c>
      <c r="I15" s="158">
        <f ca="1">('F1'!K22+'F1'!K16)*45/365</f>
        <v>7.5115203406346973</v>
      </c>
      <c r="J15" s="158">
        <f ca="1">('F1'!L22+'F1'!L16)*45/365</f>
        <v>8.2771061357874807</v>
      </c>
      <c r="K15" s="158">
        <f ca="1">('F1'!M22+'F1'!M16)*45/365</f>
        <v>8.6589798318956159</v>
      </c>
      <c r="L15" s="158">
        <f ca="1">('F1'!N22+'F1'!N16)*45/365</f>
        <v>8.9995741044120301</v>
      </c>
      <c r="M15" s="158">
        <f ca="1">('F1'!O22+'F1'!O16)*45/365</f>
        <v>9.3624187411155404</v>
      </c>
    </row>
    <row r="16" spans="2:13">
      <c r="B16" s="26"/>
      <c r="C16" s="91" t="s">
        <v>292</v>
      </c>
      <c r="D16" s="92"/>
      <c r="E16" s="35"/>
      <c r="F16" s="3"/>
      <c r="G16" s="35"/>
      <c r="H16" s="35"/>
      <c r="I16" s="35"/>
      <c r="J16" s="35"/>
      <c r="K16" s="35"/>
      <c r="L16" s="35"/>
      <c r="M16" s="35"/>
    </row>
    <row r="17" spans="2:13">
      <c r="B17" s="26">
        <f>B15+1</f>
        <v>7</v>
      </c>
      <c r="C17" s="33" t="s">
        <v>365</v>
      </c>
      <c r="D17" s="158">
        <f>'F1'!F21/12</f>
        <v>0</v>
      </c>
      <c r="E17" s="158">
        <f>'F1'!G21/12</f>
        <v>0</v>
      </c>
      <c r="F17" s="158">
        <f>'F1'!H21/12</f>
        <v>0</v>
      </c>
      <c r="G17" s="158">
        <f>'F1'!I21/12</f>
        <v>0</v>
      </c>
      <c r="H17" s="158">
        <f>'F1'!J21/12</f>
        <v>0</v>
      </c>
      <c r="I17" s="158">
        <f>'F1'!K21/12</f>
        <v>0</v>
      </c>
      <c r="J17" s="158">
        <f>'F1'!L21/12</f>
        <v>0</v>
      </c>
      <c r="K17" s="158">
        <f>'F1'!M21/12</f>
        <v>0</v>
      </c>
      <c r="L17" s="158">
        <f>'F1'!N21/12</f>
        <v>0</v>
      </c>
      <c r="M17" s="158">
        <f>'F1'!O21/12</f>
        <v>0</v>
      </c>
    </row>
    <row r="18" spans="2:13" ht="15">
      <c r="B18" s="26">
        <f t="shared" si="0"/>
        <v>8</v>
      </c>
      <c r="C18" s="33" t="s">
        <v>44</v>
      </c>
      <c r="D18" s="139">
        <f>SUM(D10:D15)-D17</f>
        <v>17.349893333333334</v>
      </c>
      <c r="E18" s="139">
        <f t="shared" ref="E18:M18" ca="1" si="1">SUM(E10:E15)-E17</f>
        <v>17.405074148913521</v>
      </c>
      <c r="F18" s="139">
        <f t="shared" ca="1" si="1"/>
        <v>17.405074148913521</v>
      </c>
      <c r="G18" s="139">
        <f t="shared" si="1"/>
        <v>18.023493333333334</v>
      </c>
      <c r="H18" s="139">
        <f t="shared" ca="1" si="1"/>
        <v>21.780513570616804</v>
      </c>
      <c r="I18" s="139">
        <f t="shared" ca="1" si="1"/>
        <v>12.812085632155114</v>
      </c>
      <c r="J18" s="139">
        <f t="shared" ca="1" si="1"/>
        <v>14.072238235721947</v>
      </c>
      <c r="K18" s="139">
        <f t="shared" ca="1" si="1"/>
        <v>14.729738969312383</v>
      </c>
      <c r="L18" s="139">
        <f t="shared" ca="1" si="1"/>
        <v>15.325117091373116</v>
      </c>
      <c r="M18" s="139">
        <f t="shared" ca="1" si="1"/>
        <v>15.957472410180483</v>
      </c>
    </row>
    <row r="19" spans="2:13">
      <c r="B19" s="26">
        <f t="shared" si="0"/>
        <v>9</v>
      </c>
      <c r="C19" s="33" t="s">
        <v>293</v>
      </c>
      <c r="D19" s="156">
        <v>8.5500000000000007E-2</v>
      </c>
      <c r="E19" s="156">
        <v>9.4399999999999998E-2</v>
      </c>
      <c r="F19" s="156">
        <v>9.4399999999999998E-2</v>
      </c>
      <c r="G19" s="156">
        <v>8.5500000000000007E-2</v>
      </c>
      <c r="H19" s="156">
        <v>0.1008</v>
      </c>
      <c r="I19" s="156">
        <v>0.10150000000000001</v>
      </c>
      <c r="J19" s="156">
        <v>0.10150000000000001</v>
      </c>
      <c r="K19" s="156">
        <v>0.10150000000000001</v>
      </c>
      <c r="L19" s="156">
        <v>0.10150000000000001</v>
      </c>
      <c r="M19" s="156">
        <v>0.10150000000000001</v>
      </c>
    </row>
    <row r="20" spans="2:13" ht="15">
      <c r="B20" s="26">
        <f t="shared" si="0"/>
        <v>10</v>
      </c>
      <c r="C20" s="91" t="s">
        <v>294</v>
      </c>
      <c r="D20" s="139">
        <v>1.56</v>
      </c>
      <c r="E20" s="139">
        <f t="shared" ref="E20:M20" ca="1" si="2">E18*E19</f>
        <v>1.6430389996574364</v>
      </c>
      <c r="F20" s="139">
        <f t="shared" ca="1" si="2"/>
        <v>1.6430389996574364</v>
      </c>
      <c r="G20" s="139">
        <v>1.66</v>
      </c>
      <c r="H20" s="139">
        <f t="shared" ca="1" si="2"/>
        <v>2.195475767918174</v>
      </c>
      <c r="I20" s="139">
        <f t="shared" ca="1" si="2"/>
        <v>1.3004266916637441</v>
      </c>
      <c r="J20" s="139">
        <f t="shared" ca="1" si="2"/>
        <v>1.4283321809257779</v>
      </c>
      <c r="K20" s="139">
        <f t="shared" ca="1" si="2"/>
        <v>1.4950685053852069</v>
      </c>
      <c r="L20" s="139">
        <f t="shared" ca="1" si="2"/>
        <v>1.5554993847743714</v>
      </c>
      <c r="M20" s="139">
        <f t="shared" ca="1" si="2"/>
        <v>1.619683449633319</v>
      </c>
    </row>
    <row r="22" spans="2:13">
      <c r="C22" s="5" t="s">
        <v>247</v>
      </c>
    </row>
    <row r="23" spans="2:13">
      <c r="C23" s="5" t="s">
        <v>366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8" orientation="landscape" r:id="rId1"/>
  <headerFooter alignWithMargins="0">
    <oddHeader>&amp;F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4"/>
  <sheetViews>
    <sheetView showGridLines="0" zoomScale="80" zoomScaleNormal="80" zoomScaleSheetLayoutView="90" workbookViewId="0">
      <selection activeCell="D28" sqref="D28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60.28515625" style="5" customWidth="1"/>
    <col min="4" max="4" width="12.42578125" style="5" customWidth="1"/>
    <col min="5" max="5" width="11" style="5" customWidth="1"/>
    <col min="6" max="6" width="13.42578125" style="5" bestFit="1" customWidth="1"/>
    <col min="7" max="8" width="12.140625" style="5" customWidth="1"/>
    <col min="9" max="13" width="11.28515625" style="5" customWidth="1"/>
    <col min="14" max="16" width="11.7109375" style="5" bestFit="1" customWidth="1"/>
    <col min="17" max="16384" width="9.28515625" style="5"/>
  </cols>
  <sheetData>
    <row r="1" spans="2:13" ht="15">
      <c r="B1" s="30"/>
    </row>
    <row r="3" spans="2:13" ht="15.75">
      <c r="B3" s="228" t="s">
        <v>398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</row>
    <row r="4" spans="2:13" ht="15.75">
      <c r="B4" s="228" t="s">
        <v>381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</row>
    <row r="5" spans="2:13" ht="15.75">
      <c r="B5" s="268" t="s">
        <v>409</v>
      </c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</row>
    <row r="6" spans="2:13" ht="15">
      <c r="M6" s="32" t="s">
        <v>4</v>
      </c>
    </row>
    <row r="7" spans="2:13" s="19" customFormat="1" ht="15" customHeight="1">
      <c r="B7" s="235" t="s">
        <v>186</v>
      </c>
      <c r="C7" s="238" t="s">
        <v>18</v>
      </c>
      <c r="D7" s="242" t="s">
        <v>372</v>
      </c>
      <c r="E7" s="243"/>
      <c r="F7" s="244"/>
      <c r="G7" s="242" t="s">
        <v>375</v>
      </c>
      <c r="H7" s="243"/>
      <c r="I7" s="252" t="s">
        <v>225</v>
      </c>
      <c r="J7" s="252"/>
      <c r="K7" s="252"/>
      <c r="L7" s="252"/>
      <c r="M7" s="252"/>
    </row>
    <row r="8" spans="2:13" s="19" customFormat="1" ht="45">
      <c r="B8" s="236"/>
      <c r="C8" s="238"/>
      <c r="D8" s="21" t="s">
        <v>328</v>
      </c>
      <c r="E8" s="21" t="s">
        <v>245</v>
      </c>
      <c r="F8" s="21" t="s">
        <v>201</v>
      </c>
      <c r="G8" s="21" t="s">
        <v>328</v>
      </c>
      <c r="H8" s="21" t="s">
        <v>244</v>
      </c>
      <c r="I8" s="21" t="s">
        <v>376</v>
      </c>
      <c r="J8" s="21" t="s">
        <v>377</v>
      </c>
      <c r="K8" s="21" t="s">
        <v>378</v>
      </c>
      <c r="L8" s="21" t="s">
        <v>379</v>
      </c>
      <c r="M8" s="21" t="s">
        <v>380</v>
      </c>
    </row>
    <row r="9" spans="2:13" s="19" customFormat="1" ht="15">
      <c r="B9" s="237"/>
      <c r="C9" s="239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6">
        <v>1</v>
      </c>
      <c r="C10" s="33" t="s">
        <v>215</v>
      </c>
      <c r="D10" s="174">
        <f>'F4'!F21*30%</f>
        <v>36.536999999999999</v>
      </c>
      <c r="E10" s="168">
        <f>'F4'!F21*30%</f>
        <v>36.536999999999999</v>
      </c>
      <c r="F10" s="168">
        <f>E10</f>
        <v>36.536999999999999</v>
      </c>
      <c r="G10" s="176">
        <f>'F4'!F40*30%</f>
        <v>36.563525892300007</v>
      </c>
      <c r="H10" s="176">
        <f>'F4'!F40*30%</f>
        <v>36.563525892300007</v>
      </c>
      <c r="I10" s="176">
        <f>H14</f>
        <v>36.575525892300007</v>
      </c>
      <c r="J10" s="176">
        <f t="shared" ref="J10:M10" si="0">I14</f>
        <v>43.760525892300009</v>
      </c>
      <c r="K10" s="176">
        <f t="shared" si="0"/>
        <v>44.696525892300009</v>
      </c>
      <c r="L10" s="176">
        <f t="shared" si="0"/>
        <v>44.696525892300009</v>
      </c>
      <c r="M10" s="176">
        <f t="shared" si="0"/>
        <v>44.696525892300009</v>
      </c>
    </row>
    <row r="11" spans="2:13">
      <c r="B11" s="26">
        <f>B10+1</f>
        <v>2</v>
      </c>
      <c r="C11" s="33" t="s">
        <v>216</v>
      </c>
      <c r="D11" s="174"/>
      <c r="E11" s="168">
        <f>F3.1!H14</f>
        <v>0.09</v>
      </c>
      <c r="F11" s="168">
        <f>E11</f>
        <v>0.09</v>
      </c>
      <c r="G11" s="176">
        <f>'F4'!G40</f>
        <v>0.04</v>
      </c>
      <c r="H11" s="176">
        <f>F3.1!H20</f>
        <v>0.04</v>
      </c>
      <c r="I11" s="176">
        <f>F3.1!H26</f>
        <v>23.95</v>
      </c>
      <c r="J11" s="176">
        <f>F3.1!H32</f>
        <v>3.12</v>
      </c>
      <c r="K11" s="176">
        <f>F3.1!H38</f>
        <v>0</v>
      </c>
      <c r="L11" s="176">
        <f>F3.1!H44</f>
        <v>0</v>
      </c>
      <c r="M11" s="176">
        <f>F3.1!H50</f>
        <v>0</v>
      </c>
    </row>
    <row r="12" spans="2:13">
      <c r="B12" s="26">
        <f t="shared" ref="B12:B22" si="1">B11+1</f>
        <v>3</v>
      </c>
      <c r="C12" s="35" t="s">
        <v>19</v>
      </c>
      <c r="D12" s="174">
        <f>D11*25%</f>
        <v>0</v>
      </c>
      <c r="E12" s="174">
        <f>E11*30%</f>
        <v>2.7E-2</v>
      </c>
      <c r="F12" s="174">
        <f>E12</f>
        <v>2.7E-2</v>
      </c>
      <c r="G12" s="174">
        <f>G11*30%</f>
        <v>1.2E-2</v>
      </c>
      <c r="H12" s="174">
        <f>H11*30%</f>
        <v>1.2E-2</v>
      </c>
      <c r="I12" s="174">
        <f>I11*30%</f>
        <v>7.1849999999999996</v>
      </c>
      <c r="J12" s="174">
        <f t="shared" ref="J12:M12" si="2">J11*30%</f>
        <v>0.93599999999999994</v>
      </c>
      <c r="K12" s="174">
        <f t="shared" si="2"/>
        <v>0</v>
      </c>
      <c r="L12" s="174">
        <f t="shared" si="2"/>
        <v>0</v>
      </c>
      <c r="M12" s="174">
        <f t="shared" si="2"/>
        <v>0</v>
      </c>
    </row>
    <row r="13" spans="2:13" ht="28.5">
      <c r="B13" s="26">
        <f t="shared" si="1"/>
        <v>4</v>
      </c>
      <c r="C13" s="91" t="s">
        <v>20</v>
      </c>
      <c r="D13" s="206"/>
      <c r="E13" s="168"/>
      <c r="F13" s="174"/>
      <c r="G13" s="168"/>
      <c r="H13" s="168"/>
      <c r="I13" s="168"/>
      <c r="J13" s="168"/>
      <c r="K13" s="168"/>
      <c r="L13" s="168"/>
      <c r="M13" s="168"/>
    </row>
    <row r="14" spans="2:13" s="39" customFormat="1" ht="15">
      <c r="B14" s="26">
        <f t="shared" si="1"/>
        <v>5</v>
      </c>
      <c r="C14" s="43" t="s">
        <v>21</v>
      </c>
      <c r="D14" s="177">
        <f>D10+D12-D13</f>
        <v>36.536999999999999</v>
      </c>
      <c r="E14" s="177">
        <f t="shared" ref="E14:M14" si="3">E10+E12-E13</f>
        <v>36.564</v>
      </c>
      <c r="F14" s="177">
        <f>F10+F12-F13</f>
        <v>36.564</v>
      </c>
      <c r="G14" s="177">
        <f t="shared" si="3"/>
        <v>36.575525892300007</v>
      </c>
      <c r="H14" s="177">
        <f t="shared" si="3"/>
        <v>36.575525892300007</v>
      </c>
      <c r="I14" s="177">
        <f t="shared" si="3"/>
        <v>43.760525892300009</v>
      </c>
      <c r="J14" s="177">
        <f t="shared" si="3"/>
        <v>44.696525892300009</v>
      </c>
      <c r="K14" s="177">
        <f t="shared" si="3"/>
        <v>44.696525892300009</v>
      </c>
      <c r="L14" s="177">
        <f t="shared" si="3"/>
        <v>44.696525892300009</v>
      </c>
      <c r="M14" s="177">
        <f t="shared" si="3"/>
        <v>44.696525892300009</v>
      </c>
    </row>
    <row r="15" spans="2:13" s="39" customFormat="1" ht="15">
      <c r="B15" s="26"/>
      <c r="C15" s="93" t="s">
        <v>295</v>
      </c>
      <c r="D15" s="92"/>
      <c r="E15" s="35"/>
      <c r="F15" s="3"/>
      <c r="G15" s="35"/>
      <c r="H15" s="35"/>
      <c r="I15" s="35"/>
      <c r="J15" s="35"/>
      <c r="K15" s="35"/>
      <c r="L15" s="35"/>
      <c r="M15" s="35"/>
    </row>
    <row r="16" spans="2:13" s="39" customFormat="1" ht="15">
      <c r="B16" s="26">
        <f>B14+1</f>
        <v>6</v>
      </c>
      <c r="C16" s="43" t="s">
        <v>296</v>
      </c>
      <c r="D16" s="155">
        <v>0.16500000000000001</v>
      </c>
      <c r="E16" s="155">
        <v>0.16500000000000001</v>
      </c>
      <c r="F16" s="155">
        <v>0.16500000000000001</v>
      </c>
      <c r="G16" s="155">
        <v>0.16500000000000001</v>
      </c>
      <c r="H16" s="155">
        <v>0.16500000000000001</v>
      </c>
      <c r="I16" s="155">
        <v>0.16500000000000001</v>
      </c>
      <c r="J16" s="155">
        <v>0.16500000000000001</v>
      </c>
      <c r="K16" s="155">
        <v>0.16500000000000001</v>
      </c>
      <c r="L16" s="155">
        <v>0.16500000000000001</v>
      </c>
      <c r="M16" s="155">
        <v>0.16500000000000001</v>
      </c>
    </row>
    <row r="17" spans="2:13" s="39" customFormat="1" ht="15">
      <c r="B17" s="26">
        <f>B16+1</f>
        <v>7</v>
      </c>
      <c r="C17" s="43" t="s">
        <v>297</v>
      </c>
      <c r="D17" s="156">
        <v>0.17471999999999999</v>
      </c>
      <c r="E17" s="156">
        <v>0.25168000000000001</v>
      </c>
      <c r="F17" s="156">
        <v>0.25168000000000001</v>
      </c>
      <c r="G17" s="156">
        <v>0.17471999999999999</v>
      </c>
      <c r="H17" s="156">
        <v>0.25168000000000001</v>
      </c>
      <c r="I17" s="156">
        <v>0.25168000000000001</v>
      </c>
      <c r="J17" s="156">
        <v>0.25168000000000001</v>
      </c>
      <c r="K17" s="156">
        <v>0.25168000000000001</v>
      </c>
      <c r="L17" s="156">
        <v>0.25168000000000001</v>
      </c>
      <c r="M17" s="156">
        <v>0.25168000000000001</v>
      </c>
    </row>
    <row r="18" spans="2:13" s="39" customFormat="1" ht="15">
      <c r="B18" s="26">
        <f>B17+1</f>
        <v>8</v>
      </c>
      <c r="C18" s="36" t="s">
        <v>295</v>
      </c>
      <c r="D18" s="157">
        <f>D16/(1-D17)</f>
        <v>0.19993214424195424</v>
      </c>
      <c r="E18" s="157">
        <f t="shared" ref="E18:M18" si="4">E16/(1-E17)</f>
        <v>0.22049390635022451</v>
      </c>
      <c r="F18" s="157">
        <f t="shared" si="4"/>
        <v>0.22049390635022451</v>
      </c>
      <c r="G18" s="157">
        <f t="shared" si="4"/>
        <v>0.19993214424195424</v>
      </c>
      <c r="H18" s="157">
        <f t="shared" si="4"/>
        <v>0.22049390635022451</v>
      </c>
      <c r="I18" s="157">
        <f t="shared" si="4"/>
        <v>0.22049390635022451</v>
      </c>
      <c r="J18" s="157">
        <f t="shared" si="4"/>
        <v>0.22049390635022451</v>
      </c>
      <c r="K18" s="157">
        <f t="shared" si="4"/>
        <v>0.22049390635022451</v>
      </c>
      <c r="L18" s="157">
        <f t="shared" si="4"/>
        <v>0.22049390635022451</v>
      </c>
      <c r="M18" s="157">
        <f t="shared" si="4"/>
        <v>0.22049390635022451</v>
      </c>
    </row>
    <row r="19" spans="2:13" ht="15">
      <c r="B19" s="26"/>
      <c r="C19" s="93" t="s">
        <v>171</v>
      </c>
      <c r="D19" s="138"/>
      <c r="E19" s="35"/>
      <c r="F19" s="3"/>
      <c r="G19" s="35"/>
      <c r="H19" s="35"/>
      <c r="I19" s="35"/>
      <c r="J19" s="35"/>
      <c r="K19" s="35"/>
      <c r="L19" s="35"/>
      <c r="M19" s="35"/>
    </row>
    <row r="20" spans="2:13" ht="17.25" customHeight="1">
      <c r="B20" s="26">
        <f>B18+1</f>
        <v>9</v>
      </c>
      <c r="C20" s="91" t="s">
        <v>217</v>
      </c>
      <c r="D20" s="139">
        <f>D10*D18</f>
        <v>7.3049207541682817</v>
      </c>
      <c r="E20" s="139">
        <f t="shared" ref="E20:M20" si="5">E10*E18</f>
        <v>8.0561858563181534</v>
      </c>
      <c r="F20" s="139">
        <f t="shared" si="5"/>
        <v>8.0561858563181534</v>
      </c>
      <c r="G20" s="139">
        <f t="shared" si="5"/>
        <v>7.3102241326937536</v>
      </c>
      <c r="H20" s="139">
        <f t="shared" si="5"/>
        <v>8.062034653930807</v>
      </c>
      <c r="I20" s="139">
        <f t="shared" si="5"/>
        <v>8.0646805808070088</v>
      </c>
      <c r="J20" s="139">
        <f t="shared" si="5"/>
        <v>9.648929297933373</v>
      </c>
      <c r="K20" s="139">
        <f t="shared" si="5"/>
        <v>9.8553115942771825</v>
      </c>
      <c r="L20" s="139">
        <f t="shared" si="5"/>
        <v>9.8553115942771825</v>
      </c>
      <c r="M20" s="139">
        <f t="shared" si="5"/>
        <v>9.8553115942771825</v>
      </c>
    </row>
    <row r="21" spans="2:13" ht="18.75" customHeight="1">
      <c r="B21" s="26">
        <f t="shared" si="1"/>
        <v>10</v>
      </c>
      <c r="C21" s="91" t="s">
        <v>218</v>
      </c>
      <c r="D21" s="139">
        <f>AVERAGE(D10,D14)*D18-D20</f>
        <v>0</v>
      </c>
      <c r="E21" s="139">
        <f t="shared" ref="E21:M21" si="6">AVERAGE(E10,E14)*E18-E20</f>
        <v>2.9766677357265792E-3</v>
      </c>
      <c r="F21" s="139">
        <f t="shared" si="6"/>
        <v>2.9766677357265792E-3</v>
      </c>
      <c r="G21" s="139">
        <f t="shared" si="6"/>
        <v>1.1995928654515708E-3</v>
      </c>
      <c r="H21" s="139">
        <f t="shared" si="6"/>
        <v>1.3229634381008992E-3</v>
      </c>
      <c r="I21" s="139">
        <f t="shared" si="6"/>
        <v>0.79212435856318208</v>
      </c>
      <c r="J21" s="139">
        <f t="shared" si="6"/>
        <v>0.10319114817190567</v>
      </c>
      <c r="K21" s="139">
        <f t="shared" si="6"/>
        <v>0</v>
      </c>
      <c r="L21" s="139">
        <f t="shared" si="6"/>
        <v>0</v>
      </c>
      <c r="M21" s="139">
        <f t="shared" si="6"/>
        <v>0</v>
      </c>
    </row>
    <row r="22" spans="2:13" ht="15">
      <c r="B22" s="26">
        <f t="shared" si="1"/>
        <v>11</v>
      </c>
      <c r="C22" s="44" t="s">
        <v>172</v>
      </c>
      <c r="D22" s="139">
        <v>7.56</v>
      </c>
      <c r="E22" s="139">
        <f t="shared" ref="E22:M22" si="7">E20+E21</f>
        <v>8.05916252405388</v>
      </c>
      <c r="F22" s="139">
        <f t="shared" si="7"/>
        <v>8.05916252405388</v>
      </c>
      <c r="G22" s="139">
        <v>7.81</v>
      </c>
      <c r="H22" s="139">
        <f t="shared" si="7"/>
        <v>8.0633576173689079</v>
      </c>
      <c r="I22" s="139">
        <f t="shared" si="7"/>
        <v>8.8568049393701909</v>
      </c>
      <c r="J22" s="139">
        <f t="shared" si="7"/>
        <v>9.7521204461052786</v>
      </c>
      <c r="K22" s="139">
        <f t="shared" si="7"/>
        <v>9.8553115942771825</v>
      </c>
      <c r="L22" s="139">
        <f t="shared" si="7"/>
        <v>9.8553115942771825</v>
      </c>
      <c r="M22" s="139">
        <f t="shared" si="7"/>
        <v>9.8553115942771825</v>
      </c>
    </row>
    <row r="23" spans="2:13">
      <c r="C23" s="5" t="s">
        <v>247</v>
      </c>
    </row>
    <row r="24" spans="2:13">
      <c r="C24" s="5" t="s">
        <v>368</v>
      </c>
    </row>
  </sheetData>
  <mergeCells count="8">
    <mergeCell ref="B3:M3"/>
    <mergeCell ref="B4:M4"/>
    <mergeCell ref="B5:M5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2" orientation="landscape" r:id="rId1"/>
  <headerFooter alignWithMargins="0">
    <oddHeader>&amp;F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2"/>
  <sheetViews>
    <sheetView showGridLines="0" view="pageBreakPreview" zoomScale="90" zoomScaleNormal="90" zoomScaleSheetLayoutView="90" workbookViewId="0">
      <selection activeCell="G27" sqref="G27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50.42578125" style="5" customWidth="1"/>
    <col min="4" max="5" width="11.28515625" style="5" customWidth="1"/>
    <col min="6" max="6" width="13.7109375" style="5" customWidth="1"/>
    <col min="7" max="13" width="11.28515625" style="5" customWidth="1"/>
    <col min="14" max="16" width="11.7109375" style="5" bestFit="1" customWidth="1"/>
    <col min="17" max="16384" width="9.28515625" style="5"/>
  </cols>
  <sheetData>
    <row r="1" spans="2:13" ht="15">
      <c r="B1" s="30"/>
    </row>
    <row r="2" spans="2:13" ht="15.75">
      <c r="B2" s="228" t="s">
        <v>398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</row>
    <row r="3" spans="2:13" ht="15.75">
      <c r="B3" s="228" t="s">
        <v>402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</row>
    <row r="4" spans="2:13" ht="15.75">
      <c r="B4" s="268" t="s">
        <v>410</v>
      </c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</row>
    <row r="5" spans="2:13" ht="15">
      <c r="B5" s="40"/>
      <c r="C5" s="30"/>
      <c r="D5" s="31"/>
      <c r="E5" s="31"/>
      <c r="F5" s="31"/>
      <c r="G5" s="31"/>
      <c r="H5" s="31"/>
      <c r="I5" s="31"/>
      <c r="J5" s="31"/>
    </row>
    <row r="6" spans="2:13" ht="15">
      <c r="M6" s="32" t="s">
        <v>4</v>
      </c>
    </row>
    <row r="7" spans="2:13" s="19" customFormat="1" ht="15" customHeight="1">
      <c r="B7" s="235" t="s">
        <v>186</v>
      </c>
      <c r="C7" s="238" t="s">
        <v>18</v>
      </c>
      <c r="D7" s="242" t="s">
        <v>372</v>
      </c>
      <c r="E7" s="243"/>
      <c r="F7" s="244"/>
      <c r="G7" s="242" t="s">
        <v>375</v>
      </c>
      <c r="H7" s="243"/>
      <c r="I7" s="252" t="s">
        <v>225</v>
      </c>
      <c r="J7" s="252"/>
      <c r="K7" s="252"/>
      <c r="L7" s="252"/>
      <c r="M7" s="252"/>
    </row>
    <row r="8" spans="2:13" s="19" customFormat="1" ht="30">
      <c r="B8" s="236"/>
      <c r="C8" s="238"/>
      <c r="D8" s="21" t="s">
        <v>328</v>
      </c>
      <c r="E8" s="21" t="s">
        <v>245</v>
      </c>
      <c r="F8" s="21" t="s">
        <v>201</v>
      </c>
      <c r="G8" s="21" t="s">
        <v>328</v>
      </c>
      <c r="H8" s="21" t="s">
        <v>244</v>
      </c>
      <c r="I8" s="21" t="s">
        <v>376</v>
      </c>
      <c r="J8" s="21" t="s">
        <v>377</v>
      </c>
      <c r="K8" s="21" t="s">
        <v>378</v>
      </c>
      <c r="L8" s="21" t="s">
        <v>379</v>
      </c>
      <c r="M8" s="21" t="s">
        <v>380</v>
      </c>
    </row>
    <row r="9" spans="2:13" s="19" customFormat="1" ht="15">
      <c r="B9" s="237"/>
      <c r="C9" s="239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6">
        <v>1</v>
      </c>
      <c r="C10" s="33" t="s">
        <v>298</v>
      </c>
      <c r="D10" s="2"/>
      <c r="E10" s="168">
        <v>6.9214015268807879E-3</v>
      </c>
      <c r="F10" s="168">
        <v>6.9214015268807879E-3</v>
      </c>
      <c r="G10" s="176"/>
      <c r="H10" s="176">
        <v>5.4929010656324098E-3</v>
      </c>
      <c r="I10" s="176">
        <v>6.9214015268807879E-3</v>
      </c>
      <c r="J10" s="176">
        <v>7.1982575879560202E-3</v>
      </c>
      <c r="K10" s="176">
        <v>7.4861878914742608E-3</v>
      </c>
      <c r="L10" s="176">
        <v>7.7856354071332316E-3</v>
      </c>
      <c r="M10" s="176">
        <v>8.0970608234185604E-3</v>
      </c>
    </row>
    <row r="11" spans="2:13">
      <c r="B11" s="66">
        <f>B10+1</f>
        <v>2</v>
      </c>
      <c r="C11" s="33" t="s">
        <v>299</v>
      </c>
      <c r="D11" s="2"/>
      <c r="E11" s="168">
        <v>0</v>
      </c>
      <c r="F11" s="168">
        <v>0</v>
      </c>
      <c r="G11" s="176"/>
      <c r="H11" s="176">
        <v>0</v>
      </c>
      <c r="I11" s="176">
        <v>0</v>
      </c>
      <c r="J11" s="176">
        <v>0</v>
      </c>
      <c r="K11" s="176">
        <v>0</v>
      </c>
      <c r="L11" s="176">
        <v>0</v>
      </c>
      <c r="M11" s="176">
        <v>0</v>
      </c>
    </row>
    <row r="12" spans="2:13">
      <c r="B12" s="66">
        <f>B11+1</f>
        <v>3</v>
      </c>
      <c r="C12" s="33" t="s">
        <v>300</v>
      </c>
      <c r="D12" s="2"/>
      <c r="E12" s="168">
        <v>0.20486124520921523</v>
      </c>
      <c r="F12" s="168">
        <v>0.20486124520921523</v>
      </c>
      <c r="G12" s="176"/>
      <c r="H12" s="176">
        <v>4.7823924565650808E-2</v>
      </c>
      <c r="I12" s="176">
        <v>0.20486124520921523</v>
      </c>
      <c r="J12" s="176">
        <v>0.21305569501758384</v>
      </c>
      <c r="K12" s="176">
        <v>0.2215779228182872</v>
      </c>
      <c r="L12" s="176">
        <v>0.2304410397310187</v>
      </c>
      <c r="M12" s="176">
        <v>0.23965868132025944</v>
      </c>
    </row>
    <row r="13" spans="2:13">
      <c r="B13" s="26">
        <f t="shared" ref="B13:B21" si="0">B12+1</f>
        <v>4</v>
      </c>
      <c r="C13" s="35" t="s">
        <v>301</v>
      </c>
      <c r="D13" s="2"/>
      <c r="E13" s="168">
        <v>0</v>
      </c>
      <c r="F13" s="168">
        <v>0</v>
      </c>
      <c r="G13" s="176"/>
      <c r="H13" s="176">
        <v>0</v>
      </c>
      <c r="I13" s="176">
        <v>0</v>
      </c>
      <c r="J13" s="176">
        <v>0</v>
      </c>
      <c r="K13" s="176">
        <v>0</v>
      </c>
      <c r="L13" s="176">
        <v>0</v>
      </c>
      <c r="M13" s="176">
        <v>0</v>
      </c>
    </row>
    <row r="14" spans="2:13" ht="15.75" customHeight="1">
      <c r="B14" s="26">
        <f t="shared" si="0"/>
        <v>5</v>
      </c>
      <c r="C14" s="91" t="s">
        <v>302</v>
      </c>
      <c r="D14" s="92"/>
      <c r="E14" s="168">
        <v>0</v>
      </c>
      <c r="F14" s="174">
        <v>0</v>
      </c>
      <c r="G14" s="168"/>
      <c r="H14" s="168">
        <v>0</v>
      </c>
      <c r="I14" s="168">
        <v>0</v>
      </c>
      <c r="J14" s="168">
        <v>0</v>
      </c>
      <c r="K14" s="168">
        <v>0</v>
      </c>
      <c r="L14" s="168">
        <v>0</v>
      </c>
      <c r="M14" s="168">
        <v>0</v>
      </c>
    </row>
    <row r="15" spans="2:13" s="39" customFormat="1" ht="15">
      <c r="B15" s="26">
        <f t="shared" si="0"/>
        <v>6</v>
      </c>
      <c r="C15" s="43" t="s">
        <v>303</v>
      </c>
      <c r="D15" s="92"/>
      <c r="E15" s="168">
        <v>2.9598939664791853E-4</v>
      </c>
      <c r="F15" s="174">
        <v>2.9598939664791853E-4</v>
      </c>
      <c r="G15" s="168"/>
      <c r="H15" s="168">
        <v>1.8834799007182658E-4</v>
      </c>
      <c r="I15" s="168">
        <v>2.9598939664791853E-4</v>
      </c>
      <c r="J15" s="168">
        <v>3.0782897251383531E-4</v>
      </c>
      <c r="K15" s="168">
        <v>3.2014213141438874E-4</v>
      </c>
      <c r="L15" s="168">
        <v>3.3294781667096425E-4</v>
      </c>
      <c r="M15" s="168">
        <v>3.4626572933780283E-4</v>
      </c>
    </row>
    <row r="16" spans="2:13" s="39" customFormat="1" ht="15">
      <c r="B16" s="26">
        <f t="shared" si="0"/>
        <v>7</v>
      </c>
      <c r="C16" s="91" t="s">
        <v>304</v>
      </c>
      <c r="D16" s="92"/>
      <c r="E16" s="168">
        <v>0</v>
      </c>
      <c r="F16" s="174">
        <v>0</v>
      </c>
      <c r="G16" s="168"/>
      <c r="H16" s="168">
        <v>0</v>
      </c>
      <c r="I16" s="168">
        <v>0</v>
      </c>
      <c r="J16" s="168">
        <v>0</v>
      </c>
      <c r="K16" s="168">
        <v>0</v>
      </c>
      <c r="L16" s="168">
        <v>0</v>
      </c>
      <c r="M16" s="168">
        <v>0</v>
      </c>
    </row>
    <row r="17" spans="2:13" s="39" customFormat="1" ht="12.75" customHeight="1">
      <c r="B17" s="26">
        <f t="shared" si="0"/>
        <v>8</v>
      </c>
      <c r="C17" s="43" t="s">
        <v>305</v>
      </c>
      <c r="D17" s="92"/>
      <c r="E17" s="168">
        <v>1.1976288447581009E-4</v>
      </c>
      <c r="F17" s="174">
        <v>1.1976288447581009E-4</v>
      </c>
      <c r="G17" s="168"/>
      <c r="H17" s="168">
        <v>7.8346473000913441E-4</v>
      </c>
      <c r="I17" s="168">
        <v>1.1976288447581009E-4</v>
      </c>
      <c r="J17" s="168">
        <v>1.245533998548425E-4</v>
      </c>
      <c r="K17" s="168">
        <v>1.2953553584903622E-4</v>
      </c>
      <c r="L17" s="168">
        <v>1.3471695728299767E-4</v>
      </c>
      <c r="M17" s="168">
        <v>1.4010563557431756E-4</v>
      </c>
    </row>
    <row r="18" spans="2:13" s="39" customFormat="1" ht="15">
      <c r="B18" s="26">
        <f t="shared" si="0"/>
        <v>9</v>
      </c>
      <c r="C18" s="43" t="s">
        <v>150</v>
      </c>
      <c r="D18" s="92"/>
      <c r="E18" s="168">
        <v>0</v>
      </c>
      <c r="F18" s="174">
        <v>0</v>
      </c>
      <c r="G18" s="168"/>
      <c r="H18" s="168">
        <v>0</v>
      </c>
      <c r="I18" s="168">
        <v>0</v>
      </c>
      <c r="J18" s="168">
        <v>0</v>
      </c>
      <c r="K18" s="168">
        <v>0</v>
      </c>
      <c r="L18" s="168">
        <v>0</v>
      </c>
      <c r="M18" s="168">
        <v>0</v>
      </c>
    </row>
    <row r="19" spans="2:13" s="39" customFormat="1" ht="15">
      <c r="B19" s="26">
        <f t="shared" si="0"/>
        <v>10</v>
      </c>
      <c r="C19" s="43" t="s">
        <v>306</v>
      </c>
      <c r="D19" s="92"/>
      <c r="E19" s="168">
        <v>0</v>
      </c>
      <c r="F19" s="174">
        <v>0</v>
      </c>
      <c r="G19" s="168"/>
      <c r="H19" s="168">
        <v>0</v>
      </c>
      <c r="I19" s="168">
        <v>0</v>
      </c>
      <c r="J19" s="168">
        <v>0</v>
      </c>
      <c r="K19" s="168">
        <v>0</v>
      </c>
      <c r="L19" s="168">
        <v>0</v>
      </c>
      <c r="M19" s="168">
        <v>0</v>
      </c>
    </row>
    <row r="20" spans="2:13">
      <c r="B20" s="26">
        <f t="shared" si="0"/>
        <v>11</v>
      </c>
      <c r="C20" s="91" t="s">
        <v>154</v>
      </c>
      <c r="D20" s="92"/>
      <c r="E20" s="168">
        <v>2.1565866800607012E-3</v>
      </c>
      <c r="F20" s="174">
        <v>2.1565866800607012E-3</v>
      </c>
      <c r="G20" s="168"/>
      <c r="H20" s="168">
        <v>2.0948207644369515E-3</v>
      </c>
      <c r="I20" s="168">
        <v>2.1565866800607012E-3</v>
      </c>
      <c r="J20" s="168">
        <v>2.242850147263129E-3</v>
      </c>
      <c r="K20" s="168">
        <v>2.3325641531536543E-3</v>
      </c>
      <c r="L20" s="168">
        <v>2.4258667192798007E-3</v>
      </c>
      <c r="M20" s="168">
        <v>2.522901388050993E-3</v>
      </c>
    </row>
    <row r="21" spans="2:13">
      <c r="B21" s="26">
        <f t="shared" si="0"/>
        <v>12</v>
      </c>
      <c r="C21" s="91" t="s">
        <v>9</v>
      </c>
      <c r="D21" s="92">
        <v>0.04</v>
      </c>
      <c r="E21" s="168">
        <v>0.12130764896019507</v>
      </c>
      <c r="F21" s="174">
        <v>0.12130764896019507</v>
      </c>
      <c r="G21" s="168">
        <v>0.04</v>
      </c>
      <c r="H21" s="168">
        <v>4.0846890154179985E-2</v>
      </c>
      <c r="I21" s="168">
        <v>4.6289858110412987E-2</v>
      </c>
      <c r="J21" s="168">
        <v>4.8141452434829514E-2</v>
      </c>
      <c r="K21" s="168">
        <v>5.0067110532222694E-2</v>
      </c>
      <c r="L21" s="168">
        <v>5.2069794953511606E-2</v>
      </c>
      <c r="M21" s="168">
        <v>5.415258675165207E-2</v>
      </c>
    </row>
    <row r="22" spans="2:13" ht="15">
      <c r="B22" s="26"/>
      <c r="C22" s="37" t="s">
        <v>127</v>
      </c>
      <c r="D22" s="139">
        <f>SUM(D10:D21)</f>
        <v>0.04</v>
      </c>
      <c r="E22" s="139">
        <f t="shared" ref="E22:M22" si="1">SUM(E10:E21)</f>
        <v>0.33566263465747548</v>
      </c>
      <c r="F22" s="139">
        <f t="shared" si="1"/>
        <v>0.33566263465747548</v>
      </c>
      <c r="G22" s="139">
        <f t="shared" si="1"/>
        <v>0.04</v>
      </c>
      <c r="H22" s="139">
        <f t="shared" si="1"/>
        <v>9.7230349269981114E-2</v>
      </c>
      <c r="I22" s="139">
        <f t="shared" si="1"/>
        <v>0.26064484380769343</v>
      </c>
      <c r="J22" s="139">
        <f t="shared" si="1"/>
        <v>0.27107063756000122</v>
      </c>
      <c r="K22" s="139">
        <f t="shared" si="1"/>
        <v>0.28191346306240128</v>
      </c>
      <c r="L22" s="139">
        <f t="shared" si="1"/>
        <v>0.29319000158489728</v>
      </c>
      <c r="M22" s="139">
        <f t="shared" si="1"/>
        <v>0.30491760164829318</v>
      </c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7" orientation="landscape" r:id="rId1"/>
  <headerFooter alignWithMargins="0">
    <oddHeader>&amp;F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J31"/>
  <sheetViews>
    <sheetView showGridLines="0" view="pageBreakPreview" zoomScale="70" zoomScaleNormal="80" zoomScaleSheetLayoutView="70" workbookViewId="0">
      <selection activeCell="B4" sqref="B4:J4"/>
    </sheetView>
  </sheetViews>
  <sheetFormatPr defaultColWidth="9.28515625" defaultRowHeight="14.25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5" width="18" style="5" bestFit="1" customWidth="1"/>
    <col min="6" max="10" width="15.7109375" style="5" customWidth="1"/>
    <col min="11" max="16384" width="9.28515625" style="5"/>
  </cols>
  <sheetData>
    <row r="2" spans="2:10" ht="14.25" customHeight="1">
      <c r="B2" s="245" t="s">
        <v>398</v>
      </c>
      <c r="C2" s="245"/>
      <c r="D2" s="245"/>
      <c r="E2" s="245"/>
      <c r="F2" s="245"/>
      <c r="G2" s="245"/>
      <c r="H2" s="245"/>
      <c r="I2" s="245"/>
      <c r="J2" s="245"/>
    </row>
    <row r="3" spans="2:10" ht="14.25" customHeight="1">
      <c r="B3" s="245" t="s">
        <v>381</v>
      </c>
      <c r="C3" s="245"/>
      <c r="D3" s="245"/>
      <c r="E3" s="245"/>
      <c r="F3" s="245"/>
      <c r="G3" s="245"/>
      <c r="H3" s="245"/>
      <c r="I3" s="245"/>
      <c r="J3" s="245"/>
    </row>
    <row r="4" spans="2:10" ht="14.25" customHeight="1">
      <c r="B4" s="246" t="s">
        <v>308</v>
      </c>
      <c r="C4" s="246"/>
      <c r="D4" s="246"/>
      <c r="E4" s="246"/>
      <c r="F4" s="246"/>
      <c r="G4" s="246"/>
      <c r="H4" s="246"/>
      <c r="I4" s="246"/>
      <c r="J4" s="246"/>
    </row>
    <row r="5" spans="2:10" ht="15">
      <c r="B5" s="30"/>
      <c r="C5" s="95"/>
      <c r="D5" s="96"/>
    </row>
    <row r="6" spans="2:10" ht="15" customHeight="1">
      <c r="B6" s="251" t="s">
        <v>2</v>
      </c>
      <c r="C6" s="252" t="s">
        <v>18</v>
      </c>
      <c r="D6" s="90" t="s">
        <v>232</v>
      </c>
      <c r="E6" s="221" t="s">
        <v>375</v>
      </c>
      <c r="F6" s="252" t="s">
        <v>225</v>
      </c>
      <c r="G6" s="252"/>
      <c r="H6" s="252"/>
      <c r="I6" s="252"/>
      <c r="J6" s="252"/>
    </row>
    <row r="7" spans="2:10" ht="15">
      <c r="B7" s="251"/>
      <c r="C7" s="252"/>
      <c r="D7" s="21" t="s">
        <v>307</v>
      </c>
      <c r="E7" s="21" t="s">
        <v>244</v>
      </c>
      <c r="F7" s="21" t="s">
        <v>376</v>
      </c>
      <c r="G7" s="21" t="s">
        <v>377</v>
      </c>
      <c r="H7" s="21" t="s">
        <v>378</v>
      </c>
      <c r="I7" s="21" t="s">
        <v>379</v>
      </c>
      <c r="J7" s="21" t="s">
        <v>380</v>
      </c>
    </row>
    <row r="8" spans="2:10" ht="24.75" customHeight="1">
      <c r="B8" s="269"/>
      <c r="C8" s="270"/>
      <c r="D8" s="21" t="s">
        <v>3</v>
      </c>
      <c r="E8" s="21" t="s">
        <v>5</v>
      </c>
      <c r="F8" s="21" t="s">
        <v>8</v>
      </c>
      <c r="G8" s="21" t="s">
        <v>8</v>
      </c>
      <c r="H8" s="21" t="s">
        <v>8</v>
      </c>
      <c r="I8" s="21" t="s">
        <v>8</v>
      </c>
      <c r="J8" s="21" t="s">
        <v>8</v>
      </c>
    </row>
    <row r="9" spans="2:10" ht="15">
      <c r="B9" s="97">
        <v>1</v>
      </c>
      <c r="C9" s="98" t="s">
        <v>155</v>
      </c>
      <c r="D9" s="94"/>
      <c r="E9" s="94"/>
      <c r="F9" s="33"/>
      <c r="G9" s="33"/>
      <c r="H9" s="33"/>
      <c r="I9" s="33"/>
      <c r="J9" s="33"/>
    </row>
    <row r="10" spans="2:10" s="39" customFormat="1" ht="15">
      <c r="B10" s="99" t="s">
        <v>45</v>
      </c>
      <c r="C10" s="44" t="s">
        <v>46</v>
      </c>
      <c r="D10" s="100"/>
      <c r="E10" s="44"/>
      <c r="F10" s="44"/>
      <c r="G10" s="44"/>
      <c r="H10" s="44"/>
      <c r="I10" s="44"/>
      <c r="J10" s="44"/>
    </row>
    <row r="11" spans="2:10" s="39" customFormat="1" ht="15">
      <c r="B11" s="101"/>
      <c r="C11" s="35" t="s">
        <v>47</v>
      </c>
      <c r="D11" s="100"/>
      <c r="E11" s="44"/>
      <c r="F11" s="44"/>
      <c r="G11" s="44"/>
      <c r="H11" s="44"/>
      <c r="I11" s="44"/>
      <c r="J11" s="44"/>
    </row>
    <row r="12" spans="2:10" s="39" customFormat="1" ht="15">
      <c r="B12" s="101"/>
      <c r="C12" s="35" t="s">
        <v>48</v>
      </c>
      <c r="D12" s="100"/>
      <c r="E12" s="44"/>
      <c r="F12" s="44"/>
      <c r="G12" s="44"/>
      <c r="H12" s="44"/>
      <c r="I12" s="44"/>
      <c r="J12" s="44"/>
    </row>
    <row r="13" spans="2:10" s="39" customFormat="1" ht="15">
      <c r="B13" s="101"/>
      <c r="C13" s="35" t="s">
        <v>49</v>
      </c>
      <c r="D13" s="100"/>
      <c r="E13" s="44"/>
      <c r="F13" s="44"/>
      <c r="G13" s="44"/>
      <c r="H13" s="44"/>
      <c r="I13" s="44"/>
      <c r="J13" s="44"/>
    </row>
    <row r="14" spans="2:10" s="39" customFormat="1" ht="15">
      <c r="B14" s="101"/>
      <c r="C14" s="102"/>
      <c r="D14" s="100"/>
      <c r="E14" s="44"/>
      <c r="F14" s="44"/>
      <c r="G14" s="44"/>
      <c r="H14" s="44"/>
      <c r="I14" s="44"/>
      <c r="J14" s="44"/>
    </row>
    <row r="15" spans="2:10" s="39" customFormat="1" ht="15">
      <c r="B15" s="99" t="s">
        <v>50</v>
      </c>
      <c r="C15" s="103" t="s">
        <v>51</v>
      </c>
      <c r="D15" s="100"/>
      <c r="E15" s="44"/>
      <c r="F15" s="44"/>
      <c r="G15" s="44"/>
      <c r="H15" s="44"/>
      <c r="I15" s="44"/>
      <c r="J15" s="44"/>
    </row>
    <row r="16" spans="2:10" s="39" customFormat="1" ht="15">
      <c r="B16" s="101"/>
      <c r="C16" s="35" t="s">
        <v>47</v>
      </c>
      <c r="D16" s="100"/>
      <c r="E16" s="44"/>
      <c r="F16" s="44"/>
      <c r="G16" s="44"/>
      <c r="H16" s="44"/>
      <c r="I16" s="44"/>
      <c r="J16" s="44"/>
    </row>
    <row r="17" spans="2:10">
      <c r="B17" s="101"/>
      <c r="C17" s="35" t="s">
        <v>48</v>
      </c>
      <c r="D17" s="100"/>
      <c r="E17" s="33"/>
      <c r="F17" s="33"/>
      <c r="G17" s="33"/>
      <c r="H17" s="33"/>
      <c r="I17" s="33"/>
      <c r="J17" s="33"/>
    </row>
    <row r="18" spans="2:10">
      <c r="B18" s="104"/>
      <c r="C18" s="35" t="s">
        <v>52</v>
      </c>
      <c r="D18" s="100"/>
      <c r="E18" s="33"/>
      <c r="F18" s="33"/>
      <c r="G18" s="33"/>
      <c r="H18" s="33"/>
      <c r="I18" s="33"/>
      <c r="J18" s="33"/>
    </row>
    <row r="19" spans="2:10" ht="15">
      <c r="B19" s="104"/>
      <c r="C19" s="103"/>
      <c r="D19" s="100"/>
      <c r="E19" s="33"/>
      <c r="F19" s="33"/>
      <c r="G19" s="33"/>
      <c r="H19" s="33"/>
      <c r="I19" s="33"/>
      <c r="J19" s="33"/>
    </row>
    <row r="20" spans="2:10" ht="17.25" customHeight="1">
      <c r="B20" s="99">
        <v>2</v>
      </c>
      <c r="C20" s="98" t="s">
        <v>156</v>
      </c>
      <c r="D20" s="100"/>
      <c r="E20" s="33"/>
      <c r="F20" s="33"/>
      <c r="G20" s="33"/>
      <c r="H20" s="33"/>
      <c r="I20" s="33"/>
      <c r="J20" s="33"/>
    </row>
    <row r="21" spans="2:10" ht="17.25" customHeight="1">
      <c r="B21" s="99"/>
      <c r="C21" s="98" t="s">
        <v>53</v>
      </c>
      <c r="D21" s="100"/>
      <c r="E21" s="33"/>
      <c r="F21" s="33"/>
      <c r="G21" s="33"/>
      <c r="H21" s="33"/>
      <c r="I21" s="33"/>
      <c r="J21" s="33"/>
    </row>
    <row r="22" spans="2:10" ht="17.25" customHeight="1">
      <c r="B22" s="99"/>
      <c r="C22" s="98" t="s">
        <v>53</v>
      </c>
      <c r="D22" s="100"/>
      <c r="E22" s="33"/>
      <c r="F22" s="33"/>
      <c r="G22" s="33"/>
      <c r="H22" s="33"/>
      <c r="I22" s="33"/>
      <c r="J22" s="33"/>
    </row>
    <row r="23" spans="2:10" ht="15">
      <c r="B23" s="101"/>
      <c r="C23" s="103" t="s">
        <v>54</v>
      </c>
      <c r="D23" s="100"/>
      <c r="E23" s="33"/>
      <c r="F23" s="33"/>
      <c r="G23" s="33"/>
      <c r="H23" s="33"/>
      <c r="I23" s="33"/>
      <c r="J23" s="33"/>
    </row>
    <row r="25" spans="2:10" ht="15">
      <c r="B25" s="105" t="s">
        <v>43</v>
      </c>
      <c r="C25" s="106"/>
      <c r="D25" s="106"/>
      <c r="E25" s="106"/>
    </row>
    <row r="26" spans="2:10">
      <c r="B26" s="5" t="s">
        <v>202</v>
      </c>
      <c r="D26" s="107"/>
      <c r="E26" s="106"/>
    </row>
    <row r="27" spans="2:10" ht="18" customHeight="1">
      <c r="B27" s="106"/>
      <c r="E27" s="106"/>
    </row>
    <row r="28" spans="2:10">
      <c r="B28" s="106"/>
      <c r="C28" s="106"/>
      <c r="D28" s="106"/>
      <c r="E28" s="106"/>
    </row>
    <row r="29" spans="2:10">
      <c r="B29" s="106"/>
      <c r="C29" s="106"/>
      <c r="D29" s="106"/>
      <c r="E29" s="106"/>
    </row>
    <row r="30" spans="2:10">
      <c r="B30" s="106"/>
      <c r="C30" s="106"/>
      <c r="D30" s="106"/>
      <c r="E30" s="106"/>
    </row>
    <row r="31" spans="2:10">
      <c r="B31" s="106"/>
      <c r="C31" s="106"/>
      <c r="D31" s="106"/>
      <c r="E31" s="106"/>
    </row>
  </sheetData>
  <mergeCells count="6">
    <mergeCell ref="B6:B8"/>
    <mergeCell ref="C6:C8"/>
    <mergeCell ref="F6:J6"/>
    <mergeCell ref="B2:J2"/>
    <mergeCell ref="B3:J3"/>
    <mergeCell ref="B4:J4"/>
  </mergeCells>
  <pageMargins left="0.75" right="0.75" top="1" bottom="1" header="0.5" footer="0.5"/>
  <pageSetup paperSize="9" scale="8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2"/>
  <sheetViews>
    <sheetView showGridLines="0" view="pageBreakPreview" zoomScale="60" zoomScaleNormal="80" workbookViewId="0">
      <selection activeCell="B4" sqref="B4:O4"/>
    </sheetView>
  </sheetViews>
  <sheetFormatPr defaultColWidth="9.28515625" defaultRowHeight="14.25"/>
  <cols>
    <col min="1" max="1" width="4.28515625" style="5" customWidth="1"/>
    <col min="2" max="2" width="30.42578125" style="5" customWidth="1"/>
    <col min="3" max="15" width="10.7109375" style="192" customWidth="1"/>
    <col min="16" max="16384" width="9.28515625" style="5"/>
  </cols>
  <sheetData>
    <row r="1" spans="1:17" ht="15">
      <c r="B1" s="114"/>
    </row>
    <row r="2" spans="1:17" ht="14.25" customHeight="1">
      <c r="B2" s="274" t="s">
        <v>397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</row>
    <row r="3" spans="1:17" ht="14.25" customHeight="1">
      <c r="B3" s="274" t="s">
        <v>371</v>
      </c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</row>
    <row r="4" spans="1:17" ht="15">
      <c r="B4" s="275" t="s">
        <v>314</v>
      </c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</row>
    <row r="5" spans="1:17" ht="15">
      <c r="B5" s="30" t="s">
        <v>232</v>
      </c>
      <c r="C5" s="193" t="s">
        <v>372</v>
      </c>
      <c r="D5" s="193"/>
      <c r="E5" s="195"/>
      <c r="F5" s="193"/>
      <c r="G5" s="193"/>
      <c r="H5" s="193"/>
      <c r="I5" s="194"/>
    </row>
    <row r="6" spans="1:17" ht="15">
      <c r="B6" s="30" t="s">
        <v>12</v>
      </c>
      <c r="C6" s="196"/>
      <c r="D6" s="196"/>
      <c r="O6" s="196" t="s">
        <v>128</v>
      </c>
    </row>
    <row r="7" spans="1:17" s="39" customFormat="1" ht="15" customHeight="1">
      <c r="B7" s="37" t="s">
        <v>315</v>
      </c>
      <c r="C7" s="172" t="s">
        <v>129</v>
      </c>
      <c r="D7" s="172" t="s">
        <v>130</v>
      </c>
      <c r="E7" s="172" t="s">
        <v>131</v>
      </c>
      <c r="F7" s="172" t="s">
        <v>132</v>
      </c>
      <c r="G7" s="172" t="s">
        <v>133</v>
      </c>
      <c r="H7" s="172" t="s">
        <v>134</v>
      </c>
      <c r="I7" s="172" t="s">
        <v>135</v>
      </c>
      <c r="J7" s="172" t="s">
        <v>136</v>
      </c>
      <c r="K7" s="172" t="s">
        <v>137</v>
      </c>
      <c r="L7" s="172" t="s">
        <v>138</v>
      </c>
      <c r="M7" s="172" t="s">
        <v>139</v>
      </c>
      <c r="N7" s="172" t="s">
        <v>140</v>
      </c>
      <c r="O7" s="172" t="s">
        <v>127</v>
      </c>
    </row>
    <row r="8" spans="1:17" s="39" customFormat="1" ht="15">
      <c r="B8" s="197" t="s">
        <v>373</v>
      </c>
      <c r="C8" s="173">
        <v>5.6737594010000008</v>
      </c>
      <c r="D8" s="173">
        <v>-6.7245438000000005E-2</v>
      </c>
      <c r="E8" s="173">
        <v>0.50892089099999993</v>
      </c>
      <c r="F8" s="173">
        <v>8.5379624110000005</v>
      </c>
      <c r="G8" s="173">
        <v>19.056322584</v>
      </c>
      <c r="H8" s="173">
        <v>19.131115461</v>
      </c>
      <c r="I8" s="173">
        <v>20.939977953</v>
      </c>
      <c r="J8" s="173">
        <v>5.9888610990000002</v>
      </c>
      <c r="K8" s="173">
        <v>3.5150126500000005</v>
      </c>
      <c r="L8" s="173">
        <v>7.6444353729999994</v>
      </c>
      <c r="M8" s="173">
        <v>7.2056750459999996</v>
      </c>
      <c r="N8" s="173">
        <v>6.3544370890000001</v>
      </c>
      <c r="O8" s="173">
        <f>SUM(C8:N8)</f>
        <v>104.48923452</v>
      </c>
    </row>
    <row r="9" spans="1:17" s="39" customFormat="1" ht="15">
      <c r="B9" s="197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</row>
    <row r="10" spans="1:17" s="39" customFormat="1" ht="15">
      <c r="B10" s="197" t="s">
        <v>374</v>
      </c>
      <c r="C10" s="173">
        <v>2.3684225990000001</v>
      </c>
      <c r="D10" s="173">
        <v>-2.8070561999999997E-2</v>
      </c>
      <c r="E10" s="173">
        <v>0.21244110899999996</v>
      </c>
      <c r="F10" s="173">
        <v>3.5640395890000001</v>
      </c>
      <c r="G10" s="173">
        <v>7.9547654159999999</v>
      </c>
      <c r="H10" s="173">
        <v>7.9859865389999989</v>
      </c>
      <c r="I10" s="173">
        <v>8.7410680469999988</v>
      </c>
      <c r="J10" s="173">
        <v>2.499956901</v>
      </c>
      <c r="K10" s="173">
        <v>1.4672873500000001</v>
      </c>
      <c r="L10" s="173">
        <v>3.1910506269999996</v>
      </c>
      <c r="M10" s="173">
        <v>3.0078969539999996</v>
      </c>
      <c r="N10" s="173">
        <v>2.6525609109999997</v>
      </c>
      <c r="O10" s="173">
        <f t="shared" ref="O10" si="0">SUM(C10:N10)</f>
        <v>43.617405479999995</v>
      </c>
    </row>
    <row r="11" spans="1:17" s="39" customFormat="1" ht="15">
      <c r="B11" s="4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</row>
    <row r="12" spans="1:17" ht="15">
      <c r="B12" s="44" t="s">
        <v>127</v>
      </c>
      <c r="C12" s="137">
        <f>C8+C10</f>
        <v>8.0421820000000004</v>
      </c>
      <c r="D12" s="137">
        <f t="shared" ref="D12:N12" si="1">D8+D10</f>
        <v>-9.5315999999999998E-2</v>
      </c>
      <c r="E12" s="137">
        <f t="shared" si="1"/>
        <v>0.72136199999999984</v>
      </c>
      <c r="F12" s="137">
        <f t="shared" si="1"/>
        <v>12.102002000000001</v>
      </c>
      <c r="G12" s="137">
        <f t="shared" si="1"/>
        <v>27.011088000000001</v>
      </c>
      <c r="H12" s="137">
        <f t="shared" si="1"/>
        <v>27.117101999999999</v>
      </c>
      <c r="I12" s="137">
        <f t="shared" si="1"/>
        <v>29.681045999999998</v>
      </c>
      <c r="J12" s="137">
        <f t="shared" si="1"/>
        <v>8.4888180000000002</v>
      </c>
      <c r="K12" s="137">
        <f t="shared" si="1"/>
        <v>4.9823000000000004</v>
      </c>
      <c r="L12" s="137">
        <f t="shared" si="1"/>
        <v>10.835486</v>
      </c>
      <c r="M12" s="137">
        <f t="shared" si="1"/>
        <v>10.213571999999999</v>
      </c>
      <c r="N12" s="137">
        <f t="shared" si="1"/>
        <v>9.0069979999999994</v>
      </c>
      <c r="O12" s="137">
        <f>O8+O10</f>
        <v>148.10664</v>
      </c>
    </row>
    <row r="13" spans="1:17" ht="16.5">
      <c r="B13" s="30"/>
      <c r="C13" s="193"/>
      <c r="D13" s="193"/>
      <c r="E13" s="193"/>
      <c r="F13" s="193"/>
      <c r="G13" s="193"/>
      <c r="H13" s="193"/>
      <c r="I13" s="198"/>
    </row>
    <row r="14" spans="1:17" ht="16.5">
      <c r="B14" s="30" t="s">
        <v>231</v>
      </c>
      <c r="C14" s="193" t="s">
        <v>375</v>
      </c>
      <c r="D14" s="193"/>
      <c r="F14" s="193"/>
      <c r="G14" s="193"/>
      <c r="H14" s="195"/>
      <c r="I14" s="193"/>
      <c r="J14" s="193"/>
      <c r="K14" s="193"/>
      <c r="L14" s="193"/>
      <c r="M14" s="193"/>
      <c r="N14" s="193"/>
      <c r="O14" s="194"/>
      <c r="P14" s="108"/>
    </row>
    <row r="15" spans="1:17" ht="16.5">
      <c r="A15" s="5" t="s">
        <v>313</v>
      </c>
      <c r="B15" s="30" t="s">
        <v>5</v>
      </c>
      <c r="C15" s="196"/>
      <c r="D15" s="193"/>
      <c r="O15" s="196" t="s">
        <v>128</v>
      </c>
      <c r="P15" s="108"/>
    </row>
    <row r="16" spans="1:17" ht="18.75" customHeight="1">
      <c r="B16" s="247" t="s">
        <v>315</v>
      </c>
      <c r="C16" s="271" t="s">
        <v>141</v>
      </c>
      <c r="D16" s="272"/>
      <c r="E16" s="272"/>
      <c r="F16" s="272"/>
      <c r="G16" s="272"/>
      <c r="H16" s="273"/>
      <c r="I16" s="271" t="s">
        <v>5</v>
      </c>
      <c r="J16" s="272"/>
      <c r="K16" s="272"/>
      <c r="L16" s="272"/>
      <c r="M16" s="272"/>
      <c r="N16" s="273"/>
      <c r="O16" s="172" t="s">
        <v>142</v>
      </c>
      <c r="P16" s="108"/>
      <c r="Q16" s="108"/>
    </row>
    <row r="17" spans="2:16" ht="15">
      <c r="B17" s="249"/>
      <c r="C17" s="172" t="s">
        <v>129</v>
      </c>
      <c r="D17" s="172" t="s">
        <v>130</v>
      </c>
      <c r="E17" s="172" t="s">
        <v>131</v>
      </c>
      <c r="F17" s="172" t="s">
        <v>132</v>
      </c>
      <c r="G17" s="172" t="s">
        <v>133</v>
      </c>
      <c r="H17" s="172" t="s">
        <v>134</v>
      </c>
      <c r="I17" s="172" t="s">
        <v>135</v>
      </c>
      <c r="J17" s="172" t="s">
        <v>136</v>
      </c>
      <c r="K17" s="172" t="s">
        <v>137</v>
      </c>
      <c r="L17" s="172" t="s">
        <v>138</v>
      </c>
      <c r="M17" s="172" t="s">
        <v>139</v>
      </c>
      <c r="N17" s="172" t="s">
        <v>140</v>
      </c>
      <c r="O17" s="133"/>
    </row>
    <row r="18" spans="2:16" s="39" customFormat="1" ht="15">
      <c r="B18" s="197" t="s">
        <v>373</v>
      </c>
      <c r="C18" s="173">
        <v>3.025192466</v>
      </c>
      <c r="D18" s="173">
        <v>-6.4462945999999993E-2</v>
      </c>
      <c r="E18" s="173">
        <v>-6.1594382999999996E-2</v>
      </c>
      <c r="F18" s="199">
        <v>1.9226963280000002</v>
      </c>
      <c r="G18" s="173">
        <v>8.2334178149999993</v>
      </c>
      <c r="H18" s="173">
        <v>11.388933063000001</v>
      </c>
      <c r="I18" s="173">
        <f>14.85*0.7055</f>
        <v>10.476675</v>
      </c>
      <c r="J18" s="173">
        <f>1.82*0.7055</f>
        <v>1.2840100000000001</v>
      </c>
      <c r="K18" s="173">
        <f>2.12*0.7055</f>
        <v>1.4956600000000002</v>
      </c>
      <c r="L18" s="173">
        <f>6.5*0.7055</f>
        <v>4.58575</v>
      </c>
      <c r="M18" s="173">
        <f>7.01207*0.7055</f>
        <v>4.9470153849999994</v>
      </c>
      <c r="N18" s="173">
        <f>8.225648*0.7055</f>
        <v>5.8031946640000003</v>
      </c>
      <c r="O18" s="199">
        <f>SUM(C18:N18)</f>
        <v>53.036487392000005</v>
      </c>
    </row>
    <row r="19" spans="2:16" s="39" customFormat="1" ht="15">
      <c r="B19" s="197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</row>
    <row r="20" spans="2:16" s="39" customFormat="1" ht="15">
      <c r="B20" s="197" t="s">
        <v>374</v>
      </c>
      <c r="C20" s="173">
        <v>1.2628195339999999</v>
      </c>
      <c r="D20" s="173">
        <v>-2.6909053999999998E-2</v>
      </c>
      <c r="E20" s="173">
        <v>-2.5711616999999996E-2</v>
      </c>
      <c r="F20" s="173">
        <v>0.80259967200000004</v>
      </c>
      <c r="G20" s="173">
        <v>3.4369121849999997</v>
      </c>
      <c r="H20" s="173">
        <v>4.7541329369999996</v>
      </c>
      <c r="I20" s="173">
        <f>14.85*0.2945</f>
        <v>4.3733249999999995</v>
      </c>
      <c r="J20" s="173">
        <f>1.82*0.2945</f>
        <v>0.53598999999999997</v>
      </c>
      <c r="K20" s="173">
        <f>2.12*0.2945</f>
        <v>0.62434000000000001</v>
      </c>
      <c r="L20" s="173">
        <f>6.5*0.2945</f>
        <v>1.91425</v>
      </c>
      <c r="M20" s="173">
        <f>7.01207*0.2945</f>
        <v>2.0650546149999998</v>
      </c>
      <c r="N20" s="173">
        <f>8.225648*0.2945</f>
        <v>2.4224533359999998</v>
      </c>
      <c r="O20" s="173">
        <f>SUM(C20:N20)</f>
        <v>22.139256608</v>
      </c>
    </row>
    <row r="21" spans="2:16" s="39" customFormat="1" ht="15">
      <c r="B21" s="43"/>
      <c r="C21" s="173"/>
      <c r="D21" s="173"/>
      <c r="E21" s="173"/>
      <c r="F21" s="173"/>
      <c r="G21" s="173"/>
      <c r="H21" s="173"/>
      <c r="I21" s="173"/>
      <c r="J21" s="173"/>
      <c r="K21" s="173"/>
      <c r="L21" s="173"/>
      <c r="M21" s="173"/>
      <c r="N21" s="173"/>
      <c r="O21" s="173"/>
    </row>
    <row r="22" spans="2:16" ht="15">
      <c r="B22" s="44" t="s">
        <v>127</v>
      </c>
      <c r="C22" s="137">
        <f>C18+C20</f>
        <v>4.2880120000000002</v>
      </c>
      <c r="D22" s="137">
        <f t="shared" ref="D22:O22" si="2">D18+D20</f>
        <v>-9.1371999999999995E-2</v>
      </c>
      <c r="E22" s="137">
        <f t="shared" si="2"/>
        <v>-8.7305999999999995E-2</v>
      </c>
      <c r="F22" s="137">
        <f t="shared" si="2"/>
        <v>2.7252960000000002</v>
      </c>
      <c r="G22" s="137">
        <f t="shared" si="2"/>
        <v>11.67033</v>
      </c>
      <c r="H22" s="137">
        <f t="shared" si="2"/>
        <v>16.143066000000001</v>
      </c>
      <c r="I22" s="137">
        <f t="shared" si="2"/>
        <v>14.85</v>
      </c>
      <c r="J22" s="137">
        <f t="shared" si="2"/>
        <v>1.82</v>
      </c>
      <c r="K22" s="137">
        <f t="shared" si="2"/>
        <v>2.12</v>
      </c>
      <c r="L22" s="137">
        <f t="shared" si="2"/>
        <v>6.5</v>
      </c>
      <c r="M22" s="137">
        <f t="shared" si="2"/>
        <v>7.0120699999999996</v>
      </c>
      <c r="N22" s="137">
        <f t="shared" si="2"/>
        <v>8.2256479999999996</v>
      </c>
      <c r="O22" s="137">
        <f t="shared" si="2"/>
        <v>75.175744000000009</v>
      </c>
    </row>
    <row r="24" spans="2:16" ht="16.5">
      <c r="B24" s="30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4"/>
      <c r="P24" s="108"/>
    </row>
    <row r="25" spans="2:16" ht="15">
      <c r="B25" s="30" t="s">
        <v>319</v>
      </c>
      <c r="C25" s="193" t="s">
        <v>376</v>
      </c>
      <c r="D25" s="193"/>
      <c r="F25" s="193"/>
      <c r="G25" s="193"/>
      <c r="H25" s="193"/>
      <c r="I25" s="194"/>
    </row>
    <row r="26" spans="2:16" ht="15">
      <c r="B26" s="30" t="s">
        <v>8</v>
      </c>
      <c r="C26" s="196"/>
      <c r="D26" s="196"/>
      <c r="O26" s="196" t="s">
        <v>128</v>
      </c>
    </row>
    <row r="27" spans="2:16" ht="15">
      <c r="B27" s="37" t="s">
        <v>315</v>
      </c>
      <c r="C27" s="172" t="s">
        <v>129</v>
      </c>
      <c r="D27" s="172" t="s">
        <v>130</v>
      </c>
      <c r="E27" s="172" t="s">
        <v>131</v>
      </c>
      <c r="F27" s="172" t="s">
        <v>132</v>
      </c>
      <c r="G27" s="172" t="s">
        <v>133</v>
      </c>
      <c r="H27" s="172" t="s">
        <v>134</v>
      </c>
      <c r="I27" s="172" t="s">
        <v>135</v>
      </c>
      <c r="J27" s="172" t="s">
        <v>136</v>
      </c>
      <c r="K27" s="172" t="s">
        <v>137</v>
      </c>
      <c r="L27" s="172" t="s">
        <v>138</v>
      </c>
      <c r="M27" s="172" t="s">
        <v>139</v>
      </c>
      <c r="N27" s="172" t="s">
        <v>140</v>
      </c>
      <c r="O27" s="172" t="s">
        <v>127</v>
      </c>
    </row>
    <row r="28" spans="2:16" ht="15">
      <c r="B28" s="197" t="s">
        <v>373</v>
      </c>
      <c r="C28" s="173">
        <v>3.6989365000000003</v>
      </c>
      <c r="D28" s="173">
        <v>-2.6456250000000001E-2</v>
      </c>
      <c r="E28" s="173">
        <v>0.18219537499999999</v>
      </c>
      <c r="F28" s="173">
        <v>2.2251470000000002</v>
      </c>
      <c r="G28" s="173">
        <v>8.3236653749999991</v>
      </c>
      <c r="H28" s="173">
        <v>10.833834375</v>
      </c>
      <c r="I28" s="173">
        <v>10.769986625000001</v>
      </c>
      <c r="J28" s="173">
        <v>2.3683635000000001</v>
      </c>
      <c r="K28" s="173">
        <v>4.3336043000000002</v>
      </c>
      <c r="L28" s="173">
        <v>7.8394807250000005</v>
      </c>
      <c r="M28" s="173">
        <v>7.776550125</v>
      </c>
      <c r="N28" s="173">
        <v>7.135462275000001</v>
      </c>
      <c r="O28" s="173">
        <f>SUM(C28:N28)</f>
        <v>65.460769924999994</v>
      </c>
    </row>
    <row r="29" spans="2:16" ht="15">
      <c r="B29" s="197"/>
      <c r="C29" s="173"/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3"/>
      <c r="O29" s="173"/>
    </row>
    <row r="30" spans="2:16" ht="15">
      <c r="B30" s="197" t="s">
        <v>374</v>
      </c>
      <c r="C30" s="173">
        <v>1.5440635</v>
      </c>
      <c r="D30" s="173">
        <v>-1.104375E-2</v>
      </c>
      <c r="E30" s="173">
        <v>7.6054624999999987E-2</v>
      </c>
      <c r="F30" s="173">
        <v>0.92885299999999993</v>
      </c>
      <c r="G30" s="173">
        <v>3.4745846249999999</v>
      </c>
      <c r="H30" s="173">
        <v>4.5224156249999998</v>
      </c>
      <c r="I30" s="173">
        <v>4.4957633750000001</v>
      </c>
      <c r="J30" s="173">
        <v>0.98863650000000003</v>
      </c>
      <c r="K30" s="173">
        <v>1.8089956999999999</v>
      </c>
      <c r="L30" s="173">
        <v>3.2724692749999997</v>
      </c>
      <c r="M30" s="173">
        <v>3.2461998749999998</v>
      </c>
      <c r="N30" s="173">
        <v>2.9785877250000001</v>
      </c>
      <c r="O30" s="173">
        <f>SUM(C30:N30)</f>
        <v>27.325580074999994</v>
      </c>
    </row>
    <row r="31" spans="2:16" ht="15">
      <c r="B31" s="43"/>
      <c r="C31" s="173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73"/>
    </row>
    <row r="32" spans="2:16" ht="15">
      <c r="B32" s="44" t="s">
        <v>127</v>
      </c>
      <c r="C32" s="137">
        <f>C28+C30</f>
        <v>5.2430000000000003</v>
      </c>
      <c r="D32" s="137">
        <f t="shared" ref="D32:O32" si="3">D28+D30</f>
        <v>-3.7499999999999999E-2</v>
      </c>
      <c r="E32" s="137">
        <f t="shared" si="3"/>
        <v>0.25824999999999998</v>
      </c>
      <c r="F32" s="137">
        <f t="shared" si="3"/>
        <v>3.1539999999999999</v>
      </c>
      <c r="G32" s="137">
        <f t="shared" si="3"/>
        <v>11.798249999999999</v>
      </c>
      <c r="H32" s="137">
        <f t="shared" si="3"/>
        <v>15.356249999999999</v>
      </c>
      <c r="I32" s="137">
        <f t="shared" si="3"/>
        <v>15.265750000000001</v>
      </c>
      <c r="J32" s="137">
        <f t="shared" si="3"/>
        <v>3.3570000000000002</v>
      </c>
      <c r="K32" s="137">
        <f t="shared" si="3"/>
        <v>6.1425999999999998</v>
      </c>
      <c r="L32" s="137">
        <f t="shared" si="3"/>
        <v>11.11195</v>
      </c>
      <c r="M32" s="137">
        <f t="shared" si="3"/>
        <v>11.02275</v>
      </c>
      <c r="N32" s="137">
        <f t="shared" si="3"/>
        <v>10.114050000000001</v>
      </c>
      <c r="O32" s="137">
        <f t="shared" si="3"/>
        <v>92.786349999999985</v>
      </c>
    </row>
    <row r="35" spans="2:15" ht="15">
      <c r="B35" s="30" t="s">
        <v>320</v>
      </c>
      <c r="C35" s="193" t="s">
        <v>377</v>
      </c>
      <c r="D35" s="193"/>
      <c r="F35" s="193"/>
      <c r="G35" s="193"/>
      <c r="H35" s="193"/>
      <c r="I35" s="194"/>
    </row>
    <row r="36" spans="2:15" ht="15">
      <c r="B36" s="30" t="s">
        <v>8</v>
      </c>
      <c r="C36" s="196"/>
      <c r="D36" s="196"/>
      <c r="O36" s="196" t="s">
        <v>128</v>
      </c>
    </row>
    <row r="37" spans="2:15" ht="15">
      <c r="B37" s="37" t="s">
        <v>315</v>
      </c>
      <c r="C37" s="172" t="s">
        <v>129</v>
      </c>
      <c r="D37" s="172" t="s">
        <v>130</v>
      </c>
      <c r="E37" s="172" t="s">
        <v>131</v>
      </c>
      <c r="F37" s="172" t="s">
        <v>132</v>
      </c>
      <c r="G37" s="172" t="s">
        <v>133</v>
      </c>
      <c r="H37" s="172" t="s">
        <v>134</v>
      </c>
      <c r="I37" s="172" t="s">
        <v>135</v>
      </c>
      <c r="J37" s="172" t="s">
        <v>136</v>
      </c>
      <c r="K37" s="172" t="s">
        <v>137</v>
      </c>
      <c r="L37" s="172" t="s">
        <v>138</v>
      </c>
      <c r="M37" s="172" t="s">
        <v>139</v>
      </c>
      <c r="N37" s="172" t="s">
        <v>140</v>
      </c>
      <c r="O37" s="172" t="s">
        <v>127</v>
      </c>
    </row>
    <row r="38" spans="2:15" ht="15">
      <c r="B38" s="197" t="s">
        <v>373</v>
      </c>
      <c r="C38" s="173">
        <v>3.7066969999999997</v>
      </c>
      <c r="D38" s="173">
        <v>-2.786725E-2</v>
      </c>
      <c r="E38" s="173">
        <v>0.18025525000000001</v>
      </c>
      <c r="F38" s="173">
        <v>2.2237360000000002</v>
      </c>
      <c r="G38" s="173">
        <v>8.3332954499999996</v>
      </c>
      <c r="H38" s="173">
        <v>10.840818824999999</v>
      </c>
      <c r="I38" s="173">
        <v>10.776971075000001</v>
      </c>
      <c r="J38" s="173">
        <v>2.3752773999999999</v>
      </c>
      <c r="K38" s="173">
        <v>4.3407298500000007</v>
      </c>
      <c r="L38" s="173">
        <v>7.1420939749999999</v>
      </c>
      <c r="M38" s="173">
        <v>7.7809594999999998</v>
      </c>
      <c r="N38" s="173">
        <v>7.8469590250000003</v>
      </c>
      <c r="O38" s="173">
        <f>SUM(C38:N38)</f>
        <v>65.519926100000006</v>
      </c>
    </row>
    <row r="39" spans="2:15" ht="15">
      <c r="B39" s="197"/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  <c r="N39" s="173"/>
      <c r="O39" s="173"/>
    </row>
    <row r="40" spans="2:15" ht="15">
      <c r="B40" s="197" t="s">
        <v>374</v>
      </c>
      <c r="C40" s="173">
        <v>1.5473029999999999</v>
      </c>
      <c r="D40" s="173">
        <v>-1.1632749999999999E-2</v>
      </c>
      <c r="E40" s="173">
        <v>7.5244749999999999E-2</v>
      </c>
      <c r="F40" s="173">
        <v>0.92826399999999998</v>
      </c>
      <c r="G40" s="173">
        <v>3.4786045499999996</v>
      </c>
      <c r="H40" s="173">
        <v>4.5253311749999998</v>
      </c>
      <c r="I40" s="173">
        <v>4.4986789250000001</v>
      </c>
      <c r="J40" s="173">
        <v>0.99152259999999992</v>
      </c>
      <c r="K40" s="173">
        <v>1.8119701500000001</v>
      </c>
      <c r="L40" s="173">
        <v>2.9813560249999997</v>
      </c>
      <c r="M40" s="173">
        <v>3.2480404999999997</v>
      </c>
      <c r="N40" s="173">
        <v>3.2755909750000001</v>
      </c>
      <c r="O40" s="173">
        <f>SUM(C40:N40)</f>
        <v>27.350273899999998</v>
      </c>
    </row>
    <row r="41" spans="2:15" ht="15">
      <c r="B41" s="43"/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</row>
    <row r="42" spans="2:15" ht="15">
      <c r="B42" s="44" t="s">
        <v>127</v>
      </c>
      <c r="C42" s="137">
        <f>C38+C40</f>
        <v>5.2539999999999996</v>
      </c>
      <c r="D42" s="137">
        <f t="shared" ref="D42:O42" si="4">D38+D40</f>
        <v>-3.95E-2</v>
      </c>
      <c r="E42" s="137">
        <f t="shared" si="4"/>
        <v>0.2555</v>
      </c>
      <c r="F42" s="137">
        <f t="shared" si="4"/>
        <v>3.1520000000000001</v>
      </c>
      <c r="G42" s="137">
        <f t="shared" si="4"/>
        <v>11.8119</v>
      </c>
      <c r="H42" s="137">
        <f t="shared" si="4"/>
        <v>15.366149999999999</v>
      </c>
      <c r="I42" s="137">
        <f t="shared" si="4"/>
        <v>15.275650000000001</v>
      </c>
      <c r="J42" s="137">
        <f t="shared" si="4"/>
        <v>3.3667999999999996</v>
      </c>
      <c r="K42" s="137">
        <f t="shared" si="4"/>
        <v>6.1527000000000012</v>
      </c>
      <c r="L42" s="137">
        <f t="shared" si="4"/>
        <v>10.12345</v>
      </c>
      <c r="M42" s="137">
        <f t="shared" si="4"/>
        <v>11.029</v>
      </c>
      <c r="N42" s="137">
        <f t="shared" si="4"/>
        <v>11.12255</v>
      </c>
      <c r="O42" s="137">
        <f t="shared" si="4"/>
        <v>92.870200000000011</v>
      </c>
    </row>
    <row r="45" spans="2:15" ht="15">
      <c r="B45" s="30" t="s">
        <v>321</v>
      </c>
      <c r="C45" s="193" t="s">
        <v>378</v>
      </c>
      <c r="D45" s="193"/>
      <c r="F45" s="193"/>
      <c r="G45" s="193"/>
      <c r="H45" s="193"/>
      <c r="I45" s="194"/>
    </row>
    <row r="46" spans="2:15" ht="15">
      <c r="B46" s="30" t="s">
        <v>8</v>
      </c>
      <c r="C46" s="196"/>
      <c r="D46" s="196"/>
      <c r="O46" s="196" t="s">
        <v>128</v>
      </c>
    </row>
    <row r="47" spans="2:15" ht="15">
      <c r="B47" s="37" t="s">
        <v>315</v>
      </c>
      <c r="C47" s="172" t="s">
        <v>129</v>
      </c>
      <c r="D47" s="172" t="s">
        <v>130</v>
      </c>
      <c r="E47" s="172" t="s">
        <v>131</v>
      </c>
      <c r="F47" s="172" t="s">
        <v>132</v>
      </c>
      <c r="G47" s="172" t="s">
        <v>133</v>
      </c>
      <c r="H47" s="172" t="s">
        <v>134</v>
      </c>
      <c r="I47" s="172" t="s">
        <v>135</v>
      </c>
      <c r="J47" s="172" t="s">
        <v>136</v>
      </c>
      <c r="K47" s="172" t="s">
        <v>137</v>
      </c>
      <c r="L47" s="172" t="s">
        <v>138</v>
      </c>
      <c r="M47" s="172" t="s">
        <v>139</v>
      </c>
      <c r="N47" s="172" t="s">
        <v>140</v>
      </c>
      <c r="O47" s="172" t="s">
        <v>127</v>
      </c>
    </row>
    <row r="48" spans="2:15" ht="15">
      <c r="B48" s="197" t="s">
        <v>373</v>
      </c>
      <c r="C48" s="173">
        <v>3.7137520000000004</v>
      </c>
      <c r="D48" s="173">
        <v>-2.786725E-2</v>
      </c>
      <c r="E48" s="173">
        <v>0.18025525000000001</v>
      </c>
      <c r="F48" s="173">
        <v>1.5208816249999999</v>
      </c>
      <c r="G48" s="173">
        <v>8.3375637250000008</v>
      </c>
      <c r="H48" s="173">
        <v>10.847803275</v>
      </c>
      <c r="I48" s="173">
        <v>10.783955525000001</v>
      </c>
      <c r="J48" s="173">
        <v>2.3823324000000001</v>
      </c>
      <c r="K48" s="173">
        <v>4.3477143000000007</v>
      </c>
      <c r="L48" s="173">
        <v>7.8535201749999999</v>
      </c>
      <c r="M48" s="173">
        <v>7.7906601250000005</v>
      </c>
      <c r="N48" s="173">
        <v>7.8540140250000006</v>
      </c>
      <c r="O48" s="173">
        <f>SUM(C48:N48)</f>
        <v>65.584585175000015</v>
      </c>
    </row>
    <row r="49" spans="2:15" ht="15">
      <c r="B49" s="197"/>
      <c r="C49" s="173"/>
      <c r="D49" s="173"/>
      <c r="E49" s="173"/>
      <c r="F49" s="173"/>
      <c r="G49" s="173"/>
      <c r="H49" s="173"/>
      <c r="I49" s="173"/>
      <c r="J49" s="173"/>
      <c r="K49" s="173"/>
      <c r="L49" s="173"/>
      <c r="M49" s="173"/>
      <c r="N49" s="173"/>
      <c r="O49" s="173"/>
    </row>
    <row r="50" spans="2:15" ht="15">
      <c r="B50" s="197" t="s">
        <v>374</v>
      </c>
      <c r="C50" s="173">
        <v>1.5502480000000001</v>
      </c>
      <c r="D50" s="173">
        <v>-1.1632749999999999E-2</v>
      </c>
      <c r="E50" s="173">
        <v>7.5244749999999999E-2</v>
      </c>
      <c r="F50" s="173">
        <v>0.63486837499999993</v>
      </c>
      <c r="G50" s="173">
        <v>3.4803862749999999</v>
      </c>
      <c r="H50" s="173">
        <v>4.5282467249999998</v>
      </c>
      <c r="I50" s="173">
        <v>4.5015944750000001</v>
      </c>
      <c r="J50" s="173">
        <v>0.9944675999999999</v>
      </c>
      <c r="K50" s="173">
        <v>1.8148857</v>
      </c>
      <c r="L50" s="173">
        <v>3.2783298249999997</v>
      </c>
      <c r="M50" s="173">
        <v>3.2520898749999998</v>
      </c>
      <c r="N50" s="173">
        <v>3.278535975</v>
      </c>
      <c r="O50" s="173">
        <f>SUM(C50:N50)</f>
        <v>27.377264825000001</v>
      </c>
    </row>
    <row r="51" spans="2:15" ht="15">
      <c r="B51" s="43"/>
      <c r="C51" s="173"/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</row>
    <row r="52" spans="2:15" ht="15">
      <c r="B52" s="44" t="s">
        <v>127</v>
      </c>
      <c r="C52" s="137">
        <f>C48+C50</f>
        <v>5.2640000000000002</v>
      </c>
      <c r="D52" s="137">
        <f t="shared" ref="D52:O52" si="5">D48+D50</f>
        <v>-3.95E-2</v>
      </c>
      <c r="E52" s="137">
        <f t="shared" si="5"/>
        <v>0.2555</v>
      </c>
      <c r="F52" s="137">
        <f t="shared" si="5"/>
        <v>2.1557499999999998</v>
      </c>
      <c r="G52" s="137">
        <f t="shared" si="5"/>
        <v>11.81795</v>
      </c>
      <c r="H52" s="137">
        <f t="shared" si="5"/>
        <v>15.376049999999999</v>
      </c>
      <c r="I52" s="137">
        <f t="shared" si="5"/>
        <v>15.285550000000001</v>
      </c>
      <c r="J52" s="137">
        <f t="shared" si="5"/>
        <v>3.3768000000000002</v>
      </c>
      <c r="K52" s="137">
        <f t="shared" si="5"/>
        <v>6.1626000000000012</v>
      </c>
      <c r="L52" s="137">
        <f t="shared" si="5"/>
        <v>11.13185</v>
      </c>
      <c r="M52" s="137">
        <f t="shared" si="5"/>
        <v>11.04275</v>
      </c>
      <c r="N52" s="137">
        <f t="shared" si="5"/>
        <v>11.13255</v>
      </c>
      <c r="O52" s="137">
        <f t="shared" si="5"/>
        <v>92.961850000000013</v>
      </c>
    </row>
    <row r="55" spans="2:15" ht="15">
      <c r="B55" s="30" t="s">
        <v>322</v>
      </c>
      <c r="C55" s="193" t="s">
        <v>379</v>
      </c>
      <c r="D55" s="193"/>
      <c r="F55" s="193"/>
      <c r="G55" s="193"/>
      <c r="H55" s="193"/>
      <c r="I55" s="194"/>
    </row>
    <row r="56" spans="2:15" ht="15">
      <c r="B56" s="30" t="s">
        <v>8</v>
      </c>
      <c r="C56" s="196"/>
      <c r="D56" s="196"/>
      <c r="O56" s="196" t="s">
        <v>128</v>
      </c>
    </row>
    <row r="57" spans="2:15" ht="15">
      <c r="B57" s="37" t="s">
        <v>315</v>
      </c>
      <c r="C57" s="172" t="s">
        <v>129</v>
      </c>
      <c r="D57" s="172" t="s">
        <v>130</v>
      </c>
      <c r="E57" s="172" t="s">
        <v>131</v>
      </c>
      <c r="F57" s="172" t="s">
        <v>132</v>
      </c>
      <c r="G57" s="172" t="s">
        <v>133</v>
      </c>
      <c r="H57" s="172" t="s">
        <v>134</v>
      </c>
      <c r="I57" s="172" t="s">
        <v>135</v>
      </c>
      <c r="J57" s="172" t="s">
        <v>136</v>
      </c>
      <c r="K57" s="172" t="s">
        <v>137</v>
      </c>
      <c r="L57" s="172" t="s">
        <v>138</v>
      </c>
      <c r="M57" s="172" t="s">
        <v>139</v>
      </c>
      <c r="N57" s="172" t="s">
        <v>140</v>
      </c>
      <c r="O57" s="172" t="s">
        <v>127</v>
      </c>
    </row>
    <row r="58" spans="2:15" ht="15">
      <c r="B58" s="197" t="s">
        <v>373</v>
      </c>
      <c r="C58" s="173">
        <v>3.7208070000000002</v>
      </c>
      <c r="D58" s="173">
        <v>-2.786725E-2</v>
      </c>
      <c r="E58" s="173">
        <v>0.180784375</v>
      </c>
      <c r="F58" s="173">
        <v>2.2237360000000002</v>
      </c>
      <c r="G58" s="173">
        <v>8.3473348999999999</v>
      </c>
      <c r="H58" s="173">
        <v>10.854928825</v>
      </c>
      <c r="I58" s="173">
        <v>10.791010525000001</v>
      </c>
      <c r="J58" s="173">
        <v>2.3893168499999997</v>
      </c>
      <c r="K58" s="173">
        <v>4.3548398500000003</v>
      </c>
      <c r="L58" s="173">
        <v>7.1549340750000008</v>
      </c>
      <c r="M58" s="173">
        <v>7.7950694999999994</v>
      </c>
      <c r="N58" s="173">
        <v>7.8610690249999999</v>
      </c>
      <c r="O58" s="173">
        <f>SUM(C58:N58)</f>
        <v>65.64596367499999</v>
      </c>
    </row>
    <row r="59" spans="2:15" ht="15">
      <c r="B59" s="197"/>
      <c r="C59" s="173"/>
      <c r="D59" s="173"/>
      <c r="E59" s="173"/>
      <c r="F59" s="173"/>
      <c r="G59" s="173"/>
      <c r="H59" s="173"/>
      <c r="I59" s="173"/>
      <c r="J59" s="173"/>
      <c r="K59" s="173"/>
      <c r="L59" s="173"/>
      <c r="M59" s="173"/>
      <c r="N59" s="173"/>
      <c r="O59" s="173"/>
    </row>
    <row r="60" spans="2:15" ht="15">
      <c r="B60" s="197" t="s">
        <v>374</v>
      </c>
      <c r="C60" s="173">
        <v>1.5531929999999998</v>
      </c>
      <c r="D60" s="173">
        <v>-1.1632749999999999E-2</v>
      </c>
      <c r="E60" s="173">
        <v>7.5465624999999995E-2</v>
      </c>
      <c r="F60" s="173">
        <v>0.92826399999999998</v>
      </c>
      <c r="G60" s="173">
        <v>3.4844650999999995</v>
      </c>
      <c r="H60" s="173">
        <v>4.5312211749999998</v>
      </c>
      <c r="I60" s="173">
        <v>4.5045394749999996</v>
      </c>
      <c r="J60" s="173">
        <v>0.99738314999999989</v>
      </c>
      <c r="K60" s="173">
        <v>1.8178601499999998</v>
      </c>
      <c r="L60" s="173">
        <v>2.9867159249999999</v>
      </c>
      <c r="M60" s="173">
        <v>3.2539304999999996</v>
      </c>
      <c r="N60" s="173">
        <v>3.281480975</v>
      </c>
      <c r="O60" s="173">
        <f>SUM(C60:N60)</f>
        <v>27.402886324999997</v>
      </c>
    </row>
    <row r="61" spans="2:15" ht="15">
      <c r="B61" s="43"/>
      <c r="C61" s="173"/>
      <c r="D61" s="173"/>
      <c r="E61" s="173"/>
      <c r="F61" s="173"/>
      <c r="G61" s="173"/>
      <c r="H61" s="173"/>
      <c r="I61" s="173"/>
      <c r="J61" s="173"/>
      <c r="K61" s="173"/>
      <c r="L61" s="173"/>
      <c r="M61" s="173"/>
      <c r="N61" s="173"/>
      <c r="O61" s="173"/>
    </row>
    <row r="62" spans="2:15" ht="15">
      <c r="B62" s="44" t="s">
        <v>127</v>
      </c>
      <c r="C62" s="137">
        <f>C58+C60</f>
        <v>5.274</v>
      </c>
      <c r="D62" s="137">
        <f t="shared" ref="D62:N62" si="6">D58+D60</f>
        <v>-3.95E-2</v>
      </c>
      <c r="E62" s="137">
        <f t="shared" si="6"/>
        <v>0.25624999999999998</v>
      </c>
      <c r="F62" s="137">
        <f t="shared" si="6"/>
        <v>3.1520000000000001</v>
      </c>
      <c r="G62" s="137">
        <f t="shared" si="6"/>
        <v>11.831799999999999</v>
      </c>
      <c r="H62" s="137">
        <f t="shared" si="6"/>
        <v>15.386150000000001</v>
      </c>
      <c r="I62" s="137">
        <f t="shared" si="6"/>
        <v>15.29555</v>
      </c>
      <c r="J62" s="137">
        <f t="shared" si="6"/>
        <v>3.3866999999999994</v>
      </c>
      <c r="K62" s="137">
        <f t="shared" si="6"/>
        <v>6.1726999999999999</v>
      </c>
      <c r="L62" s="137">
        <f t="shared" si="6"/>
        <v>10.14165</v>
      </c>
      <c r="M62" s="137">
        <f t="shared" si="6"/>
        <v>11.048999999999999</v>
      </c>
      <c r="N62" s="137">
        <f t="shared" si="6"/>
        <v>11.14255</v>
      </c>
      <c r="O62" s="137">
        <f>O58+O60</f>
        <v>93.048849999999987</v>
      </c>
    </row>
    <row r="65" spans="2:15" ht="15">
      <c r="B65" s="30" t="s">
        <v>323</v>
      </c>
      <c r="C65" s="193" t="s">
        <v>380</v>
      </c>
      <c r="D65" s="193"/>
      <c r="F65" s="193"/>
      <c r="G65" s="193"/>
      <c r="H65" s="193"/>
      <c r="I65" s="194"/>
    </row>
    <row r="66" spans="2:15" ht="15">
      <c r="B66" s="30" t="s">
        <v>8</v>
      </c>
      <c r="C66" s="196"/>
      <c r="D66" s="196"/>
      <c r="O66" s="196" t="s">
        <v>128</v>
      </c>
    </row>
    <row r="67" spans="2:15" ht="15">
      <c r="B67" s="37" t="s">
        <v>315</v>
      </c>
      <c r="C67" s="172" t="s">
        <v>129</v>
      </c>
      <c r="D67" s="172" t="s">
        <v>130</v>
      </c>
      <c r="E67" s="172" t="s">
        <v>131</v>
      </c>
      <c r="F67" s="172" t="s">
        <v>132</v>
      </c>
      <c r="G67" s="172" t="s">
        <v>133</v>
      </c>
      <c r="H67" s="172" t="s">
        <v>134</v>
      </c>
      <c r="I67" s="172" t="s">
        <v>135</v>
      </c>
      <c r="J67" s="172" t="s">
        <v>136</v>
      </c>
      <c r="K67" s="172" t="s">
        <v>137</v>
      </c>
      <c r="L67" s="172" t="s">
        <v>138</v>
      </c>
      <c r="M67" s="172" t="s">
        <v>139</v>
      </c>
      <c r="N67" s="172" t="s">
        <v>140</v>
      </c>
      <c r="O67" s="172" t="s">
        <v>127</v>
      </c>
    </row>
    <row r="68" spans="2:15" ht="15">
      <c r="B68" s="197" t="s">
        <v>373</v>
      </c>
      <c r="C68" s="173">
        <v>3.7208070000000002</v>
      </c>
      <c r="D68" s="173">
        <v>-2.786725E-2</v>
      </c>
      <c r="E68" s="173">
        <v>0.180784375</v>
      </c>
      <c r="F68" s="173">
        <v>2.2237360000000002</v>
      </c>
      <c r="G68" s="173">
        <v>8.3473348999999999</v>
      </c>
      <c r="H68" s="173">
        <v>10.154720075</v>
      </c>
      <c r="I68" s="173">
        <v>10.791010525000001</v>
      </c>
      <c r="J68" s="173">
        <v>2.3893168499999997</v>
      </c>
      <c r="K68" s="173">
        <v>4.3548398500000003</v>
      </c>
      <c r="L68" s="173">
        <v>7.8614923250000004</v>
      </c>
      <c r="M68" s="173">
        <v>7.7970096250000003</v>
      </c>
      <c r="N68" s="173">
        <v>8.5639234000000002</v>
      </c>
      <c r="O68" s="173">
        <f>SUM(C68:N68)</f>
        <v>66.357107675000009</v>
      </c>
    </row>
    <row r="69" spans="2:15" ht="15">
      <c r="B69" s="197"/>
      <c r="C69" s="173"/>
      <c r="D69" s="173"/>
      <c r="E69" s="173"/>
      <c r="F69" s="173"/>
      <c r="G69" s="173"/>
      <c r="H69" s="173"/>
      <c r="I69" s="173"/>
      <c r="J69" s="173"/>
      <c r="K69" s="173"/>
      <c r="L69" s="173"/>
      <c r="M69" s="173"/>
      <c r="N69" s="173"/>
      <c r="O69" s="173"/>
    </row>
    <row r="70" spans="2:15" ht="15">
      <c r="B70" s="197" t="s">
        <v>374</v>
      </c>
      <c r="C70" s="173">
        <v>1.5531929999999998</v>
      </c>
      <c r="D70" s="173">
        <v>-1.1632749999999999E-2</v>
      </c>
      <c r="E70" s="173">
        <v>7.5465624999999995E-2</v>
      </c>
      <c r="F70" s="173">
        <v>0.92826399999999998</v>
      </c>
      <c r="G70" s="173">
        <v>3.4844650999999995</v>
      </c>
      <c r="H70" s="173">
        <v>4.2389299249999999</v>
      </c>
      <c r="I70" s="173">
        <v>4.5045394749999996</v>
      </c>
      <c r="J70" s="173">
        <v>0.99738314999999989</v>
      </c>
      <c r="K70" s="173">
        <v>1.8178601499999998</v>
      </c>
      <c r="L70" s="173">
        <v>3.2816576749999999</v>
      </c>
      <c r="M70" s="173">
        <v>3.2547403749999999</v>
      </c>
      <c r="N70" s="173">
        <v>3.5748765999999996</v>
      </c>
      <c r="O70" s="173">
        <f>SUM(C70:N70)</f>
        <v>27.699742325000003</v>
      </c>
    </row>
    <row r="71" spans="2:15" ht="15">
      <c r="B71" s="43"/>
      <c r="C71" s="173"/>
      <c r="D71" s="173"/>
      <c r="E71" s="173"/>
      <c r="F71" s="173"/>
      <c r="G71" s="173"/>
      <c r="H71" s="173"/>
      <c r="I71" s="173"/>
      <c r="J71" s="173"/>
      <c r="K71" s="173"/>
      <c r="L71" s="173"/>
      <c r="M71" s="173"/>
      <c r="N71" s="173"/>
      <c r="O71" s="173"/>
    </row>
    <row r="72" spans="2:15" ht="15">
      <c r="B72" s="44" t="s">
        <v>127</v>
      </c>
      <c r="C72" s="137">
        <f>C68+C70</f>
        <v>5.274</v>
      </c>
      <c r="D72" s="137">
        <f t="shared" ref="D72:O72" si="7">D68+D70</f>
        <v>-3.95E-2</v>
      </c>
      <c r="E72" s="137">
        <f t="shared" si="7"/>
        <v>0.25624999999999998</v>
      </c>
      <c r="F72" s="137">
        <f t="shared" si="7"/>
        <v>3.1520000000000001</v>
      </c>
      <c r="G72" s="137">
        <f t="shared" si="7"/>
        <v>11.831799999999999</v>
      </c>
      <c r="H72" s="137">
        <f t="shared" si="7"/>
        <v>14.393650000000001</v>
      </c>
      <c r="I72" s="137">
        <f t="shared" si="7"/>
        <v>15.29555</v>
      </c>
      <c r="J72" s="137">
        <f t="shared" si="7"/>
        <v>3.3866999999999994</v>
      </c>
      <c r="K72" s="137">
        <f t="shared" si="7"/>
        <v>6.1726999999999999</v>
      </c>
      <c r="L72" s="137">
        <f t="shared" si="7"/>
        <v>11.14315</v>
      </c>
      <c r="M72" s="137">
        <f t="shared" si="7"/>
        <v>11.05175</v>
      </c>
      <c r="N72" s="137">
        <f t="shared" si="7"/>
        <v>12.1388</v>
      </c>
      <c r="O72" s="137">
        <f t="shared" si="7"/>
        <v>94.056850000000011</v>
      </c>
    </row>
  </sheetData>
  <mergeCells count="6">
    <mergeCell ref="B16:B17"/>
    <mergeCell ref="I16:N16"/>
    <mergeCell ref="C16:H16"/>
    <mergeCell ref="B2:O2"/>
    <mergeCell ref="B3:O3"/>
    <mergeCell ref="B4:O4"/>
  </mergeCells>
  <pageMargins left="0.61" right="0.45" top="1" bottom="0.37" header="0.5" footer="0.5"/>
  <pageSetup paperSize="9" scale="5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9"/>
  <sheetViews>
    <sheetView showGridLines="0" view="pageBreakPreview" zoomScale="70" zoomScaleNormal="80" zoomScaleSheetLayoutView="70" workbookViewId="0">
      <selection activeCell="B4" sqref="B4:N4"/>
    </sheetView>
  </sheetViews>
  <sheetFormatPr defaultColWidth="9.28515625" defaultRowHeight="14.25"/>
  <cols>
    <col min="1" max="1" width="3.28515625" style="19" customWidth="1"/>
    <col min="2" max="2" width="29.42578125" style="19" customWidth="1"/>
    <col min="3" max="3" width="18.5703125" style="19" customWidth="1"/>
    <col min="4" max="4" width="14.42578125" style="19" customWidth="1"/>
    <col min="5" max="5" width="20.7109375" style="19" customWidth="1"/>
    <col min="6" max="6" width="19.7109375" style="19" customWidth="1"/>
    <col min="7" max="9" width="12.5703125" style="19" customWidth="1"/>
    <col min="10" max="10" width="18.28515625" style="19" customWidth="1"/>
    <col min="11" max="11" width="15.42578125" style="19" customWidth="1"/>
    <col min="12" max="12" width="21.5703125" style="19" customWidth="1"/>
    <col min="13" max="14" width="12.5703125" style="19" customWidth="1"/>
    <col min="15" max="16384" width="9.28515625" style="19"/>
  </cols>
  <sheetData>
    <row r="1" spans="2:14" s="5" customFormat="1" ht="15">
      <c r="B1" s="114"/>
    </row>
    <row r="2" spans="2:14" s="5" customFormat="1" ht="15" customHeight="1">
      <c r="B2" s="245" t="s">
        <v>398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</row>
    <row r="3" spans="2:14" s="5" customFormat="1" ht="15" customHeight="1">
      <c r="B3" s="245" t="s">
        <v>381</v>
      </c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</row>
    <row r="4" spans="2:14" ht="14.25" customHeight="1">
      <c r="B4" s="246" t="s">
        <v>324</v>
      </c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</row>
    <row r="5" spans="2:14" ht="15">
      <c r="B5" s="242" t="s">
        <v>372</v>
      </c>
      <c r="C5" s="243"/>
      <c r="D5" s="244"/>
    </row>
    <row r="6" spans="2:14" ht="15">
      <c r="B6" s="30" t="s">
        <v>12</v>
      </c>
      <c r="N6" s="42" t="s">
        <v>4</v>
      </c>
    </row>
    <row r="7" spans="2:14" s="60" customFormat="1" ht="45.75" customHeight="1">
      <c r="B7" s="238" t="s">
        <v>315</v>
      </c>
      <c r="C7" s="252" t="s">
        <v>143</v>
      </c>
      <c r="D7" s="252"/>
      <c r="E7" s="252"/>
      <c r="F7" s="252"/>
      <c r="G7" s="251" t="s">
        <v>144</v>
      </c>
      <c r="H7" s="251"/>
      <c r="I7" s="251"/>
      <c r="J7" s="251" t="s">
        <v>145</v>
      </c>
      <c r="K7" s="251"/>
      <c r="L7" s="251"/>
      <c r="M7" s="251"/>
      <c r="N7" s="251"/>
    </row>
    <row r="8" spans="2:14" ht="45">
      <c r="B8" s="253"/>
      <c r="C8" s="37" t="s">
        <v>161</v>
      </c>
      <c r="D8" s="37" t="s">
        <v>159</v>
      </c>
      <c r="E8" s="37" t="s">
        <v>221</v>
      </c>
      <c r="F8" s="37" t="s">
        <v>160</v>
      </c>
      <c r="G8" s="37" t="s">
        <v>146</v>
      </c>
      <c r="H8" s="37" t="s">
        <v>222</v>
      </c>
      <c r="I8" s="37" t="s">
        <v>147</v>
      </c>
      <c r="J8" s="37" t="s">
        <v>148</v>
      </c>
      <c r="K8" s="37" t="s">
        <v>149</v>
      </c>
      <c r="L8" s="37" t="s">
        <v>223</v>
      </c>
      <c r="M8" s="37" t="s">
        <v>224</v>
      </c>
      <c r="N8" s="29" t="s">
        <v>127</v>
      </c>
    </row>
    <row r="9" spans="2:14" ht="15">
      <c r="B9" s="2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29"/>
    </row>
    <row r="10" spans="2:14" ht="15">
      <c r="B10" s="93" t="s">
        <v>316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2:14" ht="15">
      <c r="B11" s="9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2:14" ht="15">
      <c r="B12" s="93" t="s">
        <v>317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4">
      <c r="B13" s="4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2:14" ht="15">
      <c r="B14" s="93" t="s">
        <v>318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2:14">
      <c r="B15" s="91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2:14" ht="15">
      <c r="B16" s="93" t="s">
        <v>9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14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2:14" ht="15">
      <c r="B18" s="93" t="s">
        <v>127</v>
      </c>
      <c r="C18" s="136">
        <f>C10+C12+C14</f>
        <v>0</v>
      </c>
      <c r="D18" s="136">
        <f>D10+D12+D14</f>
        <v>0</v>
      </c>
      <c r="E18" s="136">
        <f>E10+E12+E14</f>
        <v>0</v>
      </c>
      <c r="F18" s="136">
        <f>F10+F12+F14</f>
        <v>0</v>
      </c>
      <c r="G18" s="136">
        <f>G10+G12+G14</f>
        <v>0</v>
      </c>
      <c r="H18" s="3"/>
      <c r="I18" s="3"/>
      <c r="J18" s="136">
        <f>J10+J12+J14</f>
        <v>0</v>
      </c>
      <c r="K18" s="136">
        <f>K10+K12+K14</f>
        <v>0</v>
      </c>
      <c r="L18" s="136">
        <f>L10+L12+L14</f>
        <v>0</v>
      </c>
      <c r="M18" s="136">
        <f>M10+M12+M14</f>
        <v>0</v>
      </c>
      <c r="N18" s="136">
        <f>N10+N12+N14</f>
        <v>0</v>
      </c>
    </row>
    <row r="19" spans="2:14" ht="15">
      <c r="B19" s="42"/>
    </row>
  </sheetData>
  <mergeCells count="8">
    <mergeCell ref="B2:N2"/>
    <mergeCell ref="B3:N3"/>
    <mergeCell ref="B4:N4"/>
    <mergeCell ref="B7:B8"/>
    <mergeCell ref="C7:F7"/>
    <mergeCell ref="G7:I7"/>
    <mergeCell ref="J7:N7"/>
    <mergeCell ref="B5:D5"/>
  </mergeCells>
  <pageMargins left="2.2000000000000002" right="0.93" top="0.77" bottom="1" header="0.5" footer="0.5"/>
  <pageSetup paperSize="9" scale="4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31"/>
  <sheetViews>
    <sheetView showGridLines="0" view="pageBreakPreview" zoomScale="60" zoomScaleNormal="80" workbookViewId="0">
      <selection activeCell="G5" sqref="G5"/>
    </sheetView>
  </sheetViews>
  <sheetFormatPr defaultColWidth="9.28515625" defaultRowHeight="14.25"/>
  <cols>
    <col min="1" max="1" width="2.42578125" style="19" customWidth="1"/>
    <col min="2" max="2" width="5" style="19" customWidth="1"/>
    <col min="3" max="3" width="40.5703125" style="19" customWidth="1"/>
    <col min="4" max="4" width="13" style="19" customWidth="1"/>
    <col min="5" max="5" width="9.85546875" style="19" customWidth="1"/>
    <col min="6" max="6" width="10.42578125" style="19" customWidth="1"/>
    <col min="7" max="7" width="9" style="19" customWidth="1"/>
    <col min="8" max="8" width="9.7109375" style="19" customWidth="1"/>
    <col min="9" max="9" width="10" style="19" customWidth="1"/>
    <col min="10" max="10" width="11.140625" style="19" customWidth="1"/>
    <col min="11" max="11" width="9.5703125" style="19" customWidth="1"/>
    <col min="12" max="12" width="9" style="19" customWidth="1"/>
    <col min="13" max="13" width="9.7109375" style="19" customWidth="1"/>
    <col min="14" max="15" width="9" style="19" customWidth="1"/>
    <col min="16" max="16" width="10" style="19" customWidth="1"/>
    <col min="17" max="17" width="11.7109375" style="19" customWidth="1"/>
    <col min="18" max="16384" width="9.28515625" style="19"/>
  </cols>
  <sheetData>
    <row r="1" spans="2:17" s="5" customFormat="1" ht="15">
      <c r="B1" s="114"/>
    </row>
    <row r="2" spans="2:17" s="5" customFormat="1" ht="15" customHeight="1"/>
    <row r="3" spans="2:17" s="5" customFormat="1" ht="15" customHeight="1">
      <c r="B3" s="245" t="s">
        <v>398</v>
      </c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</row>
    <row r="4" spans="2:17" s="5" customFormat="1" ht="15" customHeight="1">
      <c r="B4" s="245" t="s">
        <v>381</v>
      </c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</row>
    <row r="5" spans="2:17" ht="15">
      <c r="B5" s="242" t="s">
        <v>372</v>
      </c>
      <c r="C5" s="243"/>
      <c r="D5" s="244"/>
      <c r="I5" s="41" t="s">
        <v>327</v>
      </c>
    </row>
    <row r="6" spans="2:17" ht="15">
      <c r="B6" s="42" t="s">
        <v>12</v>
      </c>
    </row>
    <row r="7" spans="2:17" ht="30">
      <c r="B7" s="116" t="s">
        <v>186</v>
      </c>
      <c r="C7" s="116" t="s">
        <v>18</v>
      </c>
      <c r="D7" s="116" t="s">
        <v>39</v>
      </c>
      <c r="E7" s="37" t="s">
        <v>129</v>
      </c>
      <c r="F7" s="37" t="s">
        <v>130</v>
      </c>
      <c r="G7" s="115" t="s">
        <v>131</v>
      </c>
      <c r="H7" s="115" t="s">
        <v>132</v>
      </c>
      <c r="I7" s="115" t="s">
        <v>133</v>
      </c>
      <c r="J7" s="115" t="s">
        <v>134</v>
      </c>
      <c r="K7" s="115" t="s">
        <v>135</v>
      </c>
      <c r="L7" s="115" t="s">
        <v>136</v>
      </c>
      <c r="M7" s="115" t="s">
        <v>137</v>
      </c>
      <c r="N7" s="115" t="s">
        <v>138</v>
      </c>
      <c r="O7" s="115" t="s">
        <v>139</v>
      </c>
      <c r="P7" s="115" t="s">
        <v>140</v>
      </c>
      <c r="Q7" s="117" t="s">
        <v>127</v>
      </c>
    </row>
    <row r="8" spans="2:17">
      <c r="B8" s="118">
        <v>1</v>
      </c>
      <c r="C8" s="119" t="s">
        <v>164</v>
      </c>
      <c r="D8" s="118" t="s">
        <v>40</v>
      </c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>
        <v>85</v>
      </c>
    </row>
    <row r="9" spans="2:17">
      <c r="B9" s="118">
        <f>B8+1</f>
        <v>2</v>
      </c>
      <c r="C9" s="119" t="s">
        <v>187</v>
      </c>
      <c r="D9" s="118" t="s">
        <v>40</v>
      </c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1"/>
    </row>
    <row r="10" spans="2:17">
      <c r="B10" s="118">
        <f t="shared" ref="B10:B26" si="0">B9+1</f>
        <v>3</v>
      </c>
      <c r="C10" s="119" t="s">
        <v>188</v>
      </c>
      <c r="D10" s="118" t="s">
        <v>40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>
        <v>90.15</v>
      </c>
    </row>
    <row r="11" spans="2:17">
      <c r="B11" s="118">
        <f t="shared" si="0"/>
        <v>4</v>
      </c>
      <c r="C11" s="119" t="s">
        <v>41</v>
      </c>
      <c r="D11" s="118" t="s">
        <v>40</v>
      </c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</row>
    <row r="12" spans="2:17">
      <c r="B12" s="118">
        <f t="shared" si="0"/>
        <v>5</v>
      </c>
      <c r="C12" s="119" t="s">
        <v>189</v>
      </c>
      <c r="D12" s="118" t="s">
        <v>40</v>
      </c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</row>
    <row r="13" spans="2:17">
      <c r="B13" s="118">
        <f t="shared" si="0"/>
        <v>6</v>
      </c>
      <c r="C13" s="119" t="s">
        <v>190</v>
      </c>
      <c r="D13" s="118" t="s">
        <v>40</v>
      </c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</row>
    <row r="14" spans="2:17" ht="16.5">
      <c r="B14" s="118">
        <f t="shared" si="0"/>
        <v>7</v>
      </c>
      <c r="C14" s="113" t="s">
        <v>191</v>
      </c>
      <c r="D14" s="122" t="s">
        <v>42</v>
      </c>
      <c r="E14" s="183">
        <v>8.2966250000000006</v>
      </c>
      <c r="F14" s="183">
        <v>0</v>
      </c>
      <c r="G14" s="183">
        <v>0.83750000000000002</v>
      </c>
      <c r="H14" s="183">
        <v>12.5572</v>
      </c>
      <c r="I14" s="183">
        <v>27.796845000000001</v>
      </c>
      <c r="J14" s="183">
        <v>28.009760000000004</v>
      </c>
      <c r="K14" s="183">
        <v>30.688065000000023</v>
      </c>
      <c r="L14" s="183">
        <v>8.7929249999999985</v>
      </c>
      <c r="M14" s="183">
        <v>5.18613499999997</v>
      </c>
      <c r="N14" s="183">
        <v>11.218624999999999</v>
      </c>
      <c r="O14" s="183">
        <v>10.570100000000016</v>
      </c>
      <c r="P14" s="183">
        <v>9.3656950000000379</v>
      </c>
      <c r="Q14" s="183">
        <f>SUM(E14:P14)</f>
        <v>153.31947500000004</v>
      </c>
    </row>
    <row r="15" spans="2:17" ht="16.5">
      <c r="B15" s="118">
        <f t="shared" si="0"/>
        <v>8</v>
      </c>
      <c r="C15" s="113" t="s">
        <v>192</v>
      </c>
      <c r="D15" s="122" t="s">
        <v>42</v>
      </c>
      <c r="E15" s="183">
        <v>0.25444299999999997</v>
      </c>
      <c r="F15" s="183">
        <v>9.5316000000000012E-2</v>
      </c>
      <c r="G15" s="183">
        <v>0.11613800000000001</v>
      </c>
      <c r="H15" s="183">
        <v>0.45519799999999999</v>
      </c>
      <c r="I15" s="183">
        <v>0.78575700000000004</v>
      </c>
      <c r="J15" s="183">
        <v>0.89265800000000461</v>
      </c>
      <c r="K15" s="183">
        <v>1.0070190000000179</v>
      </c>
      <c r="L15" s="183">
        <v>0.30410699999999591</v>
      </c>
      <c r="M15" s="183">
        <v>0.20383499999996882</v>
      </c>
      <c r="N15" s="183">
        <v>0.38313900000000001</v>
      </c>
      <c r="O15" s="183">
        <v>0.35652800000001</v>
      </c>
      <c r="P15" s="183">
        <v>0.35869700000004257</v>
      </c>
      <c r="Q15" s="183">
        <f>SUM(E15:P15)</f>
        <v>5.2128350000000401</v>
      </c>
    </row>
    <row r="16" spans="2:17" ht="15">
      <c r="B16" s="118">
        <f t="shared" si="0"/>
        <v>9</v>
      </c>
      <c r="C16" s="113" t="s">
        <v>207</v>
      </c>
      <c r="D16" s="122" t="s">
        <v>42</v>
      </c>
      <c r="E16" s="135">
        <f>E14-E15</f>
        <v>8.0421820000000004</v>
      </c>
      <c r="F16" s="135">
        <f t="shared" ref="F16:Q16" si="1">F14-F15</f>
        <v>-9.5316000000000012E-2</v>
      </c>
      <c r="G16" s="135">
        <f t="shared" si="1"/>
        <v>0.72136200000000006</v>
      </c>
      <c r="H16" s="135">
        <f t="shared" si="1"/>
        <v>12.102002000000001</v>
      </c>
      <c r="I16" s="135">
        <f t="shared" si="1"/>
        <v>27.011088000000001</v>
      </c>
      <c r="J16" s="135">
        <f t="shared" si="1"/>
        <v>27.117101999999999</v>
      </c>
      <c r="K16" s="135">
        <f t="shared" si="1"/>
        <v>29.681046000000006</v>
      </c>
      <c r="L16" s="135">
        <f t="shared" si="1"/>
        <v>8.488818000000002</v>
      </c>
      <c r="M16" s="135">
        <f t="shared" si="1"/>
        <v>4.9823000000000013</v>
      </c>
      <c r="N16" s="135">
        <f t="shared" si="1"/>
        <v>10.835486</v>
      </c>
      <c r="O16" s="135">
        <f t="shared" si="1"/>
        <v>10.213572000000006</v>
      </c>
      <c r="P16" s="135">
        <f t="shared" si="1"/>
        <v>9.0069979999999958</v>
      </c>
      <c r="Q16" s="135">
        <f t="shared" si="1"/>
        <v>148.10664</v>
      </c>
    </row>
    <row r="17" spans="2:17">
      <c r="B17" s="118">
        <f t="shared" si="0"/>
        <v>10</v>
      </c>
      <c r="C17" s="113" t="s">
        <v>208</v>
      </c>
      <c r="D17" s="122" t="s">
        <v>42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4"/>
    </row>
    <row r="18" spans="2:17">
      <c r="B18" s="118">
        <f t="shared" si="0"/>
        <v>11</v>
      </c>
      <c r="C18" s="113" t="s">
        <v>193</v>
      </c>
      <c r="D18" s="122" t="s">
        <v>197</v>
      </c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</row>
    <row r="19" spans="2:17" ht="16.5">
      <c r="B19" s="118">
        <f t="shared" si="0"/>
        <v>12</v>
      </c>
      <c r="C19" s="113" t="s">
        <v>209</v>
      </c>
      <c r="D19" s="122" t="s">
        <v>198</v>
      </c>
      <c r="E19" s="184">
        <v>4.1025</v>
      </c>
      <c r="F19" s="184">
        <v>4.1025</v>
      </c>
      <c r="G19" s="184">
        <v>4.1025</v>
      </c>
      <c r="H19" s="184">
        <v>4.1025</v>
      </c>
      <c r="I19" s="184">
        <v>4.1025</v>
      </c>
      <c r="J19" s="184">
        <v>4.1025</v>
      </c>
      <c r="K19" s="184">
        <v>4.1025</v>
      </c>
      <c r="L19" s="184">
        <v>4.1025</v>
      </c>
      <c r="M19" s="184">
        <v>4.1025</v>
      </c>
      <c r="N19" s="184">
        <v>4.1025</v>
      </c>
      <c r="O19" s="184">
        <v>4.1025</v>
      </c>
      <c r="P19" s="184">
        <v>4.1025</v>
      </c>
      <c r="Q19" s="184">
        <f>SUM(E19:P19)</f>
        <v>49.23</v>
      </c>
    </row>
    <row r="20" spans="2:17" ht="16.5">
      <c r="B20" s="118">
        <f t="shared" si="0"/>
        <v>13</v>
      </c>
      <c r="C20" s="113" t="s">
        <v>325</v>
      </c>
      <c r="D20" s="122" t="s">
        <v>197</v>
      </c>
      <c r="E20" s="185">
        <v>0</v>
      </c>
      <c r="F20" s="185">
        <v>0</v>
      </c>
      <c r="G20" s="185">
        <v>0</v>
      </c>
      <c r="H20" s="185">
        <v>0</v>
      </c>
      <c r="I20" s="185">
        <v>0</v>
      </c>
      <c r="J20" s="185">
        <v>0</v>
      </c>
      <c r="K20" s="185">
        <v>0</v>
      </c>
      <c r="L20" s="185">
        <v>0</v>
      </c>
      <c r="M20" s="185">
        <v>0</v>
      </c>
      <c r="N20" s="185">
        <v>0</v>
      </c>
      <c r="O20" s="185">
        <v>0</v>
      </c>
      <c r="P20" s="185">
        <v>0</v>
      </c>
      <c r="Q20" s="185">
        <v>0</v>
      </c>
    </row>
    <row r="21" spans="2:17" ht="16.5">
      <c r="B21" s="118">
        <f t="shared" si="0"/>
        <v>14</v>
      </c>
      <c r="C21" s="113" t="s">
        <v>194</v>
      </c>
      <c r="D21" s="122" t="s">
        <v>198</v>
      </c>
      <c r="E21" s="184">
        <v>4.1025</v>
      </c>
      <c r="F21" s="184">
        <v>4.1025</v>
      </c>
      <c r="G21" s="184">
        <v>4.1025</v>
      </c>
      <c r="H21" s="184">
        <v>4.1025</v>
      </c>
      <c r="I21" s="184">
        <v>4.1025</v>
      </c>
      <c r="J21" s="184">
        <v>4.1025</v>
      </c>
      <c r="K21" s="184">
        <v>4.1025</v>
      </c>
      <c r="L21" s="184">
        <v>4.1025</v>
      </c>
      <c r="M21" s="184">
        <v>4.1025</v>
      </c>
      <c r="N21" s="184">
        <v>4.1025</v>
      </c>
      <c r="O21" s="184">
        <v>4.1025</v>
      </c>
      <c r="P21" s="184">
        <v>4.1025</v>
      </c>
      <c r="Q21" s="184">
        <f>SUM(E21:P21)</f>
        <v>49.23</v>
      </c>
    </row>
    <row r="22" spans="2:17">
      <c r="B22" s="118">
        <f t="shared" si="0"/>
        <v>15</v>
      </c>
      <c r="C22" s="113" t="s">
        <v>326</v>
      </c>
      <c r="D22" s="122" t="s">
        <v>198</v>
      </c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1"/>
    </row>
    <row r="23" spans="2:17">
      <c r="B23" s="118">
        <f t="shared" si="0"/>
        <v>16</v>
      </c>
      <c r="C23" s="113" t="s">
        <v>210</v>
      </c>
      <c r="D23" s="122" t="s">
        <v>198</v>
      </c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1"/>
    </row>
    <row r="24" spans="2:17">
      <c r="B24" s="118">
        <f t="shared" si="0"/>
        <v>17</v>
      </c>
      <c r="C24" s="113" t="s">
        <v>195</v>
      </c>
      <c r="D24" s="122" t="s">
        <v>198</v>
      </c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1"/>
    </row>
    <row r="25" spans="2:17" ht="16.5">
      <c r="B25" s="118">
        <f t="shared" si="0"/>
        <v>18</v>
      </c>
      <c r="C25" s="127" t="s">
        <v>151</v>
      </c>
      <c r="D25" s="122" t="s">
        <v>198</v>
      </c>
      <c r="E25" s="186">
        <f>E21+E22+E23+E24</f>
        <v>4.1025</v>
      </c>
      <c r="F25" s="186">
        <f t="shared" ref="F25:Q25" si="2">F21+F22+F23+F24</f>
        <v>4.1025</v>
      </c>
      <c r="G25" s="186">
        <f t="shared" si="2"/>
        <v>4.1025</v>
      </c>
      <c r="H25" s="186">
        <f t="shared" si="2"/>
        <v>4.1025</v>
      </c>
      <c r="I25" s="186">
        <f t="shared" si="2"/>
        <v>4.1025</v>
      </c>
      <c r="J25" s="186">
        <f t="shared" si="2"/>
        <v>4.1025</v>
      </c>
      <c r="K25" s="186">
        <f t="shared" si="2"/>
        <v>4.1025</v>
      </c>
      <c r="L25" s="186">
        <f t="shared" si="2"/>
        <v>4.1025</v>
      </c>
      <c r="M25" s="186">
        <f t="shared" si="2"/>
        <v>4.1025</v>
      </c>
      <c r="N25" s="186">
        <f t="shared" si="2"/>
        <v>4.1025</v>
      </c>
      <c r="O25" s="186">
        <f t="shared" si="2"/>
        <v>4.1025</v>
      </c>
      <c r="P25" s="186">
        <f t="shared" si="2"/>
        <v>4.1025</v>
      </c>
      <c r="Q25" s="186">
        <f t="shared" si="2"/>
        <v>49.23</v>
      </c>
    </row>
    <row r="26" spans="2:17" ht="15">
      <c r="B26" s="118">
        <f t="shared" si="0"/>
        <v>19</v>
      </c>
      <c r="C26" s="129" t="s">
        <v>196</v>
      </c>
      <c r="D26" s="122" t="s">
        <v>198</v>
      </c>
      <c r="E26" s="126"/>
      <c r="F26" s="120"/>
      <c r="G26" s="120"/>
      <c r="H26" s="120"/>
      <c r="I26" s="120"/>
      <c r="J26" s="120"/>
      <c r="K26" s="120"/>
      <c r="L26" s="120"/>
      <c r="M26" s="121"/>
      <c r="N26" s="121"/>
      <c r="O26" s="121"/>
      <c r="P26" s="121"/>
      <c r="Q26" s="128"/>
    </row>
    <row r="27" spans="2:17" ht="33">
      <c r="B27" s="187"/>
      <c r="C27" s="188" t="s">
        <v>369</v>
      </c>
      <c r="D27" s="189" t="s">
        <v>198</v>
      </c>
      <c r="E27" s="190"/>
      <c r="F27" s="183"/>
      <c r="G27" s="183"/>
      <c r="H27" s="183"/>
      <c r="I27" s="183"/>
      <c r="J27" s="183"/>
      <c r="K27" s="183"/>
      <c r="L27" s="183"/>
      <c r="M27" s="184"/>
      <c r="N27" s="184"/>
      <c r="O27" s="184"/>
      <c r="P27" s="184"/>
      <c r="Q27" s="191">
        <v>0</v>
      </c>
    </row>
    <row r="28" spans="2:17" ht="33">
      <c r="B28" s="187"/>
      <c r="C28" s="188" t="s">
        <v>370</v>
      </c>
      <c r="D28" s="189" t="s">
        <v>198</v>
      </c>
      <c r="E28" s="190"/>
      <c r="F28" s="183"/>
      <c r="G28" s="183"/>
      <c r="H28" s="183"/>
      <c r="I28" s="183"/>
      <c r="J28" s="183"/>
      <c r="K28" s="183"/>
      <c r="L28" s="183"/>
      <c r="M28" s="184"/>
      <c r="N28" s="184"/>
      <c r="O28" s="184"/>
      <c r="P28" s="184"/>
      <c r="Q28" s="191">
        <v>2.0199999999999996</v>
      </c>
    </row>
    <row r="29" spans="2:17" ht="16.5">
      <c r="B29" s="187"/>
      <c r="C29" s="188" t="s">
        <v>93</v>
      </c>
      <c r="D29" s="189" t="s">
        <v>198</v>
      </c>
      <c r="E29" s="190"/>
      <c r="F29" s="183"/>
      <c r="G29" s="183"/>
      <c r="H29" s="183"/>
      <c r="I29" s="183"/>
      <c r="J29" s="183"/>
      <c r="K29" s="183"/>
      <c r="L29" s="183"/>
      <c r="M29" s="184"/>
      <c r="N29" s="184"/>
      <c r="O29" s="184"/>
      <c r="P29" s="184"/>
      <c r="Q29" s="191">
        <v>2.5481201560144124</v>
      </c>
    </row>
    <row r="30" spans="2:17" ht="15">
      <c r="B30" s="122">
        <f>B26+1</f>
        <v>20</v>
      </c>
      <c r="C30" s="112" t="s">
        <v>163</v>
      </c>
      <c r="D30" s="122" t="s">
        <v>198</v>
      </c>
      <c r="E30" s="135">
        <f>E25+E26</f>
        <v>4.1025</v>
      </c>
      <c r="F30" s="135">
        <f t="shared" ref="F30:P30" si="3">F25+F26</f>
        <v>4.1025</v>
      </c>
      <c r="G30" s="135">
        <f t="shared" si="3"/>
        <v>4.1025</v>
      </c>
      <c r="H30" s="135">
        <f t="shared" si="3"/>
        <v>4.1025</v>
      </c>
      <c r="I30" s="135">
        <f t="shared" si="3"/>
        <v>4.1025</v>
      </c>
      <c r="J30" s="135">
        <f t="shared" si="3"/>
        <v>4.1025</v>
      </c>
      <c r="K30" s="135">
        <f t="shared" si="3"/>
        <v>4.1025</v>
      </c>
      <c r="L30" s="135">
        <f t="shared" si="3"/>
        <v>4.1025</v>
      </c>
      <c r="M30" s="135">
        <f t="shared" si="3"/>
        <v>4.1025</v>
      </c>
      <c r="N30" s="135">
        <f t="shared" si="3"/>
        <v>4.1025</v>
      </c>
      <c r="O30" s="135">
        <f t="shared" si="3"/>
        <v>4.1025</v>
      </c>
      <c r="P30" s="135">
        <f t="shared" si="3"/>
        <v>4.1025</v>
      </c>
      <c r="Q30" s="135">
        <f>Q25+Q26+Q27+Q28+Q29</f>
        <v>53.798120156014413</v>
      </c>
    </row>
    <row r="31" spans="2:17" ht="15">
      <c r="B31" s="122">
        <f>B30+1</f>
        <v>21</v>
      </c>
      <c r="C31" s="112" t="s">
        <v>199</v>
      </c>
      <c r="D31" s="122" t="s">
        <v>198</v>
      </c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6"/>
      <c r="P31" s="126"/>
      <c r="Q31" s="130"/>
    </row>
  </sheetData>
  <mergeCells count="3">
    <mergeCell ref="B5:D5"/>
    <mergeCell ref="B3:Q3"/>
    <mergeCell ref="B4:Q4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Q24"/>
  <sheetViews>
    <sheetView showGridLines="0" view="pageBreakPreview" zoomScale="60" zoomScaleNormal="94" workbookViewId="0">
      <selection activeCell="G29" sqref="G29"/>
    </sheetView>
  </sheetViews>
  <sheetFormatPr defaultColWidth="9.28515625" defaultRowHeight="14.25"/>
  <cols>
    <col min="1" max="1" width="3" style="19" customWidth="1"/>
    <col min="2" max="2" width="6.28515625" style="19" customWidth="1"/>
    <col min="3" max="3" width="37.28515625" style="19" customWidth="1"/>
    <col min="4" max="4" width="14.28515625" style="19" customWidth="1"/>
    <col min="5" max="5" width="11.5703125" style="19" customWidth="1"/>
    <col min="6" max="6" width="13.85546875" style="19" customWidth="1"/>
    <col min="7" max="7" width="13.140625" style="19" customWidth="1"/>
    <col min="8" max="8" width="14.140625" style="19" customWidth="1"/>
    <col min="9" max="9" width="15.5703125" style="19" customWidth="1"/>
    <col min="10" max="10" width="13.85546875" style="19" customWidth="1"/>
    <col min="11" max="11" width="12.42578125" style="19" customWidth="1"/>
    <col min="12" max="12" width="11.42578125" style="19" customWidth="1"/>
    <col min="13" max="13" width="13.5703125" style="19" customWidth="1"/>
    <col min="14" max="14" width="11.85546875" style="19" customWidth="1"/>
    <col min="15" max="15" width="12" style="19" customWidth="1"/>
    <col min="16" max="16" width="15.7109375" style="19" customWidth="1"/>
    <col min="17" max="17" width="0" style="19" hidden="1" customWidth="1"/>
    <col min="18" max="16384" width="9.28515625" style="19"/>
  </cols>
  <sheetData>
    <row r="2" spans="2:17" ht="15.75">
      <c r="B2" s="228" t="s">
        <v>398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</row>
    <row r="3" spans="2:17" ht="15.75">
      <c r="B3" s="228" t="s">
        <v>402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</row>
    <row r="4" spans="2:17" s="4" customFormat="1" ht="15.75">
      <c r="B4" s="228" t="s">
        <v>408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</row>
    <row r="7" spans="2:17" ht="12.75" customHeight="1">
      <c r="B7" s="235" t="s">
        <v>186</v>
      </c>
      <c r="C7" s="238" t="s">
        <v>18</v>
      </c>
      <c r="D7" s="232" t="s">
        <v>39</v>
      </c>
      <c r="E7" s="238" t="s">
        <v>1</v>
      </c>
      <c r="F7" s="242" t="s">
        <v>372</v>
      </c>
      <c r="G7" s="243"/>
      <c r="H7" s="244"/>
      <c r="I7" s="242" t="s">
        <v>375</v>
      </c>
      <c r="J7" s="243"/>
      <c r="K7" s="240" t="s">
        <v>225</v>
      </c>
      <c r="L7" s="240"/>
      <c r="M7" s="240"/>
      <c r="N7" s="240"/>
      <c r="O7" s="240"/>
      <c r="P7" s="240" t="s">
        <v>11</v>
      </c>
    </row>
    <row r="8" spans="2:17" ht="30" customHeight="1">
      <c r="B8" s="236"/>
      <c r="C8" s="238"/>
      <c r="D8" s="233"/>
      <c r="E8" s="238"/>
      <c r="F8" s="21" t="s">
        <v>328</v>
      </c>
      <c r="G8" s="21" t="s">
        <v>233</v>
      </c>
      <c r="H8" s="21" t="s">
        <v>201</v>
      </c>
      <c r="I8" s="21" t="s">
        <v>328</v>
      </c>
      <c r="J8" s="21" t="s">
        <v>237</v>
      </c>
      <c r="K8" s="21" t="s">
        <v>376</v>
      </c>
      <c r="L8" s="21" t="s">
        <v>377</v>
      </c>
      <c r="M8" s="21" t="s">
        <v>378</v>
      </c>
      <c r="N8" s="21" t="s">
        <v>379</v>
      </c>
      <c r="O8" s="21" t="s">
        <v>380</v>
      </c>
      <c r="P8" s="240"/>
    </row>
    <row r="9" spans="2:17" ht="15">
      <c r="B9" s="237"/>
      <c r="C9" s="239"/>
      <c r="D9" s="234"/>
      <c r="E9" s="239"/>
      <c r="F9" s="21" t="s">
        <v>10</v>
      </c>
      <c r="G9" s="21" t="s">
        <v>12</v>
      </c>
      <c r="H9" s="21" t="s">
        <v>234</v>
      </c>
      <c r="I9" s="21" t="s">
        <v>10</v>
      </c>
      <c r="J9" s="21" t="s">
        <v>5</v>
      </c>
      <c r="K9" s="21" t="s">
        <v>8</v>
      </c>
      <c r="L9" s="21" t="s">
        <v>8</v>
      </c>
      <c r="M9" s="21" t="s">
        <v>8</v>
      </c>
      <c r="N9" s="21" t="s">
        <v>8</v>
      </c>
      <c r="O9" s="21" t="s">
        <v>8</v>
      </c>
      <c r="P9" s="241"/>
    </row>
    <row r="10" spans="2:17" ht="15">
      <c r="B10" s="28" t="s">
        <v>55</v>
      </c>
      <c r="C10" s="29" t="s">
        <v>240</v>
      </c>
      <c r="D10" s="26"/>
      <c r="E10" s="26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7"/>
    </row>
    <row r="11" spans="2:17" ht="15">
      <c r="B11" s="2">
        <v>1</v>
      </c>
      <c r="C11" s="3" t="s">
        <v>36</v>
      </c>
      <c r="D11" s="2" t="s">
        <v>198</v>
      </c>
      <c r="E11" s="23" t="s">
        <v>275</v>
      </c>
      <c r="F11" s="162">
        <f>'F2'!E14</f>
        <v>37.728899999999996</v>
      </c>
      <c r="G11" s="162">
        <f>'F2'!F14</f>
        <v>38.972856033700381</v>
      </c>
      <c r="H11" s="162">
        <f>'F2'!G14</f>
        <v>38.972856033700381</v>
      </c>
      <c r="I11" s="162">
        <f>'F2'!H14</f>
        <v>39.312899999999999</v>
      </c>
      <c r="J11" s="162">
        <f>'F2'!I14</f>
        <v>49.677574212378005</v>
      </c>
      <c r="K11" s="162">
        <f>'F2'!J14</f>
        <v>48.976573141324991</v>
      </c>
      <c r="L11" s="162">
        <f>'F2'!K14</f>
        <v>52.037374842293609</v>
      </c>
      <c r="M11" s="162">
        <f>'F2'!L14</f>
        <v>54.970499292081207</v>
      </c>
      <c r="N11" s="162">
        <f>'F2'!M14</f>
        <v>58.027905486613029</v>
      </c>
      <c r="O11" s="162">
        <f>'F2'!N14</f>
        <v>61.262033671859314</v>
      </c>
      <c r="P11" s="170"/>
      <c r="Q11" s="219">
        <f>SUM(K11:O11)</f>
        <v>275.27438643417213</v>
      </c>
    </row>
    <row r="12" spans="2:17" ht="15">
      <c r="B12" s="2">
        <f t="shared" ref="B12:B17" si="0">B11+1</f>
        <v>2</v>
      </c>
      <c r="C12" s="24" t="s">
        <v>157</v>
      </c>
      <c r="D12" s="2" t="s">
        <v>198</v>
      </c>
      <c r="E12" s="23" t="s">
        <v>23</v>
      </c>
      <c r="F12" s="171">
        <v>4.04</v>
      </c>
      <c r="G12" s="171">
        <f>H12</f>
        <v>1.1933888888888893</v>
      </c>
      <c r="H12" s="162">
        <f>'F4'!K21-'F4'!L21</f>
        <v>1.1933888888888893</v>
      </c>
      <c r="I12" s="170">
        <v>3.95</v>
      </c>
      <c r="J12" s="162">
        <f>'F4'!K40-'F4'!L40</f>
        <v>1.1980699287065364</v>
      </c>
      <c r="K12" s="162">
        <f>'F4'!K49-'F4'!L49</f>
        <v>1.1399999999999999</v>
      </c>
      <c r="L12" s="162">
        <f>'F4'!K58-'F4'!L58</f>
        <v>2.6413412572869732</v>
      </c>
      <c r="M12" s="162">
        <f>'F4'!K67-'F4'!L67</f>
        <v>2.8419126858584014</v>
      </c>
      <c r="N12" s="162">
        <f>'F4'!K76-'F4'!L76</f>
        <v>2.8419126858584014</v>
      </c>
      <c r="O12" s="162">
        <f>'F4'!K85-'F4'!L85</f>
        <v>2.8419126858584014</v>
      </c>
      <c r="P12" s="170"/>
      <c r="Q12" s="219">
        <f t="shared" ref="Q12:Q17" si="1">SUM(K12:O12)</f>
        <v>12.307079314862179</v>
      </c>
    </row>
    <row r="13" spans="2:17" ht="15">
      <c r="B13" s="2">
        <f t="shared" si="0"/>
        <v>3</v>
      </c>
      <c r="C13" s="3" t="s">
        <v>238</v>
      </c>
      <c r="D13" s="2" t="s">
        <v>198</v>
      </c>
      <c r="E13" s="22" t="s">
        <v>29</v>
      </c>
      <c r="F13" s="162">
        <f>'F5'!D22</f>
        <v>0.39</v>
      </c>
      <c r="G13" s="162">
        <f>'F5'!E22</f>
        <v>0</v>
      </c>
      <c r="H13" s="162">
        <f>'F5'!F22</f>
        <v>0</v>
      </c>
      <c r="I13" s="162">
        <f>'F5'!G22</f>
        <v>0.37</v>
      </c>
      <c r="J13" s="162">
        <f>'F5'!H22</f>
        <v>0</v>
      </c>
      <c r="K13" s="162">
        <f>'F5'!I22</f>
        <v>0.65297132390028678</v>
      </c>
      <c r="L13" s="162">
        <f>'F5'!J22</f>
        <v>1.2773588192201382</v>
      </c>
      <c r="M13" s="162">
        <f>'F5'!K22</f>
        <v>1.0711554477735525</v>
      </c>
      <c r="N13" s="162">
        <f>'F5'!L22</f>
        <v>0.7159163620412522</v>
      </c>
      <c r="O13" s="162">
        <f>'F5'!M22</f>
        <v>0.36067727630895174</v>
      </c>
      <c r="P13" s="170"/>
      <c r="Q13" s="219">
        <f t="shared" si="1"/>
        <v>4.0780792292441816</v>
      </c>
    </row>
    <row r="14" spans="2:17" ht="15">
      <c r="B14" s="2">
        <f t="shared" si="0"/>
        <v>4</v>
      </c>
      <c r="C14" s="24" t="s">
        <v>37</v>
      </c>
      <c r="D14" s="2" t="s">
        <v>198</v>
      </c>
      <c r="E14" s="22" t="s">
        <v>30</v>
      </c>
      <c r="F14" s="162">
        <f>'F6'!D20</f>
        <v>1.56</v>
      </c>
      <c r="G14" s="162">
        <f ca="1">'F6'!E20</f>
        <v>1.6430389996574364</v>
      </c>
      <c r="H14" s="162">
        <f ca="1">'F6'!F20</f>
        <v>1.6430389996574364</v>
      </c>
      <c r="I14" s="162">
        <f>'F6'!G20</f>
        <v>1.66</v>
      </c>
      <c r="J14" s="162">
        <f ca="1">'F6'!H20</f>
        <v>2.195475767918174</v>
      </c>
      <c r="K14" s="162">
        <f ca="1">'F6'!I20</f>
        <v>1.3004266916637441</v>
      </c>
      <c r="L14" s="162">
        <f ca="1">'F6'!J20</f>
        <v>1.4283321809257779</v>
      </c>
      <c r="M14" s="162">
        <f ca="1">'F6'!K20</f>
        <v>1.4950685053852069</v>
      </c>
      <c r="N14" s="162">
        <f ca="1">'F6'!L20</f>
        <v>1.5554993847743714</v>
      </c>
      <c r="O14" s="162">
        <f ca="1">'F6'!M20</f>
        <v>1.619683449633319</v>
      </c>
      <c r="P14" s="170"/>
      <c r="Q14" s="219">
        <f t="shared" ca="1" si="1"/>
        <v>7.3990102123824197</v>
      </c>
    </row>
    <row r="15" spans="2:17" ht="15">
      <c r="B15" s="2">
        <f t="shared" si="0"/>
        <v>5</v>
      </c>
      <c r="C15" s="3" t="s">
        <v>239</v>
      </c>
      <c r="D15" s="2" t="s">
        <v>198</v>
      </c>
      <c r="E15" s="22" t="s">
        <v>31</v>
      </c>
      <c r="F15" s="162">
        <f>'F7'!D22</f>
        <v>7.56</v>
      </c>
      <c r="G15" s="162">
        <f>'F7'!E22</f>
        <v>8.05916252405388</v>
      </c>
      <c r="H15" s="162">
        <f>'F7'!F22</f>
        <v>8.05916252405388</v>
      </c>
      <c r="I15" s="162">
        <f>'F7'!G22</f>
        <v>7.81</v>
      </c>
      <c r="J15" s="162">
        <f>'F7'!H22</f>
        <v>8.0633576173689079</v>
      </c>
      <c r="K15" s="162">
        <f>'F7'!I22</f>
        <v>8.8568049393701909</v>
      </c>
      <c r="L15" s="162">
        <f>'F7'!J22</f>
        <v>9.7521204461052786</v>
      </c>
      <c r="M15" s="162">
        <f>'F7'!K22</f>
        <v>9.8553115942771825</v>
      </c>
      <c r="N15" s="162">
        <f>'F7'!L22</f>
        <v>9.8553115942771825</v>
      </c>
      <c r="O15" s="162">
        <f>'F7'!M22</f>
        <v>9.8553115942771825</v>
      </c>
      <c r="P15" s="170"/>
      <c r="Q15" s="219">
        <f t="shared" si="1"/>
        <v>48.174860168307021</v>
      </c>
    </row>
    <row r="16" spans="2:17" ht="15">
      <c r="B16" s="2">
        <f t="shared" si="0"/>
        <v>6</v>
      </c>
      <c r="C16" s="3" t="s">
        <v>38</v>
      </c>
      <c r="D16" s="2" t="s">
        <v>198</v>
      </c>
      <c r="E16" s="22" t="s">
        <v>32</v>
      </c>
      <c r="F16" s="162"/>
      <c r="G16" s="162">
        <f>'F8'!E22</f>
        <v>0.33566263465747548</v>
      </c>
      <c r="H16" s="162">
        <f>'F8'!F22</f>
        <v>0.33566263465747548</v>
      </c>
      <c r="I16" s="222"/>
      <c r="J16" s="162">
        <f>'F8'!H22</f>
        <v>9.7230349269981114E-2</v>
      </c>
      <c r="K16" s="162">
        <f>'F8'!I22</f>
        <v>0.26064484380769343</v>
      </c>
      <c r="L16" s="162">
        <f>'F8'!J22</f>
        <v>0.27107063756000122</v>
      </c>
      <c r="M16" s="162">
        <f>'F8'!K22</f>
        <v>0.28191346306240128</v>
      </c>
      <c r="N16" s="162">
        <f>'F8'!L22</f>
        <v>0.29319000158489728</v>
      </c>
      <c r="O16" s="162">
        <f>'F8'!M22</f>
        <v>0.30491760164829318</v>
      </c>
      <c r="P16" s="170"/>
      <c r="Q16" s="219">
        <f t="shared" si="1"/>
        <v>1.4117365476632862</v>
      </c>
    </row>
    <row r="17" spans="2:17" ht="15">
      <c r="B17" s="20">
        <f t="shared" si="0"/>
        <v>7</v>
      </c>
      <c r="C17" s="25" t="s">
        <v>240</v>
      </c>
      <c r="D17" s="20" t="s">
        <v>198</v>
      </c>
      <c r="E17" s="22"/>
      <c r="F17" s="162">
        <f>SUM(F11:F15)-F16</f>
        <v>51.2789</v>
      </c>
      <c r="G17" s="162">
        <f t="shared" ref="G17:O17" ca="1" si="2">SUM(G11:G15)-G16</f>
        <v>49.532783811643114</v>
      </c>
      <c r="H17" s="162">
        <f t="shared" ca="1" si="2"/>
        <v>49.532783811643114</v>
      </c>
      <c r="I17" s="162">
        <f t="shared" si="2"/>
        <v>53.102899999999998</v>
      </c>
      <c r="J17" s="162">
        <f t="shared" ca="1" si="2"/>
        <v>61.037247177101648</v>
      </c>
      <c r="K17" s="162">
        <f t="shared" ca="1" si="2"/>
        <v>60.666131252451521</v>
      </c>
      <c r="L17" s="162">
        <f t="shared" ca="1" si="2"/>
        <v>66.865456908271781</v>
      </c>
      <c r="M17" s="162">
        <f t="shared" ca="1" si="2"/>
        <v>69.95203406231316</v>
      </c>
      <c r="N17" s="162">
        <f t="shared" ca="1" si="2"/>
        <v>72.703355511979339</v>
      </c>
      <c r="O17" s="162">
        <f t="shared" ca="1" si="2"/>
        <v>75.634701076288863</v>
      </c>
      <c r="P17" s="170"/>
      <c r="Q17" s="219">
        <f t="shared" ca="1" si="1"/>
        <v>345.82167881130471</v>
      </c>
    </row>
    <row r="18" spans="2:17" ht="15">
      <c r="B18" s="20" t="s">
        <v>59</v>
      </c>
      <c r="C18" s="20" t="s">
        <v>241</v>
      </c>
      <c r="D18" s="22"/>
      <c r="E18" s="22"/>
      <c r="F18" s="22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2:17" ht="15">
      <c r="B19" s="2">
        <v>1</v>
      </c>
      <c r="C19" s="22" t="s">
        <v>242</v>
      </c>
      <c r="D19" s="2" t="s">
        <v>197</v>
      </c>
      <c r="E19" s="22" t="s">
        <v>153</v>
      </c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3"/>
    </row>
    <row r="20" spans="2:17" ht="15">
      <c r="B20" s="2">
        <f>B19+1</f>
        <v>2</v>
      </c>
      <c r="C20" s="22" t="s">
        <v>243</v>
      </c>
      <c r="D20" s="2" t="s">
        <v>42</v>
      </c>
      <c r="E20" s="22" t="s">
        <v>34</v>
      </c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3"/>
    </row>
    <row r="21" spans="2:17" ht="15">
      <c r="B21" s="2">
        <f>B20+1</f>
        <v>3</v>
      </c>
      <c r="C21" s="22" t="s">
        <v>241</v>
      </c>
      <c r="D21" s="2" t="s">
        <v>198</v>
      </c>
      <c r="E21" s="2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3"/>
    </row>
    <row r="22" spans="2:17" ht="15">
      <c r="B22" s="20" t="s">
        <v>60</v>
      </c>
      <c r="C22" s="20" t="s">
        <v>363</v>
      </c>
      <c r="D22" s="2" t="s">
        <v>198</v>
      </c>
      <c r="E22" s="3"/>
      <c r="F22" s="162">
        <f>F17+F21</f>
        <v>51.2789</v>
      </c>
      <c r="G22" s="162">
        <f t="shared" ref="G22:O22" ca="1" si="3">G17+G21</f>
        <v>49.532783811643114</v>
      </c>
      <c r="H22" s="162">
        <f t="shared" ca="1" si="3"/>
        <v>49.532783811643114</v>
      </c>
      <c r="I22" s="162">
        <f t="shared" si="3"/>
        <v>53.102899999999998</v>
      </c>
      <c r="J22" s="162">
        <f t="shared" ca="1" si="3"/>
        <v>61.037247177101648</v>
      </c>
      <c r="K22" s="162">
        <f t="shared" ca="1" si="3"/>
        <v>60.666131252451521</v>
      </c>
      <c r="L22" s="162">
        <f t="shared" ca="1" si="3"/>
        <v>66.865456908271781</v>
      </c>
      <c r="M22" s="162">
        <f t="shared" ca="1" si="3"/>
        <v>69.95203406231316</v>
      </c>
      <c r="N22" s="162">
        <f t="shared" ca="1" si="3"/>
        <v>72.703355511979339</v>
      </c>
      <c r="O22" s="162">
        <f t="shared" ca="1" si="3"/>
        <v>75.634701076288863</v>
      </c>
      <c r="P22" s="3"/>
    </row>
    <row r="23" spans="2:17" hidden="1">
      <c r="F23" s="219">
        <f>SUM(F17+F16)</f>
        <v>51.2789</v>
      </c>
      <c r="G23" s="219">
        <f t="shared" ref="G23:O23" ca="1" si="4">SUM(G17+G16)</f>
        <v>49.868446446300588</v>
      </c>
      <c r="H23" s="219">
        <f t="shared" ca="1" si="4"/>
        <v>49.868446446300588</v>
      </c>
      <c r="I23" s="219">
        <f t="shared" si="4"/>
        <v>53.102899999999998</v>
      </c>
      <c r="J23" s="219">
        <f t="shared" ca="1" si="4"/>
        <v>61.134477526371626</v>
      </c>
      <c r="K23" s="219">
        <f t="shared" ca="1" si="4"/>
        <v>60.926776096259218</v>
      </c>
      <c r="L23" s="219">
        <f t="shared" ca="1" si="4"/>
        <v>67.136527545831783</v>
      </c>
      <c r="M23" s="219">
        <f t="shared" ca="1" si="4"/>
        <v>70.233947525375555</v>
      </c>
      <c r="N23" s="219">
        <f t="shared" ca="1" si="4"/>
        <v>72.996545513564243</v>
      </c>
      <c r="O23" s="219">
        <f t="shared" ca="1" si="4"/>
        <v>75.939618677937162</v>
      </c>
      <c r="Q23" s="219">
        <f ca="1">Q17+Q16</f>
        <v>347.23341535896799</v>
      </c>
    </row>
    <row r="24" spans="2:17">
      <c r="G24" s="227"/>
    </row>
  </sheetData>
  <mergeCells count="11">
    <mergeCell ref="B2:P2"/>
    <mergeCell ref="B3:P3"/>
    <mergeCell ref="B4:P4"/>
    <mergeCell ref="D7:D9"/>
    <mergeCell ref="B7:B9"/>
    <mergeCell ref="C7:C9"/>
    <mergeCell ref="E7:E9"/>
    <mergeCell ref="P7:P9"/>
    <mergeCell ref="K7:O7"/>
    <mergeCell ref="F7:H7"/>
    <mergeCell ref="I7:J7"/>
  </mergeCells>
  <pageMargins left="0.23" right="0.23" top="0.92" bottom="1" header="0.5" footer="0.5"/>
  <pageSetup paperSize="9" scale="6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6"/>
  <sheetViews>
    <sheetView showGridLines="0" view="pageBreakPreview" zoomScale="80" zoomScaleNormal="80" zoomScaleSheetLayoutView="80" workbookViewId="0">
      <selection activeCell="B4" sqref="B4:N4"/>
    </sheetView>
  </sheetViews>
  <sheetFormatPr defaultColWidth="9.28515625" defaultRowHeight="14.25"/>
  <cols>
    <col min="1" max="1" width="9.28515625" style="5"/>
    <col min="2" max="2" width="7.28515625" style="5" customWidth="1"/>
    <col min="3" max="3" width="32.28515625" style="5" customWidth="1"/>
    <col min="4" max="4" width="14.42578125" style="5" customWidth="1"/>
    <col min="5" max="7" width="14.7109375" style="5" customWidth="1"/>
    <col min="8" max="8" width="12.28515625" style="5" bestFit="1" customWidth="1"/>
    <col min="9" max="10" width="12.28515625" style="5" customWidth="1"/>
    <col min="11" max="11" width="12.28515625" style="5" bestFit="1" customWidth="1"/>
    <col min="12" max="12" width="13" style="5" customWidth="1"/>
    <col min="13" max="13" width="13.42578125" style="5" customWidth="1"/>
    <col min="14" max="14" width="12.7109375" style="5" customWidth="1"/>
    <col min="15" max="16384" width="9.28515625" style="5"/>
  </cols>
  <sheetData>
    <row r="1" spans="2:14" ht="15">
      <c r="C1" s="42"/>
      <c r="D1" s="42"/>
      <c r="E1" s="42"/>
      <c r="F1" s="42"/>
      <c r="G1" s="42"/>
      <c r="I1" s="40"/>
      <c r="J1" s="42"/>
    </row>
    <row r="2" spans="2:14" ht="15">
      <c r="B2" s="245" t="s">
        <v>398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</row>
    <row r="3" spans="2:14" ht="15">
      <c r="B3" s="245" t="s">
        <v>381</v>
      </c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</row>
    <row r="4" spans="2:14" ht="15">
      <c r="B4" s="246" t="s">
        <v>335</v>
      </c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</row>
    <row r="5" spans="2:14" ht="15">
      <c r="B5" s="41"/>
      <c r="C5" s="41"/>
      <c r="D5" s="41"/>
      <c r="E5" s="41"/>
      <c r="F5" s="41"/>
      <c r="G5" s="41"/>
      <c r="H5" s="41"/>
      <c r="I5" s="41"/>
      <c r="J5" s="41"/>
    </row>
    <row r="6" spans="2:14" ht="15">
      <c r="B6" s="250" t="s">
        <v>56</v>
      </c>
      <c r="C6" s="250"/>
      <c r="D6" s="250"/>
      <c r="E6" s="250"/>
      <c r="F6" s="250"/>
      <c r="G6" s="250"/>
      <c r="H6" s="250"/>
      <c r="I6" s="250"/>
      <c r="J6" s="250"/>
    </row>
    <row r="7" spans="2:14" ht="15">
      <c r="N7" s="32" t="s">
        <v>4</v>
      </c>
    </row>
    <row r="8" spans="2:14" ht="15">
      <c r="B8" s="251" t="s">
        <v>186</v>
      </c>
      <c r="C8" s="251" t="s">
        <v>18</v>
      </c>
      <c r="D8" s="247" t="s">
        <v>1</v>
      </c>
      <c r="E8" s="242" t="s">
        <v>372</v>
      </c>
      <c r="F8" s="243"/>
      <c r="G8" s="244"/>
      <c r="H8" s="242" t="s">
        <v>375</v>
      </c>
      <c r="I8" s="243"/>
      <c r="J8" s="252" t="s">
        <v>225</v>
      </c>
      <c r="K8" s="252"/>
      <c r="L8" s="252"/>
      <c r="M8" s="252"/>
      <c r="N8" s="252"/>
    </row>
    <row r="9" spans="2:14" ht="30">
      <c r="B9" s="251"/>
      <c r="C9" s="251"/>
      <c r="D9" s="248"/>
      <c r="E9" s="21" t="s">
        <v>328</v>
      </c>
      <c r="F9" s="21" t="s">
        <v>245</v>
      </c>
      <c r="G9" s="21" t="s">
        <v>201</v>
      </c>
      <c r="H9" s="21" t="s">
        <v>328</v>
      </c>
      <c r="I9" s="21" t="s">
        <v>244</v>
      </c>
      <c r="J9" s="21" t="s">
        <v>376</v>
      </c>
      <c r="K9" s="21" t="s">
        <v>377</v>
      </c>
      <c r="L9" s="21" t="s">
        <v>378</v>
      </c>
      <c r="M9" s="21" t="s">
        <v>379</v>
      </c>
      <c r="N9" s="21" t="s">
        <v>380</v>
      </c>
    </row>
    <row r="10" spans="2:14" ht="15">
      <c r="B10" s="251"/>
      <c r="C10" s="251"/>
      <c r="D10" s="249"/>
      <c r="E10" s="21" t="s">
        <v>10</v>
      </c>
      <c r="F10" s="21" t="s">
        <v>12</v>
      </c>
      <c r="G10" s="21" t="s">
        <v>234</v>
      </c>
      <c r="H10" s="21" t="s">
        <v>10</v>
      </c>
      <c r="I10" s="21" t="s">
        <v>5</v>
      </c>
      <c r="J10" s="21" t="s">
        <v>8</v>
      </c>
      <c r="K10" s="21" t="s">
        <v>8</v>
      </c>
      <c r="L10" s="21" t="s">
        <v>8</v>
      </c>
      <c r="M10" s="21" t="s">
        <v>8</v>
      </c>
      <c r="N10" s="21" t="s">
        <v>8</v>
      </c>
    </row>
    <row r="11" spans="2:14">
      <c r="B11" s="26">
        <v>1</v>
      </c>
      <c r="C11" s="35" t="s">
        <v>57</v>
      </c>
      <c r="D11" s="35" t="s">
        <v>24</v>
      </c>
      <c r="E11" s="167">
        <v>35.36</v>
      </c>
      <c r="F11" s="181">
        <f>F2.1!G36</f>
        <v>36.79306779500137</v>
      </c>
      <c r="G11" s="181">
        <f>F11</f>
        <v>36.79306779500137</v>
      </c>
      <c r="H11" s="131">
        <v>36.79</v>
      </c>
      <c r="I11" s="181">
        <f>F2.1!H36</f>
        <v>46.66383447870512</v>
      </c>
      <c r="J11" s="181">
        <f>F2.1!I36</f>
        <v>46.05291526724848</v>
      </c>
      <c r="K11" s="181">
        <f>F2.1!J36</f>
        <v>48.723984352748893</v>
      </c>
      <c r="L11" s="181">
        <f>F2.1!K36</f>
        <v>51.549975445208332</v>
      </c>
      <c r="M11" s="181">
        <f>F2.1!L36</f>
        <v>54.539874021030421</v>
      </c>
      <c r="N11" s="181">
        <f>F2.1!M36</f>
        <v>57.703186714250187</v>
      </c>
    </row>
    <row r="12" spans="2:14">
      <c r="B12" s="26">
        <f>B11+1</f>
        <v>2</v>
      </c>
      <c r="C12" s="43" t="s">
        <v>246</v>
      </c>
      <c r="D12" s="43" t="s">
        <v>25</v>
      </c>
      <c r="E12" s="169">
        <v>0.88</v>
      </c>
      <c r="F12" s="182">
        <f>F2.2!G40</f>
        <v>1.0444763688854724</v>
      </c>
      <c r="G12" s="181">
        <f>F12</f>
        <v>1.0444763688854724</v>
      </c>
      <c r="H12" s="131">
        <v>0.9</v>
      </c>
      <c r="I12" s="181">
        <f>F2.2!H40</f>
        <v>1.3425660427349742</v>
      </c>
      <c r="J12" s="181">
        <f>F2.2!I40</f>
        <v>1.252004046052636</v>
      </c>
      <c r="K12" s="181">
        <f>F2.2!J40</f>
        <v>1.3133522443092152</v>
      </c>
      <c r="L12" s="181">
        <f>F2.2!K40</f>
        <v>1.3777065042803667</v>
      </c>
      <c r="M12" s="181">
        <f>F2.2!L40</f>
        <v>1.4452141229901045</v>
      </c>
      <c r="N12" s="181">
        <f>F2.2!M40</f>
        <v>1.5160296150166195</v>
      </c>
    </row>
    <row r="13" spans="2:14">
      <c r="B13" s="26">
        <f>B12+1</f>
        <v>3</v>
      </c>
      <c r="C13" s="35" t="s">
        <v>203</v>
      </c>
      <c r="D13" s="35" t="s">
        <v>276</v>
      </c>
      <c r="E13" s="167">
        <v>1.87</v>
      </c>
      <c r="F13" s="181">
        <f>F2.3!G18</f>
        <v>1.1353118698135409</v>
      </c>
      <c r="G13" s="181">
        <f>F13</f>
        <v>1.1353118698135409</v>
      </c>
      <c r="H13" s="131">
        <v>2.02</v>
      </c>
      <c r="I13" s="181">
        <f>F2.3!H18</f>
        <v>1.6711736909379096</v>
      </c>
      <c r="J13" s="181">
        <f>F2.3!I18</f>
        <v>1.6716538280238769</v>
      </c>
      <c r="K13" s="181">
        <f>F2.3!J18</f>
        <v>2.0000382452354994</v>
      </c>
      <c r="L13" s="181">
        <f>F2.3!K18</f>
        <v>2.0428173425925045</v>
      </c>
      <c r="M13" s="181">
        <f>F2.3!L18</f>
        <v>2.0428173425925045</v>
      </c>
      <c r="N13" s="181">
        <f>F2.3!M18</f>
        <v>2.0428173425925045</v>
      </c>
    </row>
    <row r="14" spans="2:14" ht="15">
      <c r="B14" s="26">
        <f>B13+1</f>
        <v>4</v>
      </c>
      <c r="C14" s="35" t="s">
        <v>58</v>
      </c>
      <c r="D14" s="35"/>
      <c r="E14" s="134">
        <f>SUM(E11:E13)*0.99</f>
        <v>37.728899999999996</v>
      </c>
      <c r="F14" s="134">
        <f t="shared" ref="F14:I14" si="0">SUM(F11:F13)</f>
        <v>38.972856033700381</v>
      </c>
      <c r="G14" s="134">
        <f>SUM(G11:G13)</f>
        <v>38.972856033700381</v>
      </c>
      <c r="H14" s="134">
        <f>SUM(H11:H13)*0.99</f>
        <v>39.312899999999999</v>
      </c>
      <c r="I14" s="134">
        <f t="shared" si="0"/>
        <v>49.677574212378005</v>
      </c>
      <c r="J14" s="134">
        <f>SUM(J11:J13)</f>
        <v>48.976573141324991</v>
      </c>
      <c r="K14" s="134">
        <f t="shared" ref="K14:N14" si="1">SUM(K11:K13)</f>
        <v>52.037374842293609</v>
      </c>
      <c r="L14" s="134">
        <f t="shared" si="1"/>
        <v>54.970499292081207</v>
      </c>
      <c r="M14" s="134">
        <f t="shared" si="1"/>
        <v>58.027905486613029</v>
      </c>
      <c r="N14" s="134">
        <f t="shared" si="1"/>
        <v>61.262033671859314</v>
      </c>
    </row>
    <row r="15" spans="2:14">
      <c r="B15" s="54" t="s">
        <v>247</v>
      </c>
      <c r="C15" s="55"/>
      <c r="D15" s="52"/>
      <c r="E15" s="52"/>
      <c r="F15" s="52"/>
      <c r="G15" s="53"/>
      <c r="H15" s="53"/>
      <c r="I15" s="53"/>
      <c r="J15" s="53"/>
      <c r="K15" s="53"/>
      <c r="L15" s="53"/>
      <c r="M15" s="53"/>
      <c r="N15" s="53"/>
    </row>
    <row r="16" spans="2:14">
      <c r="B16" s="56">
        <v>1</v>
      </c>
      <c r="C16" s="55" t="s">
        <v>248</v>
      </c>
    </row>
  </sheetData>
  <mergeCells count="10">
    <mergeCell ref="B2:N2"/>
    <mergeCell ref="B3:N3"/>
    <mergeCell ref="B4:N4"/>
    <mergeCell ref="E8:G8"/>
    <mergeCell ref="D8:D10"/>
    <mergeCell ref="B6:J6"/>
    <mergeCell ref="B8:B10"/>
    <mergeCell ref="C8:C10"/>
    <mergeCell ref="J8:N8"/>
    <mergeCell ref="H8:I8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M39"/>
  <sheetViews>
    <sheetView showGridLines="0" view="pageBreakPreview" topLeftCell="B1" zoomScale="70" zoomScaleNormal="80" zoomScaleSheetLayoutView="70" workbookViewId="0">
      <selection activeCell="N24" sqref="N24"/>
    </sheetView>
  </sheetViews>
  <sheetFormatPr defaultColWidth="9.28515625" defaultRowHeight="14.25"/>
  <cols>
    <col min="1" max="1" width="4.140625" style="19" customWidth="1"/>
    <col min="2" max="2" width="7" style="19" customWidth="1"/>
    <col min="3" max="3" width="47" style="19" customWidth="1"/>
    <col min="4" max="4" width="14" style="19" customWidth="1"/>
    <col min="5" max="5" width="13.42578125" style="19" customWidth="1"/>
    <col min="6" max="6" width="14.5703125" style="19" customWidth="1"/>
    <col min="7" max="7" width="14" style="19" customWidth="1"/>
    <col min="8" max="8" width="15.85546875" style="19" customWidth="1"/>
    <col min="9" max="9" width="12.28515625" style="19" customWidth="1"/>
    <col min="10" max="10" width="12.28515625" style="19" bestFit="1" customWidth="1"/>
    <col min="11" max="11" width="12.42578125" style="19" customWidth="1"/>
    <col min="12" max="12" width="12.140625" style="19" customWidth="1"/>
    <col min="13" max="13" width="12.7109375" style="19" customWidth="1"/>
    <col min="14" max="16384" width="9.28515625" style="19"/>
  </cols>
  <sheetData>
    <row r="2" spans="2:13" ht="15">
      <c r="B2" s="245" t="s">
        <v>397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2:13" ht="15">
      <c r="B3" s="245" t="s">
        <v>403</v>
      </c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</row>
    <row r="4" spans="2:13" s="4" customFormat="1" ht="15">
      <c r="B4" s="254" t="s">
        <v>407</v>
      </c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</row>
    <row r="5" spans="2:13" s="4" customFormat="1" ht="15">
      <c r="C5" s="45"/>
      <c r="D5" s="45"/>
      <c r="E5" s="45"/>
      <c r="F5" s="45"/>
      <c r="G5" s="46"/>
      <c r="H5" s="46"/>
    </row>
    <row r="6" spans="2:13" ht="15">
      <c r="M6" s="32" t="s">
        <v>4</v>
      </c>
    </row>
    <row r="7" spans="2:13" ht="12.75" customHeight="1">
      <c r="B7" s="238" t="s">
        <v>2</v>
      </c>
      <c r="C7" s="238" t="s">
        <v>18</v>
      </c>
      <c r="D7" s="21" t="s">
        <v>382</v>
      </c>
      <c r="E7" s="21" t="s">
        <v>383</v>
      </c>
      <c r="F7" s="21" t="s">
        <v>384</v>
      </c>
      <c r="G7" s="21" t="s">
        <v>372</v>
      </c>
      <c r="H7" s="21" t="s">
        <v>375</v>
      </c>
      <c r="I7" s="252" t="s">
        <v>225</v>
      </c>
      <c r="J7" s="252"/>
      <c r="K7" s="252"/>
      <c r="L7" s="252"/>
      <c r="M7" s="252"/>
    </row>
    <row r="8" spans="2:13" ht="15">
      <c r="B8" s="238"/>
      <c r="C8" s="238"/>
      <c r="D8" s="21" t="s">
        <v>245</v>
      </c>
      <c r="E8" s="21" t="s">
        <v>245</v>
      </c>
      <c r="F8" s="21" t="s">
        <v>245</v>
      </c>
      <c r="G8" s="21" t="s">
        <v>245</v>
      </c>
      <c r="H8" s="21" t="s">
        <v>244</v>
      </c>
      <c r="I8" s="21" t="s">
        <v>376</v>
      </c>
      <c r="J8" s="21" t="s">
        <v>377</v>
      </c>
      <c r="K8" s="21" t="s">
        <v>378</v>
      </c>
      <c r="L8" s="21" t="s">
        <v>379</v>
      </c>
      <c r="M8" s="21" t="s">
        <v>380</v>
      </c>
    </row>
    <row r="9" spans="2:13" ht="15">
      <c r="B9" s="253"/>
      <c r="C9" s="238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2">
        <v>1</v>
      </c>
      <c r="C10" s="47" t="s">
        <v>61</v>
      </c>
      <c r="D10" s="166"/>
      <c r="E10" s="166"/>
      <c r="F10" s="166"/>
      <c r="G10" s="163">
        <v>20.739318676534463</v>
      </c>
      <c r="H10" s="208">
        <v>24.384392295650589</v>
      </c>
      <c r="I10" s="3"/>
      <c r="J10" s="3"/>
      <c r="K10" s="3"/>
      <c r="L10" s="3"/>
      <c r="M10" s="3"/>
    </row>
    <row r="11" spans="2:13">
      <c r="B11" s="2">
        <v>2</v>
      </c>
      <c r="C11" s="47" t="s">
        <v>62</v>
      </c>
      <c r="D11" s="166"/>
      <c r="E11" s="166"/>
      <c r="F11" s="166"/>
      <c r="G11" s="163">
        <v>0.84834912843486132</v>
      </c>
      <c r="H11" s="208">
        <v>1.972516935230535</v>
      </c>
      <c r="I11" s="3"/>
      <c r="J11" s="3"/>
      <c r="K11" s="3"/>
      <c r="L11" s="3"/>
      <c r="M11" s="3"/>
    </row>
    <row r="12" spans="2:13">
      <c r="B12" s="2">
        <v>3</v>
      </c>
      <c r="C12" s="3" t="s">
        <v>63</v>
      </c>
      <c r="D12" s="163"/>
      <c r="E12" s="163"/>
      <c r="F12" s="163"/>
      <c r="G12" s="163">
        <v>1.5165929533485343</v>
      </c>
      <c r="H12" s="208">
        <v>1.7380283244644545</v>
      </c>
      <c r="I12" s="3"/>
      <c r="J12" s="3"/>
      <c r="K12" s="3"/>
      <c r="L12" s="3"/>
      <c r="M12" s="3"/>
    </row>
    <row r="13" spans="2:13">
      <c r="B13" s="2">
        <v>4</v>
      </c>
      <c r="C13" s="47" t="s">
        <v>64</v>
      </c>
      <c r="D13" s="166"/>
      <c r="E13" s="166"/>
      <c r="F13" s="166"/>
      <c r="G13" s="163">
        <v>0.19075298432304941</v>
      </c>
      <c r="H13" s="208">
        <v>0.2159416086423798</v>
      </c>
      <c r="I13" s="3"/>
      <c r="J13" s="3"/>
      <c r="K13" s="3"/>
      <c r="L13" s="3"/>
      <c r="M13" s="3"/>
    </row>
    <row r="14" spans="2:13">
      <c r="B14" s="2">
        <v>5</v>
      </c>
      <c r="C14" s="47" t="s">
        <v>65</v>
      </c>
      <c r="D14" s="166"/>
      <c r="E14" s="166"/>
      <c r="F14" s="166"/>
      <c r="G14" s="163">
        <v>2.1889497355373499E-5</v>
      </c>
      <c r="H14" s="208">
        <v>3.871024446205703E-5</v>
      </c>
      <c r="I14" s="3"/>
      <c r="J14" s="3"/>
      <c r="K14" s="3"/>
      <c r="L14" s="3"/>
      <c r="M14" s="3"/>
    </row>
    <row r="15" spans="2:13">
      <c r="B15" s="2">
        <v>6</v>
      </c>
      <c r="C15" s="3" t="s">
        <v>66</v>
      </c>
      <c r="D15" s="163"/>
      <c r="E15" s="163"/>
      <c r="F15" s="163"/>
      <c r="G15" s="163">
        <v>2.6098919815251378</v>
      </c>
      <c r="H15" s="208">
        <v>4.7580341303544689</v>
      </c>
      <c r="I15" s="3"/>
      <c r="J15" s="3"/>
      <c r="K15" s="3"/>
      <c r="L15" s="3"/>
      <c r="M15" s="3"/>
    </row>
    <row r="16" spans="2:13">
      <c r="B16" s="2">
        <v>7</v>
      </c>
      <c r="C16" s="47" t="s">
        <v>67</v>
      </c>
      <c r="D16" s="166"/>
      <c r="E16" s="166"/>
      <c r="F16" s="166"/>
      <c r="G16" s="163">
        <v>4.9418742881454643</v>
      </c>
      <c r="H16" s="208">
        <v>5.0081704472256368</v>
      </c>
      <c r="I16" s="3"/>
      <c r="J16" s="3"/>
      <c r="K16" s="3"/>
      <c r="L16" s="3"/>
      <c r="M16" s="3"/>
    </row>
    <row r="17" spans="2:13">
      <c r="B17" s="2">
        <v>8</v>
      </c>
      <c r="C17" s="47" t="s">
        <v>68</v>
      </c>
      <c r="D17" s="166"/>
      <c r="E17" s="166"/>
      <c r="F17" s="166"/>
      <c r="G17" s="163">
        <v>0.28861382751984099</v>
      </c>
      <c r="H17" s="208">
        <v>7.8097301203035804E-2</v>
      </c>
      <c r="I17" s="3"/>
      <c r="J17" s="3"/>
      <c r="K17" s="3"/>
      <c r="L17" s="3"/>
      <c r="M17" s="3"/>
    </row>
    <row r="18" spans="2:13">
      <c r="B18" s="2">
        <v>9</v>
      </c>
      <c r="C18" s="47" t="s">
        <v>69</v>
      </c>
      <c r="D18" s="166"/>
      <c r="E18" s="166"/>
      <c r="F18" s="166"/>
      <c r="G18" s="163">
        <v>0</v>
      </c>
      <c r="H18" s="208">
        <v>0</v>
      </c>
      <c r="I18" s="3"/>
      <c r="J18" s="3"/>
      <c r="K18" s="3"/>
      <c r="L18" s="3"/>
      <c r="M18" s="3"/>
    </row>
    <row r="19" spans="2:13">
      <c r="B19" s="2">
        <v>10</v>
      </c>
      <c r="C19" s="47" t="s">
        <v>70</v>
      </c>
      <c r="D19" s="166"/>
      <c r="E19" s="166"/>
      <c r="F19" s="166"/>
      <c r="G19" s="166">
        <v>0</v>
      </c>
      <c r="H19" s="208">
        <v>0</v>
      </c>
      <c r="I19" s="3"/>
      <c r="J19" s="3"/>
      <c r="K19" s="3"/>
      <c r="L19" s="3"/>
      <c r="M19" s="3"/>
    </row>
    <row r="20" spans="2:13">
      <c r="B20" s="2">
        <v>11</v>
      </c>
      <c r="C20" s="47" t="s">
        <v>71</v>
      </c>
      <c r="D20" s="166"/>
      <c r="E20" s="166"/>
      <c r="F20" s="166"/>
      <c r="G20" s="166">
        <v>0</v>
      </c>
      <c r="H20" s="208">
        <v>9.0486549498400978E-5</v>
      </c>
      <c r="I20" s="3"/>
      <c r="J20" s="3"/>
      <c r="K20" s="3"/>
      <c r="L20" s="3"/>
      <c r="M20" s="3"/>
    </row>
    <row r="21" spans="2:13">
      <c r="B21" s="2">
        <v>12</v>
      </c>
      <c r="C21" s="47" t="s">
        <v>72</v>
      </c>
      <c r="D21" s="166"/>
      <c r="E21" s="166"/>
      <c r="F21" s="166"/>
      <c r="G21" s="166">
        <v>0.36870696966389255</v>
      </c>
      <c r="H21" s="208">
        <v>0.35992709081417917</v>
      </c>
      <c r="I21" s="3"/>
      <c r="J21" s="3"/>
      <c r="K21" s="3"/>
      <c r="L21" s="3"/>
      <c r="M21" s="3"/>
    </row>
    <row r="22" spans="2:13">
      <c r="B22" s="2">
        <v>13</v>
      </c>
      <c r="C22" s="47" t="s">
        <v>73</v>
      </c>
      <c r="D22" s="166"/>
      <c r="E22" s="166"/>
      <c r="F22" s="166"/>
      <c r="G22" s="166">
        <v>0</v>
      </c>
      <c r="H22" s="208">
        <v>0</v>
      </c>
      <c r="I22" s="3"/>
      <c r="J22" s="3"/>
      <c r="K22" s="3"/>
      <c r="L22" s="3"/>
      <c r="M22" s="3"/>
    </row>
    <row r="23" spans="2:13">
      <c r="B23" s="2">
        <v>14</v>
      </c>
      <c r="C23" s="47" t="s">
        <v>74</v>
      </c>
      <c r="D23" s="166"/>
      <c r="E23" s="166"/>
      <c r="F23" s="166"/>
      <c r="G23" s="166">
        <v>0</v>
      </c>
      <c r="H23" s="208">
        <v>0</v>
      </c>
      <c r="I23" s="3"/>
      <c r="J23" s="3"/>
      <c r="K23" s="3"/>
      <c r="L23" s="3"/>
      <c r="M23" s="3"/>
    </row>
    <row r="24" spans="2:13">
      <c r="B24" s="2">
        <v>15</v>
      </c>
      <c r="C24" s="47" t="s">
        <v>75</v>
      </c>
      <c r="D24" s="166"/>
      <c r="E24" s="166"/>
      <c r="F24" s="166"/>
      <c r="G24" s="163">
        <v>0</v>
      </c>
      <c r="H24" s="208">
        <v>0</v>
      </c>
      <c r="I24" s="3"/>
      <c r="J24" s="3"/>
      <c r="K24" s="3"/>
      <c r="L24" s="3"/>
      <c r="M24" s="3"/>
    </row>
    <row r="25" spans="2:13">
      <c r="B25" s="2">
        <v>16</v>
      </c>
      <c r="C25" s="47" t="s">
        <v>76</v>
      </c>
      <c r="D25" s="166"/>
      <c r="E25" s="166"/>
      <c r="F25" s="166"/>
      <c r="G25" s="200">
        <v>0</v>
      </c>
      <c r="H25" s="208">
        <v>0</v>
      </c>
      <c r="I25" s="3"/>
      <c r="J25" s="3"/>
      <c r="K25" s="3"/>
      <c r="L25" s="3"/>
      <c r="M25" s="3"/>
    </row>
    <row r="26" spans="2:13" ht="15">
      <c r="B26" s="2">
        <v>17</v>
      </c>
      <c r="C26" s="47" t="s">
        <v>77</v>
      </c>
      <c r="D26" s="166"/>
      <c r="E26" s="166"/>
      <c r="F26" s="166"/>
      <c r="G26" s="200">
        <v>31.504122698992603</v>
      </c>
      <c r="H26" s="209">
        <v>38.515237330379236</v>
      </c>
      <c r="I26" s="3"/>
      <c r="J26" s="3"/>
      <c r="K26" s="3"/>
      <c r="L26" s="3"/>
      <c r="M26" s="3"/>
    </row>
    <row r="27" spans="2:13">
      <c r="B27" s="2">
        <v>18</v>
      </c>
      <c r="C27" s="47" t="s">
        <v>78</v>
      </c>
      <c r="D27" s="166"/>
      <c r="E27" s="166"/>
      <c r="F27" s="166"/>
      <c r="G27" s="200">
        <v>0</v>
      </c>
      <c r="H27" s="208">
        <v>0</v>
      </c>
      <c r="I27" s="3"/>
      <c r="J27" s="3"/>
      <c r="K27" s="3"/>
      <c r="L27" s="3"/>
      <c r="M27" s="3"/>
    </row>
    <row r="28" spans="2:13">
      <c r="B28" s="2">
        <f>+B27+0.1</f>
        <v>18.100000000000001</v>
      </c>
      <c r="C28" s="47" t="s">
        <v>79</v>
      </c>
      <c r="D28" s="166"/>
      <c r="E28" s="166"/>
      <c r="F28" s="166"/>
      <c r="G28" s="200">
        <v>1.9739812751645158</v>
      </c>
      <c r="H28" s="208">
        <v>2.3518311199747806</v>
      </c>
      <c r="I28" s="3"/>
      <c r="J28" s="3"/>
      <c r="K28" s="3"/>
      <c r="L28" s="3"/>
      <c r="M28" s="3"/>
    </row>
    <row r="29" spans="2:13">
      <c r="B29" s="2">
        <f>+B28+0.1</f>
        <v>18.200000000000003</v>
      </c>
      <c r="C29" s="47" t="s">
        <v>80</v>
      </c>
      <c r="D29" s="166"/>
      <c r="E29" s="166"/>
      <c r="F29" s="166"/>
      <c r="G29" s="200">
        <v>0</v>
      </c>
      <c r="H29" s="208">
        <v>0</v>
      </c>
      <c r="I29" s="3"/>
      <c r="J29" s="3"/>
      <c r="K29" s="3"/>
      <c r="L29" s="3"/>
      <c r="M29" s="3"/>
    </row>
    <row r="30" spans="2:13">
      <c r="B30" s="2">
        <f>+B29+0.1</f>
        <v>18.300000000000004</v>
      </c>
      <c r="C30" s="47" t="s">
        <v>81</v>
      </c>
      <c r="D30" s="166"/>
      <c r="E30" s="166"/>
      <c r="F30" s="166"/>
      <c r="G30" s="200">
        <v>0</v>
      </c>
      <c r="H30" s="208">
        <v>0</v>
      </c>
      <c r="I30" s="3"/>
      <c r="J30" s="3"/>
      <c r="K30" s="3"/>
      <c r="L30" s="3"/>
      <c r="M30" s="3"/>
    </row>
    <row r="31" spans="2:13">
      <c r="B31" s="2">
        <f>+B30+0.1</f>
        <v>18.400000000000006</v>
      </c>
      <c r="C31" s="47" t="s">
        <v>82</v>
      </c>
      <c r="D31" s="166"/>
      <c r="E31" s="166"/>
      <c r="F31" s="166"/>
      <c r="G31" s="163">
        <v>3.3149638208442469</v>
      </c>
      <c r="H31" s="208">
        <v>5.7967660283510991</v>
      </c>
      <c r="I31" s="3"/>
      <c r="J31" s="3"/>
      <c r="K31" s="3"/>
      <c r="L31" s="3"/>
      <c r="M31" s="3"/>
    </row>
    <row r="32" spans="2:13">
      <c r="B32" s="2">
        <v>19</v>
      </c>
      <c r="C32" s="51" t="s">
        <v>362</v>
      </c>
      <c r="D32" s="166"/>
      <c r="E32" s="166"/>
      <c r="F32" s="166"/>
      <c r="G32" s="163">
        <v>0</v>
      </c>
      <c r="H32" s="208">
        <v>0</v>
      </c>
      <c r="I32" s="3"/>
      <c r="J32" s="3"/>
      <c r="K32" s="3"/>
      <c r="L32" s="3"/>
      <c r="M32" s="3"/>
    </row>
    <row r="33" spans="2:13">
      <c r="B33" s="2">
        <v>20</v>
      </c>
      <c r="C33" s="47" t="s">
        <v>83</v>
      </c>
      <c r="D33" s="166"/>
      <c r="E33" s="166"/>
      <c r="F33" s="166"/>
      <c r="G33" s="163">
        <v>0</v>
      </c>
      <c r="H33" s="208">
        <v>0</v>
      </c>
      <c r="I33" s="163">
        <v>46.05291526724848</v>
      </c>
      <c r="J33" s="163">
        <v>48.723984352748893</v>
      </c>
      <c r="K33" s="163">
        <v>51.549975445208332</v>
      </c>
      <c r="L33" s="163">
        <v>54.539874021030421</v>
      </c>
      <c r="M33" s="163">
        <v>57.703186714250187</v>
      </c>
    </row>
    <row r="34" spans="2:13" ht="15">
      <c r="B34" s="20">
        <v>21</v>
      </c>
      <c r="C34" s="48" t="s">
        <v>84</v>
      </c>
      <c r="D34" s="165">
        <f>SUM(D26:D33)</f>
        <v>0</v>
      </c>
      <c r="E34" s="165">
        <f t="shared" ref="E34:I34" si="0">SUM(E26:E33)</f>
        <v>0</v>
      </c>
      <c r="F34" s="165">
        <f t="shared" si="0"/>
        <v>0</v>
      </c>
      <c r="G34" s="165">
        <f t="shared" si="0"/>
        <v>36.79306779500137</v>
      </c>
      <c r="H34" s="165">
        <f t="shared" si="0"/>
        <v>46.66383447870512</v>
      </c>
      <c r="I34" s="165">
        <f t="shared" si="0"/>
        <v>46.05291526724848</v>
      </c>
      <c r="J34" s="165">
        <f t="shared" ref="J34:M34" si="1">SUM(J10:J33)</f>
        <v>48.723984352748893</v>
      </c>
      <c r="K34" s="165">
        <f t="shared" si="1"/>
        <v>51.549975445208332</v>
      </c>
      <c r="L34" s="165">
        <f t="shared" si="1"/>
        <v>54.539874021030421</v>
      </c>
      <c r="M34" s="165">
        <f t="shared" si="1"/>
        <v>57.703186714250187</v>
      </c>
    </row>
    <row r="35" spans="2:13">
      <c r="B35" s="2">
        <v>22</v>
      </c>
      <c r="C35" s="47" t="s">
        <v>17</v>
      </c>
      <c r="D35" s="166"/>
      <c r="E35" s="166"/>
      <c r="F35" s="166"/>
      <c r="G35" s="163"/>
      <c r="H35" s="163"/>
      <c r="I35" s="163"/>
      <c r="J35" s="163"/>
      <c r="K35" s="163"/>
      <c r="L35" s="163"/>
      <c r="M35" s="163"/>
    </row>
    <row r="36" spans="2:13" ht="15">
      <c r="B36" s="20">
        <v>23</v>
      </c>
      <c r="C36" s="25" t="s">
        <v>85</v>
      </c>
      <c r="D36" s="136">
        <v>35.17</v>
      </c>
      <c r="E36" s="136">
        <v>38.43</v>
      </c>
      <c r="F36" s="136">
        <v>37.380000000000003</v>
      </c>
      <c r="G36" s="136">
        <f t="shared" ref="G36:M36" si="2">G34-G35</f>
        <v>36.79306779500137</v>
      </c>
      <c r="H36" s="136">
        <f t="shared" si="2"/>
        <v>46.66383447870512</v>
      </c>
      <c r="I36" s="136">
        <f t="shared" si="2"/>
        <v>46.05291526724848</v>
      </c>
      <c r="J36" s="136">
        <f t="shared" si="2"/>
        <v>48.723984352748893</v>
      </c>
      <c r="K36" s="136">
        <f t="shared" si="2"/>
        <v>51.549975445208332</v>
      </c>
      <c r="L36" s="136">
        <f t="shared" si="2"/>
        <v>54.539874021030421</v>
      </c>
      <c r="M36" s="136">
        <f t="shared" si="2"/>
        <v>57.703186714250187</v>
      </c>
    </row>
    <row r="38" spans="2:13" ht="15">
      <c r="B38" s="49"/>
    </row>
    <row r="39" spans="2:13">
      <c r="B39" s="50"/>
    </row>
  </sheetData>
  <mergeCells count="6">
    <mergeCell ref="I7:M7"/>
    <mergeCell ref="B7:B9"/>
    <mergeCell ref="C7:C9"/>
    <mergeCell ref="B2:M2"/>
    <mergeCell ref="B3:M3"/>
    <mergeCell ref="B4:M4"/>
  </mergeCells>
  <pageMargins left="0.75" right="0.75" top="1" bottom="1" header="0.5" footer="0.5"/>
  <pageSetup paperSize="9" scale="69" fitToHeight="0" orientation="landscape" r:id="rId1"/>
  <headerFooter alignWithMargins="0"/>
  <rowBreaks count="1" manualBreakCount="1">
    <brk id="37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40"/>
  <sheetViews>
    <sheetView showGridLines="0" view="pageBreakPreview" zoomScale="70" zoomScaleNormal="80" zoomScaleSheetLayoutView="70" workbookViewId="0">
      <selection activeCell="I37" sqref="I37:M37"/>
    </sheetView>
  </sheetViews>
  <sheetFormatPr defaultColWidth="9.28515625" defaultRowHeight="14.25"/>
  <cols>
    <col min="1" max="1" width="2" style="19" customWidth="1"/>
    <col min="2" max="2" width="7" style="19" customWidth="1"/>
    <col min="3" max="3" width="50.2851562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 ht="15.75">
      <c r="B2" s="228" t="s">
        <v>398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</row>
    <row r="3" spans="2:13" ht="15.75">
      <c r="B3" s="228" t="s">
        <v>381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</row>
    <row r="4" spans="2:13" s="4" customFormat="1" ht="15.75">
      <c r="B4" s="228" t="s">
        <v>404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</row>
    <row r="6" spans="2:13" ht="15">
      <c r="M6" s="32" t="s">
        <v>4</v>
      </c>
    </row>
    <row r="7" spans="2:13" ht="12.75" customHeight="1">
      <c r="B7" s="240" t="s">
        <v>186</v>
      </c>
      <c r="C7" s="238" t="s">
        <v>18</v>
      </c>
      <c r="D7" s="21" t="s">
        <v>382</v>
      </c>
      <c r="E7" s="21" t="s">
        <v>383</v>
      </c>
      <c r="F7" s="21" t="s">
        <v>384</v>
      </c>
      <c r="G7" s="21" t="s">
        <v>372</v>
      </c>
      <c r="H7" s="21" t="s">
        <v>375</v>
      </c>
      <c r="I7" s="252" t="s">
        <v>225</v>
      </c>
      <c r="J7" s="252"/>
      <c r="K7" s="252"/>
      <c r="L7" s="252"/>
      <c r="M7" s="252"/>
    </row>
    <row r="8" spans="2:13" ht="15">
      <c r="B8" s="240"/>
      <c r="C8" s="238"/>
      <c r="D8" s="21" t="s">
        <v>245</v>
      </c>
      <c r="E8" s="21" t="s">
        <v>245</v>
      </c>
      <c r="F8" s="21" t="s">
        <v>245</v>
      </c>
      <c r="G8" s="21" t="s">
        <v>245</v>
      </c>
      <c r="H8" s="21" t="s">
        <v>244</v>
      </c>
      <c r="I8" s="21" t="s">
        <v>376</v>
      </c>
      <c r="J8" s="21" t="s">
        <v>377</v>
      </c>
      <c r="K8" s="21" t="s">
        <v>378</v>
      </c>
      <c r="L8" s="21" t="s">
        <v>379</v>
      </c>
      <c r="M8" s="21" t="s">
        <v>380</v>
      </c>
    </row>
    <row r="9" spans="2:13" ht="15">
      <c r="B9" s="240"/>
      <c r="C9" s="238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3">
        <v>1</v>
      </c>
      <c r="C10" s="57" t="s">
        <v>86</v>
      </c>
      <c r="D10" s="163">
        <v>3.1162643709110732E-2</v>
      </c>
      <c r="E10" s="163">
        <v>3.3058083332724898E-2</v>
      </c>
      <c r="F10" s="163">
        <v>5.3935606026980269E-2</v>
      </c>
      <c r="G10" s="163">
        <v>3.0797552814193826E-2</v>
      </c>
      <c r="H10" s="210">
        <v>7.2017382901569199E-2</v>
      </c>
      <c r="I10" s="3"/>
      <c r="J10" s="3"/>
      <c r="K10" s="3"/>
      <c r="L10" s="3"/>
      <c r="M10" s="3"/>
    </row>
    <row r="11" spans="2:13">
      <c r="B11" s="3">
        <v>2</v>
      </c>
      <c r="C11" s="58" t="s">
        <v>87</v>
      </c>
      <c r="D11" s="163">
        <v>1.6590721626751263E-3</v>
      </c>
      <c r="E11" s="163">
        <v>2.2276834259704554E-3</v>
      </c>
      <c r="F11" s="163">
        <v>8.1764193932999934E-4</v>
      </c>
      <c r="G11" s="163">
        <v>1.4065588673952641E-3</v>
      </c>
      <c r="H11" s="210">
        <v>1.5945916397927737E-3</v>
      </c>
      <c r="I11" s="3"/>
      <c r="J11" s="3"/>
      <c r="K11" s="3"/>
      <c r="L11" s="3"/>
      <c r="M11" s="3"/>
    </row>
    <row r="12" spans="2:13">
      <c r="B12" s="3">
        <v>3</v>
      </c>
      <c r="C12" s="58" t="s">
        <v>88</v>
      </c>
      <c r="D12" s="163">
        <v>1.0799052877371719E-2</v>
      </c>
      <c r="E12" s="163">
        <v>5.0060460818747016E-2</v>
      </c>
      <c r="F12" s="163">
        <v>3.306252417808301E-2</v>
      </c>
      <c r="G12" s="163">
        <v>1.7775203210444648E-2</v>
      </c>
      <c r="H12" s="210">
        <v>1.9908004651819577E-2</v>
      </c>
      <c r="I12" s="3"/>
      <c r="J12" s="3"/>
      <c r="K12" s="3"/>
      <c r="L12" s="3"/>
      <c r="M12" s="3"/>
    </row>
    <row r="13" spans="2:13">
      <c r="B13" s="3">
        <v>4</v>
      </c>
      <c r="C13" s="58" t="s">
        <v>89</v>
      </c>
      <c r="D13" s="163">
        <v>1.2969802991080534E-2</v>
      </c>
      <c r="E13" s="163">
        <v>9.5003821234055097E-3</v>
      </c>
      <c r="F13" s="163">
        <v>7.7803434802230257E-3</v>
      </c>
      <c r="G13" s="163">
        <v>1.2619663638971559E-2</v>
      </c>
      <c r="H13" s="210">
        <v>9.5533128047294927E-3</v>
      </c>
      <c r="I13" s="3"/>
      <c r="J13" s="3"/>
      <c r="K13" s="3"/>
      <c r="L13" s="3"/>
      <c r="M13" s="3"/>
    </row>
    <row r="14" spans="2:13">
      <c r="B14" s="3">
        <v>5</v>
      </c>
      <c r="C14" s="58" t="s">
        <v>90</v>
      </c>
      <c r="D14" s="163">
        <v>1.7478106219131879E-3</v>
      </c>
      <c r="E14" s="163">
        <v>1.4880255867820921E-3</v>
      </c>
      <c r="F14" s="163">
        <v>4.7001071105458661E-3</v>
      </c>
      <c r="G14" s="163">
        <v>4.7368185983247858E-3</v>
      </c>
      <c r="H14" s="210">
        <v>1.3993665944002243E-3</v>
      </c>
      <c r="I14" s="3"/>
      <c r="J14" s="3"/>
      <c r="K14" s="3"/>
      <c r="L14" s="3"/>
      <c r="M14" s="3"/>
    </row>
    <row r="15" spans="2:13">
      <c r="B15" s="3">
        <v>6</v>
      </c>
      <c r="C15" s="58" t="s">
        <v>91</v>
      </c>
      <c r="D15" s="163">
        <v>1.9220931347819749E-2</v>
      </c>
      <c r="E15" s="163">
        <v>2.1045833031656747E-2</v>
      </c>
      <c r="F15" s="163">
        <v>1.7959077840140877E-2</v>
      </c>
      <c r="G15" s="163">
        <v>1.1023275970184218E-2</v>
      </c>
      <c r="H15" s="210">
        <v>2.9454090642188544E-2</v>
      </c>
      <c r="I15" s="3"/>
      <c r="J15" s="3"/>
      <c r="K15" s="3"/>
      <c r="L15" s="3"/>
      <c r="M15" s="3"/>
    </row>
    <row r="16" spans="2:13">
      <c r="B16" s="3">
        <v>7</v>
      </c>
      <c r="C16" s="58" t="s">
        <v>92</v>
      </c>
      <c r="D16" s="163">
        <v>9.5042985571228131E-2</v>
      </c>
      <c r="E16" s="163">
        <v>9.240394909108289E-2</v>
      </c>
      <c r="F16" s="163">
        <v>0.15686781161810381</v>
      </c>
      <c r="G16" s="163">
        <v>0.12390904798173823</v>
      </c>
      <c r="H16" s="210">
        <v>0.1425904010303071</v>
      </c>
      <c r="I16" s="3"/>
      <c r="J16" s="3"/>
      <c r="K16" s="3"/>
      <c r="L16" s="3"/>
      <c r="M16" s="3"/>
    </row>
    <row r="17" spans="2:13">
      <c r="B17" s="3">
        <v>8</v>
      </c>
      <c r="C17" s="58" t="s">
        <v>93</v>
      </c>
      <c r="D17" s="163">
        <v>1.1943668516531128E-2</v>
      </c>
      <c r="E17" s="163">
        <v>5.9215861315468658E-3</v>
      </c>
      <c r="F17" s="163">
        <v>3.5994743866319919E-4</v>
      </c>
      <c r="G17" s="163">
        <v>1.8778397760909352E-4</v>
      </c>
      <c r="H17" s="210">
        <v>1.828139797016619E-4</v>
      </c>
      <c r="I17" s="3"/>
      <c r="J17" s="3"/>
      <c r="K17" s="3"/>
      <c r="L17" s="3"/>
      <c r="M17" s="3"/>
    </row>
    <row r="18" spans="2:13">
      <c r="B18" s="3">
        <v>9</v>
      </c>
      <c r="C18" s="58" t="s">
        <v>94</v>
      </c>
      <c r="D18" s="163">
        <v>0.41271038398073762</v>
      </c>
      <c r="E18" s="163">
        <v>0.39579082556722661</v>
      </c>
      <c r="F18" s="163">
        <v>0.4935840437980869</v>
      </c>
      <c r="G18" s="163">
        <v>0.52332205086662065</v>
      </c>
      <c r="H18" s="210">
        <v>0.54383817746700913</v>
      </c>
      <c r="I18" s="3"/>
      <c r="J18" s="3"/>
      <c r="K18" s="3"/>
      <c r="L18" s="3"/>
      <c r="M18" s="3"/>
    </row>
    <row r="19" spans="2:13">
      <c r="B19" s="3">
        <v>10</v>
      </c>
      <c r="C19" s="58" t="s">
        <v>95</v>
      </c>
      <c r="D19" s="163">
        <v>2.2736681521226859E-3</v>
      </c>
      <c r="E19" s="163">
        <v>1.2539753744146252E-2</v>
      </c>
      <c r="F19" s="163">
        <v>2.359718263581619E-3</v>
      </c>
      <c r="G19" s="163">
        <v>1.8082329352485517E-3</v>
      </c>
      <c r="H19" s="210">
        <v>2.0886928875511815E-3</v>
      </c>
      <c r="I19" s="3"/>
      <c r="J19" s="3"/>
      <c r="K19" s="3"/>
      <c r="L19" s="3"/>
      <c r="M19" s="3"/>
    </row>
    <row r="20" spans="2:13">
      <c r="B20" s="3">
        <v>11</v>
      </c>
      <c r="C20" s="58" t="s">
        <v>96</v>
      </c>
      <c r="D20" s="163">
        <v>0</v>
      </c>
      <c r="E20" s="163">
        <v>0</v>
      </c>
      <c r="F20" s="163">
        <v>0</v>
      </c>
      <c r="G20" s="163">
        <v>5.7206025329730434E-5</v>
      </c>
      <c r="H20" s="210">
        <v>9.3132734847947475E-6</v>
      </c>
      <c r="I20" s="3"/>
      <c r="J20" s="3"/>
      <c r="K20" s="3"/>
      <c r="L20" s="3"/>
      <c r="M20" s="3"/>
    </row>
    <row r="21" spans="2:13">
      <c r="B21" s="3">
        <v>12</v>
      </c>
      <c r="C21" s="58" t="s">
        <v>97</v>
      </c>
      <c r="D21" s="163">
        <v>0</v>
      </c>
      <c r="E21" s="163">
        <v>0</v>
      </c>
      <c r="F21" s="163">
        <v>0</v>
      </c>
      <c r="G21" s="163">
        <v>0</v>
      </c>
      <c r="H21" s="210">
        <v>0</v>
      </c>
      <c r="I21" s="3"/>
      <c r="J21" s="3"/>
      <c r="K21" s="3"/>
      <c r="L21" s="3"/>
      <c r="M21" s="3"/>
    </row>
    <row r="22" spans="2:13">
      <c r="B22" s="3">
        <v>13</v>
      </c>
      <c r="C22" s="58" t="s">
        <v>98</v>
      </c>
      <c r="D22" s="163">
        <v>7.4687307968397156E-4</v>
      </c>
      <c r="E22" s="163">
        <v>1.2880471894537871E-3</v>
      </c>
      <c r="F22" s="163">
        <v>3.3046742983002832E-4</v>
      </c>
      <c r="G22" s="163">
        <v>1.2037507262643023E-3</v>
      </c>
      <c r="H22" s="210">
        <v>2.5450171094453843E-3</v>
      </c>
      <c r="I22" s="3"/>
      <c r="J22" s="3"/>
      <c r="K22" s="3"/>
      <c r="L22" s="3"/>
      <c r="M22" s="3"/>
    </row>
    <row r="23" spans="2:13">
      <c r="B23" s="3">
        <v>14</v>
      </c>
      <c r="C23" s="58" t="s">
        <v>99</v>
      </c>
      <c r="D23" s="163">
        <v>6.7087274116310922E-2</v>
      </c>
      <c r="E23" s="163">
        <v>4.3392283568940973E-3</v>
      </c>
      <c r="F23" s="163">
        <v>1.0543920779313685E-2</v>
      </c>
      <c r="G23" s="163">
        <v>3.220996891936034E-3</v>
      </c>
      <c r="H23" s="210">
        <v>2.3033845690072561E-3</v>
      </c>
      <c r="I23" s="3"/>
      <c r="J23" s="3"/>
      <c r="K23" s="3"/>
      <c r="L23" s="3"/>
      <c r="M23" s="3"/>
    </row>
    <row r="24" spans="2:13">
      <c r="B24" s="3">
        <v>15</v>
      </c>
      <c r="C24" s="58" t="s">
        <v>100</v>
      </c>
      <c r="D24" s="163">
        <v>0</v>
      </c>
      <c r="E24" s="163">
        <v>0</v>
      </c>
      <c r="F24" s="163">
        <v>0</v>
      </c>
      <c r="G24" s="163">
        <v>0</v>
      </c>
      <c r="H24" s="210">
        <v>0</v>
      </c>
      <c r="I24" s="3"/>
      <c r="J24" s="3"/>
      <c r="K24" s="3"/>
      <c r="L24" s="3"/>
      <c r="M24" s="3"/>
    </row>
    <row r="25" spans="2:13">
      <c r="B25" s="3">
        <v>16</v>
      </c>
      <c r="C25" s="57" t="s">
        <v>101</v>
      </c>
      <c r="D25" s="163">
        <v>0</v>
      </c>
      <c r="E25" s="163">
        <v>0</v>
      </c>
      <c r="F25" s="163">
        <v>0</v>
      </c>
      <c r="G25" s="163">
        <v>0</v>
      </c>
      <c r="H25" s="210">
        <v>0</v>
      </c>
      <c r="I25" s="3"/>
      <c r="J25" s="3"/>
      <c r="K25" s="3"/>
      <c r="L25" s="3"/>
      <c r="M25" s="3"/>
    </row>
    <row r="26" spans="2:13">
      <c r="B26" s="3">
        <v>17</v>
      </c>
      <c r="C26" s="57" t="s">
        <v>102</v>
      </c>
      <c r="D26" s="163">
        <v>0</v>
      </c>
      <c r="E26" s="163">
        <v>0</v>
      </c>
      <c r="F26" s="163">
        <v>0</v>
      </c>
      <c r="G26" s="163">
        <v>0</v>
      </c>
      <c r="H26" s="210">
        <v>0</v>
      </c>
      <c r="I26" s="3"/>
      <c r="J26" s="3"/>
      <c r="K26" s="3"/>
      <c r="L26" s="3"/>
      <c r="M26" s="3"/>
    </row>
    <row r="27" spans="2:13">
      <c r="B27" s="3">
        <v>18</v>
      </c>
      <c r="C27" s="58" t="s">
        <v>103</v>
      </c>
      <c r="D27" s="163">
        <v>6.2455892096104472E-3</v>
      </c>
      <c r="E27" s="163">
        <v>8.0156032907767634E-3</v>
      </c>
      <c r="F27" s="163">
        <v>5.1984653972590809E-3</v>
      </c>
      <c r="G27" s="163">
        <v>1.2737116108780444E-2</v>
      </c>
      <c r="H27" s="210">
        <v>1.2427917371747865E-2</v>
      </c>
      <c r="I27" s="3"/>
      <c r="J27" s="3"/>
      <c r="K27" s="3"/>
      <c r="L27" s="3"/>
      <c r="M27" s="3"/>
    </row>
    <row r="28" spans="2:13">
      <c r="B28" s="3">
        <v>19</v>
      </c>
      <c r="C28" s="58" t="s">
        <v>104</v>
      </c>
      <c r="D28" s="163">
        <v>0.30403309550212326</v>
      </c>
      <c r="E28" s="163">
        <v>0.29424109582480706</v>
      </c>
      <c r="F28" s="163">
        <v>0.27138753418372119</v>
      </c>
      <c r="G28" s="163">
        <v>0.2709348286820728</v>
      </c>
      <c r="H28" s="210">
        <v>0.362848304313096</v>
      </c>
      <c r="I28" s="3"/>
      <c r="J28" s="3"/>
      <c r="K28" s="3"/>
      <c r="L28" s="3"/>
      <c r="M28" s="3"/>
    </row>
    <row r="29" spans="2:13">
      <c r="B29" s="3">
        <v>20</v>
      </c>
      <c r="C29" s="58" t="s">
        <v>105</v>
      </c>
      <c r="D29" s="163">
        <v>0</v>
      </c>
      <c r="E29" s="163">
        <v>0</v>
      </c>
      <c r="F29" s="163">
        <v>0</v>
      </c>
      <c r="G29" s="163">
        <v>0</v>
      </c>
      <c r="H29" s="210">
        <v>0</v>
      </c>
      <c r="I29" s="3"/>
      <c r="J29" s="3"/>
      <c r="K29" s="3"/>
      <c r="L29" s="3"/>
      <c r="M29" s="3"/>
    </row>
    <row r="30" spans="2:13">
      <c r="B30" s="3">
        <v>21</v>
      </c>
      <c r="C30" s="58" t="s">
        <v>106</v>
      </c>
      <c r="D30" s="163">
        <v>0</v>
      </c>
      <c r="E30" s="163">
        <v>0</v>
      </c>
      <c r="F30" s="163">
        <v>0</v>
      </c>
      <c r="G30" s="163">
        <v>0</v>
      </c>
      <c r="H30" s="210">
        <v>0</v>
      </c>
      <c r="I30" s="3"/>
      <c r="J30" s="3"/>
      <c r="K30" s="3"/>
      <c r="L30" s="3"/>
      <c r="M30" s="3"/>
    </row>
    <row r="31" spans="2:13">
      <c r="B31" s="3">
        <v>22</v>
      </c>
      <c r="C31" s="58" t="s">
        <v>107</v>
      </c>
      <c r="D31" s="163">
        <v>2.1408145827399603E-4</v>
      </c>
      <c r="E31" s="163">
        <v>0</v>
      </c>
      <c r="F31" s="163">
        <v>1.978540168363714E-3</v>
      </c>
      <c r="G31" s="163">
        <v>0</v>
      </c>
      <c r="H31" s="210">
        <v>0</v>
      </c>
      <c r="I31" s="3"/>
      <c r="J31" s="3"/>
      <c r="K31" s="3"/>
      <c r="L31" s="3"/>
      <c r="M31" s="3"/>
    </row>
    <row r="32" spans="2:13">
      <c r="B32" s="3">
        <v>23</v>
      </c>
      <c r="C32" s="58" t="s">
        <v>108</v>
      </c>
      <c r="D32" s="163">
        <v>0</v>
      </c>
      <c r="E32" s="163">
        <v>0</v>
      </c>
      <c r="F32" s="163">
        <v>0</v>
      </c>
      <c r="G32" s="163">
        <v>0</v>
      </c>
      <c r="H32" s="210">
        <v>0</v>
      </c>
      <c r="I32" s="3"/>
      <c r="J32" s="3"/>
      <c r="K32" s="3"/>
      <c r="L32" s="3"/>
      <c r="M32" s="3"/>
    </row>
    <row r="33" spans="2:13">
      <c r="B33" s="3">
        <v>24</v>
      </c>
      <c r="C33" s="58" t="s">
        <v>109</v>
      </c>
      <c r="D33" s="163">
        <v>3.8272320298048373E-3</v>
      </c>
      <c r="E33" s="163">
        <v>7.8700518929349713E-4</v>
      </c>
      <c r="F33" s="163">
        <v>5.9528693156065803E-3</v>
      </c>
      <c r="G33" s="163">
        <v>6.3352356252653376E-3</v>
      </c>
      <c r="H33" s="210">
        <v>4.437877224043445E-3</v>
      </c>
      <c r="I33" s="3"/>
      <c r="J33" s="3"/>
      <c r="K33" s="3"/>
      <c r="L33" s="3"/>
      <c r="M33" s="3"/>
    </row>
    <row r="34" spans="2:13">
      <c r="B34" s="3">
        <v>25</v>
      </c>
      <c r="C34" s="58" t="s">
        <v>110</v>
      </c>
      <c r="D34" s="163">
        <v>0</v>
      </c>
      <c r="E34" s="163">
        <v>0</v>
      </c>
      <c r="F34" s="163">
        <v>0</v>
      </c>
      <c r="G34" s="163">
        <v>0</v>
      </c>
      <c r="H34" s="210">
        <v>0</v>
      </c>
      <c r="I34" s="3"/>
      <c r="J34" s="3"/>
      <c r="K34" s="3"/>
      <c r="L34" s="3"/>
      <c r="M34" s="3"/>
    </row>
    <row r="35" spans="2:13">
      <c r="B35" s="3">
        <v>26</v>
      </c>
      <c r="C35" s="58" t="s">
        <v>111</v>
      </c>
      <c r="D35" s="163">
        <v>0</v>
      </c>
      <c r="E35" s="163">
        <v>0</v>
      </c>
      <c r="F35" s="163">
        <v>0</v>
      </c>
      <c r="G35" s="163">
        <v>0</v>
      </c>
      <c r="H35" s="210">
        <v>0</v>
      </c>
      <c r="I35" s="3"/>
      <c r="J35" s="3"/>
      <c r="K35" s="3"/>
      <c r="L35" s="3"/>
      <c r="M35" s="3"/>
    </row>
    <row r="36" spans="2:13">
      <c r="B36" s="3">
        <v>27</v>
      </c>
      <c r="C36" s="58" t="s">
        <v>112</v>
      </c>
      <c r="D36" s="163">
        <v>7.550648784112056E-4</v>
      </c>
      <c r="E36" s="163">
        <v>4.5599597872599169E-4</v>
      </c>
      <c r="F36" s="163">
        <v>6.3676121541159732E-4</v>
      </c>
      <c r="G36" s="163">
        <v>1.0703358674187494E-3</v>
      </c>
      <c r="H36" s="210">
        <v>0</v>
      </c>
      <c r="I36" s="3"/>
      <c r="J36" s="3"/>
      <c r="K36" s="3"/>
      <c r="L36" s="3"/>
      <c r="M36" s="3"/>
    </row>
    <row r="37" spans="2:13">
      <c r="B37" s="3">
        <v>28</v>
      </c>
      <c r="C37" s="58" t="s">
        <v>83</v>
      </c>
      <c r="D37" s="163">
        <v>1.0583452417609695E-2</v>
      </c>
      <c r="E37" s="163">
        <v>2.1551891111122184E-2</v>
      </c>
      <c r="F37" s="163">
        <v>2.0884796773562045E-2</v>
      </c>
      <c r="G37" s="163">
        <v>2.1330710097674333E-2</v>
      </c>
      <c r="H37" s="210">
        <v>0.13536739427508038</v>
      </c>
      <c r="I37" s="163">
        <v>1.252004046052636</v>
      </c>
      <c r="J37" s="163">
        <v>1.3133522443092152</v>
      </c>
      <c r="K37" s="163">
        <v>1.3777065042803667</v>
      </c>
      <c r="L37" s="163">
        <v>1.4452141229901045</v>
      </c>
      <c r="M37" s="163">
        <v>1.5160296150166195</v>
      </c>
    </row>
    <row r="38" spans="2:13" ht="15">
      <c r="B38" s="3">
        <v>29</v>
      </c>
      <c r="C38" s="59" t="s">
        <v>113</v>
      </c>
      <c r="D38" s="136">
        <f>SUM(D10:D37)</f>
        <v>0.99302268262241911</v>
      </c>
      <c r="E38" s="136">
        <f t="shared" ref="E38:M38" si="0">SUM(E10:E37)</f>
        <v>0.95471544979436285</v>
      </c>
      <c r="F38" s="136">
        <f t="shared" si="0"/>
        <v>1.0883401769568066</v>
      </c>
      <c r="G38" s="136">
        <f t="shared" si="0"/>
        <v>1.0444763688854724</v>
      </c>
      <c r="H38" s="136">
        <f t="shared" si="0"/>
        <v>1.3425660427349742</v>
      </c>
      <c r="I38" s="136">
        <f t="shared" si="0"/>
        <v>1.252004046052636</v>
      </c>
      <c r="J38" s="136">
        <f t="shared" si="0"/>
        <v>1.3133522443092152</v>
      </c>
      <c r="K38" s="136">
        <f t="shared" si="0"/>
        <v>1.3777065042803667</v>
      </c>
      <c r="L38" s="136">
        <f t="shared" si="0"/>
        <v>1.4452141229901045</v>
      </c>
      <c r="M38" s="136">
        <f t="shared" si="0"/>
        <v>1.5160296150166195</v>
      </c>
    </row>
    <row r="39" spans="2:13">
      <c r="B39" s="3">
        <v>30</v>
      </c>
      <c r="C39" s="47" t="s">
        <v>17</v>
      </c>
      <c r="D39" s="163"/>
      <c r="E39" s="163"/>
      <c r="F39" s="163"/>
      <c r="G39" s="163"/>
      <c r="H39" s="163"/>
      <c r="I39" s="163"/>
      <c r="J39" s="163"/>
      <c r="K39" s="163"/>
      <c r="L39" s="163"/>
      <c r="M39" s="163"/>
    </row>
    <row r="40" spans="2:13" ht="15">
      <c r="B40" s="3">
        <v>31</v>
      </c>
      <c r="C40" s="25" t="s">
        <v>114</v>
      </c>
      <c r="D40" s="136">
        <f>D38-D39</f>
        <v>0.99302268262241911</v>
      </c>
      <c r="E40" s="136">
        <f t="shared" ref="E40:M40" si="1">E38-E39</f>
        <v>0.95471544979436285</v>
      </c>
      <c r="F40" s="136">
        <f t="shared" si="1"/>
        <v>1.0883401769568066</v>
      </c>
      <c r="G40" s="136">
        <f t="shared" si="1"/>
        <v>1.0444763688854724</v>
      </c>
      <c r="H40" s="136">
        <f t="shared" si="1"/>
        <v>1.3425660427349742</v>
      </c>
      <c r="I40" s="136">
        <f t="shared" si="1"/>
        <v>1.252004046052636</v>
      </c>
      <c r="J40" s="136">
        <f t="shared" si="1"/>
        <v>1.3133522443092152</v>
      </c>
      <c r="K40" s="136">
        <f t="shared" si="1"/>
        <v>1.3777065042803667</v>
      </c>
      <c r="L40" s="136">
        <f t="shared" si="1"/>
        <v>1.4452141229901045</v>
      </c>
      <c r="M40" s="136">
        <f t="shared" si="1"/>
        <v>1.5160296150166195</v>
      </c>
    </row>
  </sheetData>
  <mergeCells count="6">
    <mergeCell ref="B7:B9"/>
    <mergeCell ref="C7:C9"/>
    <mergeCell ref="I7:M7"/>
    <mergeCell ref="B2:M2"/>
    <mergeCell ref="B3:M3"/>
    <mergeCell ref="B4:M4"/>
  </mergeCells>
  <pageMargins left="0.75" right="0.75" top="1" bottom="1" header="0.5" footer="0.5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22"/>
  <sheetViews>
    <sheetView showGridLines="0" zoomScale="80" zoomScaleNormal="80" zoomScaleSheetLayoutView="90" workbookViewId="0">
      <selection activeCell="I26" sqref="I26"/>
    </sheetView>
  </sheetViews>
  <sheetFormatPr defaultColWidth="9.28515625" defaultRowHeight="14.25"/>
  <cols>
    <col min="1" max="1" width="4.5703125" style="19" customWidth="1"/>
    <col min="2" max="2" width="8.7109375" style="60" customWidth="1"/>
    <col min="3" max="3" width="45.7109375" style="19" customWidth="1"/>
    <col min="4" max="8" width="15.7109375" style="19" customWidth="1"/>
    <col min="9" max="9" width="12.28515625" style="19" customWidth="1"/>
    <col min="10" max="10" width="12.28515625" style="19" bestFit="1" customWidth="1"/>
    <col min="11" max="11" width="13" style="19" customWidth="1"/>
    <col min="12" max="12" width="13.42578125" style="19" customWidth="1"/>
    <col min="13" max="13" width="12.7109375" style="19" customWidth="1"/>
    <col min="14" max="16384" width="9.28515625" style="19"/>
  </cols>
  <sheetData>
    <row r="2" spans="2:13">
      <c r="C2" s="5"/>
      <c r="D2" s="5"/>
      <c r="E2" s="5"/>
      <c r="F2" s="5"/>
      <c r="G2" s="5"/>
      <c r="H2" s="5"/>
      <c r="I2" s="5"/>
      <c r="J2" s="5"/>
    </row>
    <row r="3" spans="2:13" ht="15">
      <c r="B3" s="245" t="s">
        <v>397</v>
      </c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</row>
    <row r="4" spans="2:13" s="4" customFormat="1" ht="15">
      <c r="B4" s="245" t="s">
        <v>371</v>
      </c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</row>
    <row r="5" spans="2:13" ht="15">
      <c r="B5" s="246" t="s">
        <v>405</v>
      </c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</row>
    <row r="6" spans="2:13" ht="15">
      <c r="M6" s="32" t="s">
        <v>4</v>
      </c>
    </row>
    <row r="7" spans="2:13" ht="12.75" customHeight="1">
      <c r="B7" s="240" t="s">
        <v>186</v>
      </c>
      <c r="C7" s="238" t="s">
        <v>18</v>
      </c>
      <c r="D7" s="21" t="s">
        <v>382</v>
      </c>
      <c r="E7" s="21" t="s">
        <v>383</v>
      </c>
      <c r="F7" s="21" t="s">
        <v>384</v>
      </c>
      <c r="G7" s="21" t="s">
        <v>372</v>
      </c>
      <c r="H7" s="21" t="s">
        <v>375</v>
      </c>
      <c r="I7" s="252" t="s">
        <v>225</v>
      </c>
      <c r="J7" s="252"/>
      <c r="K7" s="252"/>
      <c r="L7" s="252"/>
      <c r="M7" s="252"/>
    </row>
    <row r="8" spans="2:13" ht="15">
      <c r="B8" s="240"/>
      <c r="C8" s="238"/>
      <c r="D8" s="21" t="s">
        <v>245</v>
      </c>
      <c r="E8" s="21" t="s">
        <v>245</v>
      </c>
      <c r="F8" s="21" t="s">
        <v>245</v>
      </c>
      <c r="G8" s="21" t="s">
        <v>245</v>
      </c>
      <c r="H8" s="21" t="s">
        <v>244</v>
      </c>
      <c r="I8" s="21" t="s">
        <v>376</v>
      </c>
      <c r="J8" s="21" t="s">
        <v>377</v>
      </c>
      <c r="K8" s="21" t="s">
        <v>378</v>
      </c>
      <c r="L8" s="21" t="s">
        <v>379</v>
      </c>
      <c r="M8" s="21" t="s">
        <v>380</v>
      </c>
    </row>
    <row r="9" spans="2:13" ht="15">
      <c r="B9" s="240"/>
      <c r="C9" s="238"/>
      <c r="D9" s="21" t="s">
        <v>12</v>
      </c>
      <c r="E9" s="21" t="s">
        <v>12</v>
      </c>
      <c r="F9" s="21" t="s">
        <v>12</v>
      </c>
      <c r="G9" s="21" t="s">
        <v>12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2">
        <v>1</v>
      </c>
      <c r="C10" s="58" t="s">
        <v>115</v>
      </c>
      <c r="D10" s="163">
        <v>0.36530816910694686</v>
      </c>
      <c r="E10" s="163">
        <v>0.72741688555177575</v>
      </c>
      <c r="F10" s="163">
        <v>0.76346182906780424</v>
      </c>
      <c r="G10" s="163">
        <v>0.62220172682549235</v>
      </c>
      <c r="H10" s="210">
        <v>0.77644460171068375</v>
      </c>
      <c r="I10" s="3"/>
      <c r="J10" s="3"/>
      <c r="K10" s="3"/>
      <c r="L10" s="3"/>
      <c r="M10" s="3"/>
    </row>
    <row r="11" spans="2:13">
      <c r="B11" s="2">
        <v>2</v>
      </c>
      <c r="C11" s="58" t="s">
        <v>116</v>
      </c>
      <c r="D11" s="163">
        <v>0</v>
      </c>
      <c r="E11" s="163">
        <v>2.1119927055659383E-2</v>
      </c>
      <c r="F11" s="163">
        <v>3.8307448471589295E-3</v>
      </c>
      <c r="G11" s="163">
        <v>7.8655507076433556E-4</v>
      </c>
      <c r="H11" s="210">
        <v>0</v>
      </c>
      <c r="I11" s="3"/>
      <c r="J11" s="3"/>
      <c r="K11" s="3"/>
      <c r="L11" s="3"/>
      <c r="M11" s="3"/>
    </row>
    <row r="12" spans="2:13">
      <c r="B12" s="2">
        <v>3</v>
      </c>
      <c r="C12" s="58" t="s">
        <v>117</v>
      </c>
      <c r="D12" s="163">
        <v>0.95009820507112652</v>
      </c>
      <c r="E12" s="163">
        <v>0.43276184440733395</v>
      </c>
      <c r="F12" s="163">
        <v>0.64176723617423459</v>
      </c>
      <c r="G12" s="163">
        <v>0.37452147191403656</v>
      </c>
      <c r="H12" s="210">
        <v>0.67187276607668334</v>
      </c>
      <c r="I12" s="3"/>
      <c r="J12" s="3"/>
      <c r="K12" s="3"/>
      <c r="L12" s="3"/>
      <c r="M12" s="3"/>
    </row>
    <row r="13" spans="2:13">
      <c r="B13" s="2">
        <v>4</v>
      </c>
      <c r="C13" s="58" t="s">
        <v>118</v>
      </c>
      <c r="D13" s="163">
        <v>0</v>
      </c>
      <c r="E13" s="163">
        <v>0</v>
      </c>
      <c r="F13" s="163">
        <v>0</v>
      </c>
      <c r="G13" s="163">
        <v>0</v>
      </c>
      <c r="H13" s="210">
        <v>4.0806678242793798E-2</v>
      </c>
      <c r="I13" s="3"/>
      <c r="J13" s="3"/>
      <c r="K13" s="3"/>
      <c r="L13" s="3"/>
      <c r="M13" s="3"/>
    </row>
    <row r="14" spans="2:13">
      <c r="B14" s="2">
        <v>5</v>
      </c>
      <c r="C14" s="58" t="s">
        <v>119</v>
      </c>
      <c r="D14" s="163">
        <v>5.0237329637523878E-2</v>
      </c>
      <c r="E14" s="163">
        <v>0.10805699573315936</v>
      </c>
      <c r="F14" s="163">
        <v>0.198481541046683</v>
      </c>
      <c r="G14" s="163">
        <v>9.1056890594455958E-2</v>
      </c>
      <c r="H14" s="210">
        <v>0.13651447204556233</v>
      </c>
      <c r="I14" s="3"/>
      <c r="J14" s="3"/>
      <c r="K14" s="3"/>
      <c r="L14" s="3"/>
      <c r="M14" s="3"/>
    </row>
    <row r="15" spans="2:13">
      <c r="B15" s="2">
        <v>6</v>
      </c>
      <c r="C15" s="58" t="s">
        <v>120</v>
      </c>
      <c r="D15" s="163">
        <v>5.8748635182284247E-3</v>
      </c>
      <c r="E15" s="163">
        <v>0</v>
      </c>
      <c r="F15" s="163">
        <v>6.6900455710623751E-4</v>
      </c>
      <c r="G15" s="163">
        <v>5.2091745477072056E-3</v>
      </c>
      <c r="H15" s="210">
        <v>1.0886894465295146E-4</v>
      </c>
      <c r="I15" s="3"/>
      <c r="J15" s="3"/>
      <c r="K15" s="3"/>
      <c r="L15" s="3"/>
      <c r="M15" s="3"/>
    </row>
    <row r="16" spans="2:13">
      <c r="B16" s="2">
        <v>7</v>
      </c>
      <c r="C16" s="58" t="s">
        <v>121</v>
      </c>
      <c r="D16" s="163">
        <v>1.0357031828716748E-5</v>
      </c>
      <c r="E16" s="163">
        <v>4.8441426990889761E-5</v>
      </c>
      <c r="F16" s="163">
        <v>0</v>
      </c>
      <c r="G16" s="163">
        <v>0</v>
      </c>
      <c r="H16" s="210">
        <v>0</v>
      </c>
      <c r="I16" s="3"/>
      <c r="J16" s="3"/>
      <c r="K16" s="3"/>
      <c r="L16" s="3"/>
      <c r="M16" s="3"/>
    </row>
    <row r="17" spans="2:13">
      <c r="B17" s="2">
        <v>8</v>
      </c>
      <c r="C17" s="58" t="s">
        <v>122</v>
      </c>
      <c r="D17" s="163">
        <v>3.4860869538304279E-2</v>
      </c>
      <c r="E17" s="163">
        <v>4.9850694018559495E-2</v>
      </c>
      <c r="F17" s="163">
        <v>3.8541372020737832E-2</v>
      </c>
      <c r="G17" s="163">
        <v>4.1536050861084452E-2</v>
      </c>
      <c r="H17" s="210">
        <v>4.5426303917533509E-2</v>
      </c>
      <c r="I17" s="163">
        <v>1.6716538280238769</v>
      </c>
      <c r="J17" s="163">
        <v>2.0000382452354994</v>
      </c>
      <c r="K17" s="163">
        <v>2.0428173425925045</v>
      </c>
      <c r="L17" s="163">
        <v>2.0428173425925045</v>
      </c>
      <c r="M17" s="163">
        <v>2.0428173425925045</v>
      </c>
    </row>
    <row r="18" spans="2:13" ht="15">
      <c r="B18" s="2">
        <v>9</v>
      </c>
      <c r="C18" s="59" t="s">
        <v>123</v>
      </c>
      <c r="D18" s="136">
        <f>SUM(D10:D17)</f>
        <v>1.4063897939039585</v>
      </c>
      <c r="E18" s="136">
        <f t="shared" ref="E18:M18" si="0">SUM(E10:E17)</f>
        <v>1.3392547881934787</v>
      </c>
      <c r="F18" s="136">
        <f t="shared" si="0"/>
        <v>1.6467517277137249</v>
      </c>
      <c r="G18" s="136">
        <f t="shared" si="0"/>
        <v>1.1353118698135409</v>
      </c>
      <c r="H18" s="136">
        <f t="shared" si="0"/>
        <v>1.6711736909379096</v>
      </c>
      <c r="I18" s="136">
        <f t="shared" si="0"/>
        <v>1.6716538280238769</v>
      </c>
      <c r="J18" s="136">
        <f t="shared" si="0"/>
        <v>2.0000382452354994</v>
      </c>
      <c r="K18" s="136">
        <f t="shared" si="0"/>
        <v>2.0428173425925045</v>
      </c>
      <c r="L18" s="136">
        <f t="shared" si="0"/>
        <v>2.0428173425925045</v>
      </c>
      <c r="M18" s="136">
        <f t="shared" si="0"/>
        <v>2.0428173425925045</v>
      </c>
    </row>
    <row r="19" spans="2:13">
      <c r="B19" s="2"/>
      <c r="C19" s="57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2:13" ht="15">
      <c r="B20" s="2">
        <v>10</v>
      </c>
      <c r="C20" s="61" t="s">
        <v>124</v>
      </c>
      <c r="D20" s="163">
        <v>120.54</v>
      </c>
      <c r="E20" s="3">
        <v>120.74</v>
      </c>
      <c r="F20" s="3">
        <v>121.31</v>
      </c>
      <c r="G20" s="136">
        <f>'F4'!F21</f>
        <v>121.79</v>
      </c>
      <c r="H20" s="136">
        <f>'F4'!F40</f>
        <v>121.87841964100002</v>
      </c>
      <c r="I20" s="136">
        <f>'F4'!F49</f>
        <v>121.91841964100003</v>
      </c>
      <c r="J20" s="136">
        <f>'F4'!F58</f>
        <v>145.86841964100003</v>
      </c>
      <c r="K20" s="136">
        <f>'F4'!F67</f>
        <v>148.98841964100004</v>
      </c>
      <c r="L20" s="136">
        <f>'F4'!F76</f>
        <v>148.98841964100004</v>
      </c>
      <c r="M20" s="136">
        <f>'F4'!F85</f>
        <v>148.98841964100004</v>
      </c>
    </row>
    <row r="21" spans="2:13" ht="28.5">
      <c r="B21" s="2">
        <v>11</v>
      </c>
      <c r="C21" s="61" t="s">
        <v>125</v>
      </c>
      <c r="D21" s="164">
        <f>IFERROR(D18/D20,0)</f>
        <v>1.1667411597013094E-2</v>
      </c>
      <c r="E21" s="164">
        <f t="shared" ref="E21:M21" si="1">IFERROR(E18/E20,0)</f>
        <v>1.1092055558998499E-2</v>
      </c>
      <c r="F21" s="164">
        <f t="shared" si="1"/>
        <v>1.3574740150966325E-2</v>
      </c>
      <c r="G21" s="164">
        <f t="shared" si="1"/>
        <v>9.3218808589665882E-3</v>
      </c>
      <c r="H21" s="164">
        <f t="shared" si="1"/>
        <v>1.3711809653098957E-2</v>
      </c>
      <c r="I21" s="164">
        <f t="shared" si="1"/>
        <v>1.3711249152886126E-2</v>
      </c>
      <c r="J21" s="164">
        <f t="shared" si="1"/>
        <v>1.3711249152886126E-2</v>
      </c>
      <c r="K21" s="164">
        <f t="shared" si="1"/>
        <v>1.3711249152886126E-2</v>
      </c>
      <c r="L21" s="164">
        <f t="shared" si="1"/>
        <v>1.3711249152886126E-2</v>
      </c>
      <c r="M21" s="164">
        <f t="shared" si="1"/>
        <v>1.3711249152886126E-2</v>
      </c>
    </row>
    <row r="22" spans="2:13">
      <c r="B22" s="2"/>
      <c r="C22" s="57"/>
      <c r="D22" s="3"/>
      <c r="E22" s="3"/>
      <c r="F22" s="3"/>
      <c r="G22" s="3"/>
      <c r="H22" s="3"/>
      <c r="I22" s="3"/>
      <c r="J22" s="3"/>
      <c r="K22" s="3"/>
      <c r="L22" s="3"/>
      <c r="M22" s="3"/>
    </row>
  </sheetData>
  <mergeCells count="6">
    <mergeCell ref="B7:B9"/>
    <mergeCell ref="C7:C9"/>
    <mergeCell ref="I7:M7"/>
    <mergeCell ref="B3:M3"/>
    <mergeCell ref="B4:M4"/>
    <mergeCell ref="B5:M5"/>
  </mergeCells>
  <pageMargins left="0.75" right="0.75" top="1" bottom="1" header="0.5" footer="0.5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16"/>
  <sheetViews>
    <sheetView showGridLines="0" zoomScale="90" zoomScaleNormal="90" zoomScaleSheetLayoutView="90" workbookViewId="0">
      <selection activeCell="I12" sqref="I12"/>
    </sheetView>
  </sheetViews>
  <sheetFormatPr defaultColWidth="9.28515625" defaultRowHeight="14.25"/>
  <cols>
    <col min="1" max="1" width="4.28515625" style="4" customWidth="1"/>
    <col min="2" max="2" width="6.28515625" style="4" customWidth="1"/>
    <col min="3" max="3" width="34.5703125" style="4" customWidth="1"/>
    <col min="4" max="4" width="13.7109375" style="4" bestFit="1" customWidth="1"/>
    <col min="5" max="5" width="12.5703125" style="4" bestFit="1" customWidth="1"/>
    <col min="6" max="6" width="13.42578125" style="4" bestFit="1" customWidth="1"/>
    <col min="7" max="7" width="13.7109375" style="4" bestFit="1" customWidth="1"/>
    <col min="8" max="8" width="12.5703125" style="4" customWidth="1"/>
    <col min="9" max="9" width="11.7109375" style="4" bestFit="1" customWidth="1"/>
    <col min="10" max="10" width="13.7109375" style="4" bestFit="1" customWidth="1"/>
    <col min="11" max="16" width="11.7109375" style="4" bestFit="1" customWidth="1"/>
    <col min="17" max="16384" width="9.28515625" style="4"/>
  </cols>
  <sheetData>
    <row r="1" spans="2:13" ht="15">
      <c r="B1" s="62"/>
    </row>
    <row r="2" spans="2:13" ht="15">
      <c r="B2" s="245" t="s">
        <v>397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2:13" ht="15">
      <c r="B3" s="245" t="s">
        <v>371</v>
      </c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</row>
    <row r="4" spans="2:13" ht="15">
      <c r="B4" s="246" t="s">
        <v>406</v>
      </c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</row>
    <row r="5" spans="2:13" ht="15">
      <c r="B5" s="42"/>
      <c r="C5" s="63"/>
      <c r="D5" s="63"/>
      <c r="E5" s="63"/>
      <c r="F5" s="63"/>
      <c r="G5" s="63"/>
      <c r="H5" s="63"/>
      <c r="I5" s="63"/>
      <c r="J5" s="63"/>
    </row>
    <row r="6" spans="2:13" ht="15">
      <c r="M6" s="32" t="s">
        <v>4</v>
      </c>
    </row>
    <row r="7" spans="2:13" s="19" customFormat="1" ht="15" customHeight="1">
      <c r="B7" s="235" t="s">
        <v>186</v>
      </c>
      <c r="C7" s="238" t="s">
        <v>18</v>
      </c>
      <c r="D7" s="242" t="s">
        <v>372</v>
      </c>
      <c r="E7" s="243"/>
      <c r="F7" s="244"/>
      <c r="G7" s="242" t="s">
        <v>375</v>
      </c>
      <c r="H7" s="243"/>
      <c r="I7" s="252" t="s">
        <v>225</v>
      </c>
      <c r="J7" s="252"/>
      <c r="K7" s="252"/>
      <c r="L7" s="252"/>
      <c r="M7" s="252"/>
    </row>
    <row r="8" spans="2:13" s="19" customFormat="1" ht="45">
      <c r="B8" s="236"/>
      <c r="C8" s="238"/>
      <c r="D8" s="21" t="s">
        <v>328</v>
      </c>
      <c r="E8" s="21" t="s">
        <v>245</v>
      </c>
      <c r="F8" s="21" t="s">
        <v>201</v>
      </c>
      <c r="G8" s="21" t="s">
        <v>328</v>
      </c>
      <c r="H8" s="21" t="s">
        <v>244</v>
      </c>
      <c r="I8" s="21" t="s">
        <v>376</v>
      </c>
      <c r="J8" s="21" t="s">
        <v>377</v>
      </c>
      <c r="K8" s="21" t="s">
        <v>378</v>
      </c>
      <c r="L8" s="21" t="s">
        <v>379</v>
      </c>
      <c r="M8" s="21" t="s">
        <v>380</v>
      </c>
    </row>
    <row r="9" spans="2:13" s="19" customFormat="1" ht="15">
      <c r="B9" s="237"/>
      <c r="C9" s="239"/>
      <c r="D9" s="21" t="s">
        <v>10</v>
      </c>
      <c r="E9" s="21" t="s">
        <v>12</v>
      </c>
      <c r="F9" s="21" t="s">
        <v>234</v>
      </c>
      <c r="G9" s="21" t="s">
        <v>10</v>
      </c>
      <c r="H9" s="21" t="s">
        <v>5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 s="5" customFormat="1">
      <c r="B10" s="66">
        <v>1</v>
      </c>
      <c r="C10" s="33" t="s">
        <v>249</v>
      </c>
      <c r="D10" s="2"/>
      <c r="E10" s="33"/>
      <c r="F10" s="33"/>
      <c r="G10" s="133"/>
      <c r="H10" s="133">
        <f>E13</f>
        <v>9.6886649999999991E-2</v>
      </c>
      <c r="I10" s="133">
        <f>H13</f>
        <v>9.6886649999999991E-2</v>
      </c>
      <c r="J10" s="133">
        <f>I13</f>
        <v>0</v>
      </c>
      <c r="K10" s="133">
        <f>J13</f>
        <v>0</v>
      </c>
      <c r="L10" s="133">
        <f>K13</f>
        <v>0</v>
      </c>
      <c r="M10" s="133">
        <f>L13</f>
        <v>0</v>
      </c>
    </row>
    <row r="11" spans="2:13" s="5" customFormat="1">
      <c r="B11" s="26">
        <v>2</v>
      </c>
      <c r="C11" s="33" t="s">
        <v>279</v>
      </c>
      <c r="D11" s="2"/>
      <c r="E11" s="131">
        <f>F3.1!G14</f>
        <v>0.18688664999999999</v>
      </c>
      <c r="F11" s="131">
        <f>E11</f>
        <v>0.18688664999999999</v>
      </c>
      <c r="G11" s="27"/>
      <c r="H11" s="133">
        <f>F3.1!G20</f>
        <v>0.04</v>
      </c>
      <c r="I11" s="133">
        <f>F3.1!G26</f>
        <v>23.95</v>
      </c>
      <c r="J11" s="133">
        <f>F3.1!G32</f>
        <v>3.12</v>
      </c>
      <c r="K11" s="133">
        <f>F3.1!G38</f>
        <v>0</v>
      </c>
      <c r="L11" s="133">
        <f>F3.1!G44</f>
        <v>0</v>
      </c>
      <c r="M11" s="133">
        <f>F3.1!G50</f>
        <v>0</v>
      </c>
    </row>
    <row r="12" spans="2:13" s="5" customFormat="1" ht="15">
      <c r="B12" s="26">
        <v>3</v>
      </c>
      <c r="C12" s="35" t="s">
        <v>216</v>
      </c>
      <c r="D12" s="161"/>
      <c r="E12" s="170">
        <f>F3.1!H14</f>
        <v>0.09</v>
      </c>
      <c r="F12" s="170">
        <f>E12</f>
        <v>0.09</v>
      </c>
      <c r="G12" s="161"/>
      <c r="H12" s="172">
        <f>F3.1!H20</f>
        <v>0.04</v>
      </c>
      <c r="I12" s="172">
        <f>F3.1!H26</f>
        <v>23.95</v>
      </c>
      <c r="J12" s="172">
        <f>F3.1!H32</f>
        <v>3.12</v>
      </c>
      <c r="K12" s="172">
        <f>F3.1!H38</f>
        <v>0</v>
      </c>
      <c r="L12" s="172">
        <f>F3.1!H44</f>
        <v>0</v>
      </c>
      <c r="M12" s="172">
        <f>F3.1!H50</f>
        <v>0</v>
      </c>
    </row>
    <row r="13" spans="2:13" s="5" customFormat="1" ht="15">
      <c r="B13" s="26">
        <v>4</v>
      </c>
      <c r="C13" s="33" t="s">
        <v>250</v>
      </c>
      <c r="D13" s="162">
        <f>D10+D11-D12</f>
        <v>0</v>
      </c>
      <c r="E13" s="162">
        <f>E10+E11-E12</f>
        <v>9.6886649999999991E-2</v>
      </c>
      <c r="F13" s="162">
        <f t="shared" ref="F13:M13" si="0">F10+F11-F12</f>
        <v>9.6886649999999991E-2</v>
      </c>
      <c r="G13" s="162">
        <f t="shared" si="0"/>
        <v>0</v>
      </c>
      <c r="H13" s="162">
        <f t="shared" si="0"/>
        <v>9.6886649999999991E-2</v>
      </c>
      <c r="I13" s="162">
        <v>0</v>
      </c>
      <c r="J13" s="162">
        <f t="shared" si="0"/>
        <v>0</v>
      </c>
      <c r="K13" s="162">
        <f t="shared" si="0"/>
        <v>0</v>
      </c>
      <c r="L13" s="162">
        <f t="shared" si="0"/>
        <v>0</v>
      </c>
      <c r="M13" s="162">
        <f t="shared" si="0"/>
        <v>0</v>
      </c>
    </row>
    <row r="14" spans="2:13" s="39" customFormat="1" ht="15">
      <c r="B14" s="67"/>
      <c r="C14" s="54"/>
      <c r="D14" s="64"/>
      <c r="E14" s="64"/>
      <c r="F14" s="64"/>
      <c r="G14" s="65"/>
      <c r="H14" s="30"/>
      <c r="I14" s="30"/>
      <c r="J14" s="30"/>
      <c r="K14" s="30"/>
    </row>
    <row r="16" spans="2:13">
      <c r="B16" s="68"/>
    </row>
  </sheetData>
  <mergeCells count="8">
    <mergeCell ref="B2:M2"/>
    <mergeCell ref="B3:M3"/>
    <mergeCell ref="B4:M4"/>
    <mergeCell ref="B7:B9"/>
    <mergeCell ref="C7:C9"/>
    <mergeCell ref="D7:F7"/>
    <mergeCell ref="G7:H7"/>
    <mergeCell ref="I7:M7"/>
  </mergeCells>
  <pageMargins left="1.02" right="0.25" top="1" bottom="1" header="0.25" footer="0.25"/>
  <pageSetup paperSize="9" scale="79" orientation="landscape" r:id="rId1"/>
  <headerFooter alignWithMargins="0">
    <oddHeader>&amp;F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1"/>
  <sheetViews>
    <sheetView showGridLines="0" view="pageBreakPreview" zoomScale="90" zoomScaleNormal="80" zoomScaleSheetLayoutView="90" workbookViewId="0">
      <selection activeCell="G20" sqref="G20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18.28515625" style="5" customWidth="1"/>
    <col min="4" max="4" width="21.28515625" style="5" customWidth="1"/>
    <col min="5" max="5" width="32.28515625" style="5" customWidth="1"/>
    <col min="6" max="7" width="22" style="5" customWidth="1"/>
    <col min="8" max="8" width="17.7109375" style="5" customWidth="1"/>
    <col min="9" max="9" width="35" style="5" customWidth="1"/>
    <col min="10" max="10" width="31.42578125" style="5" customWidth="1"/>
    <col min="11" max="11" width="37" style="5" customWidth="1"/>
    <col min="12" max="12" width="32.28515625" style="5" customWidth="1"/>
    <col min="13" max="13" width="13.28515625" style="5" bestFit="1" customWidth="1"/>
    <col min="14" max="14" width="12.5703125" style="5" customWidth="1"/>
    <col min="15" max="15" width="11.7109375" style="5" bestFit="1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1:22" ht="15">
      <c r="B1" s="30"/>
    </row>
    <row r="2" spans="1:22" ht="15">
      <c r="H2" s="40" t="s">
        <v>398</v>
      </c>
      <c r="I2" s="40"/>
    </row>
    <row r="3" spans="1:22" ht="15">
      <c r="H3" s="40" t="s">
        <v>381</v>
      </c>
      <c r="I3" s="40"/>
    </row>
    <row r="4" spans="1:22" ht="15">
      <c r="H4" s="41" t="s">
        <v>277</v>
      </c>
      <c r="I4" s="41"/>
    </row>
    <row r="5" spans="1:22" ht="15">
      <c r="K5" s="41"/>
    </row>
    <row r="6" spans="1:22" ht="60">
      <c r="B6" s="21" t="s">
        <v>186</v>
      </c>
      <c r="C6" s="29" t="s">
        <v>251</v>
      </c>
      <c r="D6" s="37" t="s">
        <v>253</v>
      </c>
      <c r="E6" s="29" t="s">
        <v>252</v>
      </c>
      <c r="F6" s="37" t="s">
        <v>255</v>
      </c>
      <c r="G6" s="37" t="s">
        <v>258</v>
      </c>
      <c r="H6" s="37" t="s">
        <v>259</v>
      </c>
      <c r="I6" s="37" t="s">
        <v>272</v>
      </c>
      <c r="J6" s="29" t="s">
        <v>254</v>
      </c>
      <c r="K6" s="37" t="s">
        <v>260</v>
      </c>
      <c r="L6" s="37" t="s">
        <v>175</v>
      </c>
      <c r="M6" s="31"/>
      <c r="N6" s="31"/>
      <c r="O6" s="31"/>
      <c r="P6" s="31"/>
    </row>
    <row r="7" spans="1:22" s="39" customFormat="1" ht="15">
      <c r="B7" s="26"/>
      <c r="C7" s="37" t="s">
        <v>372</v>
      </c>
      <c r="D7" s="36"/>
      <c r="E7" s="36"/>
      <c r="F7" s="36"/>
      <c r="G7" s="36"/>
      <c r="H7" s="36"/>
      <c r="I7" s="36"/>
      <c r="J7" s="36"/>
      <c r="K7" s="37"/>
      <c r="L7" s="38"/>
      <c r="M7" s="30"/>
      <c r="N7" s="30"/>
      <c r="O7" s="30"/>
      <c r="P7" s="30"/>
      <c r="Q7" s="30"/>
    </row>
    <row r="8" spans="1:22" ht="15">
      <c r="A8" s="202"/>
      <c r="B8" s="26">
        <v>1</v>
      </c>
      <c r="C8" s="203" t="s">
        <v>395</v>
      </c>
      <c r="D8" s="33"/>
      <c r="E8" s="33"/>
      <c r="F8" s="33"/>
      <c r="G8" s="204">
        <f>0.14144775-0.03</f>
        <v>0.11144775000000001</v>
      </c>
      <c r="H8" s="204"/>
      <c r="I8" s="33"/>
      <c r="J8" s="33"/>
      <c r="K8" s="33"/>
      <c r="L8" s="33"/>
      <c r="R8" s="202"/>
      <c r="S8" s="202"/>
      <c r="T8" s="202"/>
      <c r="U8" s="202"/>
      <c r="V8" s="202"/>
    </row>
    <row r="9" spans="1:22" ht="15">
      <c r="A9" s="202"/>
      <c r="B9" s="26">
        <v>2</v>
      </c>
      <c r="C9" s="203" t="s">
        <v>396</v>
      </c>
      <c r="D9" s="33"/>
      <c r="E9" s="202"/>
      <c r="F9" s="33"/>
      <c r="G9" s="204">
        <f>0.0954389-0.02</f>
        <v>7.5438899999999989E-2</v>
      </c>
      <c r="H9" s="204"/>
      <c r="I9" s="202"/>
      <c r="J9" s="33"/>
      <c r="K9" s="33"/>
      <c r="L9" s="33"/>
      <c r="R9" s="202"/>
      <c r="S9" s="202"/>
      <c r="T9" s="202"/>
      <c r="U9" s="202"/>
      <c r="V9" s="202"/>
    </row>
    <row r="10" spans="1:22">
      <c r="B10" s="26">
        <v>1</v>
      </c>
      <c r="C10" s="26"/>
      <c r="D10" s="33"/>
      <c r="E10" s="33"/>
      <c r="F10" s="33"/>
      <c r="G10" s="33"/>
      <c r="H10" s="33"/>
      <c r="I10" s="33"/>
      <c r="J10" s="33"/>
      <c r="K10" s="33"/>
      <c r="L10" s="33"/>
    </row>
    <row r="11" spans="1:22">
      <c r="B11" s="26">
        <v>2</v>
      </c>
      <c r="C11" s="26"/>
      <c r="D11" s="33"/>
      <c r="E11" s="33"/>
      <c r="F11" s="33"/>
      <c r="G11" s="33"/>
      <c r="H11" s="33"/>
      <c r="I11" s="33"/>
      <c r="J11" s="33"/>
      <c r="K11" s="33"/>
      <c r="L11" s="33"/>
    </row>
    <row r="12" spans="1:22">
      <c r="B12" s="26">
        <v>3</v>
      </c>
      <c r="C12" s="26"/>
      <c r="D12" s="33"/>
      <c r="E12" s="33"/>
      <c r="F12" s="33"/>
      <c r="G12" s="33"/>
      <c r="H12" s="33"/>
      <c r="I12" s="33"/>
      <c r="J12" s="33"/>
      <c r="K12" s="33"/>
      <c r="L12" s="33"/>
    </row>
    <row r="13" spans="1:22">
      <c r="B13" s="33"/>
      <c r="C13" s="33" t="s">
        <v>9</v>
      </c>
      <c r="D13" s="33"/>
      <c r="E13" s="33"/>
      <c r="F13" s="33"/>
      <c r="G13" s="33"/>
      <c r="H13" s="205">
        <v>0.09</v>
      </c>
      <c r="I13" s="33"/>
      <c r="J13" s="33"/>
      <c r="K13" s="33"/>
      <c r="L13" s="33"/>
    </row>
    <row r="14" spans="1:22" ht="15">
      <c r="B14" s="33"/>
      <c r="C14" s="29" t="s">
        <v>127</v>
      </c>
      <c r="D14" s="173"/>
      <c r="E14" s="160"/>
      <c r="F14" s="137">
        <f>SUM(F8:F13)</f>
        <v>0</v>
      </c>
      <c r="G14" s="137">
        <f t="shared" ref="G14:H14" si="0">SUM(G8:G13)</f>
        <v>0.18688664999999999</v>
      </c>
      <c r="H14" s="137">
        <f t="shared" si="0"/>
        <v>0.09</v>
      </c>
      <c r="I14" s="33"/>
      <c r="J14" s="33"/>
      <c r="K14" s="33"/>
      <c r="L14" s="33"/>
    </row>
    <row r="15" spans="1:22" ht="15">
      <c r="B15" s="26"/>
      <c r="C15" s="37" t="s">
        <v>375</v>
      </c>
      <c r="D15" s="160"/>
      <c r="E15" s="160"/>
      <c r="F15" s="160"/>
      <c r="G15" s="160"/>
      <c r="H15" s="160"/>
      <c r="I15" s="33"/>
      <c r="J15" s="33"/>
      <c r="K15" s="33"/>
      <c r="L15" s="33"/>
    </row>
    <row r="16" spans="1:22">
      <c r="B16" s="26">
        <v>1</v>
      </c>
      <c r="C16" s="26"/>
      <c r="D16" s="160"/>
      <c r="E16" s="160"/>
      <c r="F16" s="160"/>
      <c r="G16" s="160"/>
      <c r="H16" s="160"/>
      <c r="I16" s="33"/>
      <c r="J16" s="33"/>
      <c r="K16" s="33"/>
      <c r="L16" s="33"/>
    </row>
    <row r="17" spans="2:12">
      <c r="B17" s="26">
        <v>2</v>
      </c>
      <c r="C17" s="26"/>
      <c r="D17" s="160"/>
      <c r="E17" s="160"/>
      <c r="F17" s="160"/>
      <c r="G17" s="160"/>
      <c r="H17" s="160"/>
      <c r="I17" s="33"/>
      <c r="J17" s="33"/>
      <c r="K17" s="33"/>
      <c r="L17" s="33"/>
    </row>
    <row r="18" spans="2:12">
      <c r="B18" s="26">
        <v>3</v>
      </c>
      <c r="C18" s="26"/>
      <c r="D18" s="160"/>
      <c r="E18" s="160"/>
      <c r="F18" s="160"/>
      <c r="G18" s="160"/>
      <c r="H18" s="160"/>
      <c r="I18" s="33"/>
      <c r="J18" s="33"/>
      <c r="K18" s="33"/>
      <c r="L18" s="33"/>
    </row>
    <row r="19" spans="2:12">
      <c r="B19" s="33"/>
      <c r="C19" s="33" t="s">
        <v>9</v>
      </c>
      <c r="D19" s="160"/>
      <c r="E19" s="160"/>
      <c r="F19" s="160"/>
      <c r="G19" s="160">
        <f>H19</f>
        <v>0.04</v>
      </c>
      <c r="H19" s="160">
        <v>0.04</v>
      </c>
      <c r="I19" s="33"/>
      <c r="J19" s="33"/>
      <c r="K19" s="33"/>
      <c r="L19" s="33"/>
    </row>
    <row r="20" spans="2:12" ht="15">
      <c r="B20" s="33"/>
      <c r="C20" s="29" t="s">
        <v>127</v>
      </c>
      <c r="D20" s="173"/>
      <c r="E20" s="160"/>
      <c r="F20" s="137">
        <f>SUM(F16:F19)</f>
        <v>0</v>
      </c>
      <c r="G20" s="137">
        <f>SUM(G16:G19)</f>
        <v>0.04</v>
      </c>
      <c r="H20" s="137">
        <f>SUM(H16:H19)</f>
        <v>0.04</v>
      </c>
      <c r="I20" s="33"/>
      <c r="J20" s="33"/>
      <c r="K20" s="33"/>
      <c r="L20" s="33"/>
    </row>
    <row r="21" spans="2:12" ht="15">
      <c r="B21" s="26"/>
      <c r="C21" s="37" t="s">
        <v>376</v>
      </c>
      <c r="D21" s="160"/>
      <c r="E21" s="160"/>
      <c r="F21" s="160"/>
      <c r="G21" s="160"/>
      <c r="H21" s="160"/>
      <c r="I21" s="33"/>
      <c r="J21" s="33"/>
      <c r="K21" s="33"/>
      <c r="L21" s="33"/>
    </row>
    <row r="22" spans="2:12">
      <c r="B22" s="26">
        <v>1</v>
      </c>
      <c r="C22" s="26"/>
      <c r="D22" s="160"/>
      <c r="E22" s="160"/>
      <c r="F22" s="160"/>
      <c r="G22" s="160"/>
      <c r="H22" s="160"/>
      <c r="I22" s="33"/>
      <c r="J22" s="33"/>
      <c r="K22" s="33"/>
      <c r="L22" s="33"/>
    </row>
    <row r="23" spans="2:12">
      <c r="B23" s="26">
        <v>2</v>
      </c>
      <c r="C23" s="26"/>
      <c r="D23" s="160"/>
      <c r="E23" s="160"/>
      <c r="F23" s="160"/>
      <c r="G23" s="160"/>
      <c r="H23" s="160"/>
      <c r="I23" s="33"/>
      <c r="J23" s="33"/>
      <c r="K23" s="33"/>
      <c r="L23" s="33"/>
    </row>
    <row r="24" spans="2:12">
      <c r="B24" s="26">
        <v>3</v>
      </c>
      <c r="C24" s="26"/>
      <c r="D24" s="160"/>
      <c r="E24" s="160"/>
      <c r="F24" s="160"/>
      <c r="G24" s="160">
        <v>23.7</v>
      </c>
      <c r="H24" s="160">
        <v>23.7</v>
      </c>
      <c r="I24" s="33"/>
      <c r="J24" s="33"/>
      <c r="K24" s="33"/>
      <c r="L24" s="33"/>
    </row>
    <row r="25" spans="2:12" ht="15">
      <c r="B25" s="33"/>
      <c r="C25" s="33" t="s">
        <v>9</v>
      </c>
      <c r="D25" s="173" t="s">
        <v>399</v>
      </c>
      <c r="E25" s="160"/>
      <c r="F25" s="160"/>
      <c r="G25" s="160">
        <v>0.25</v>
      </c>
      <c r="H25" s="160">
        <v>0.25</v>
      </c>
      <c r="I25" s="33"/>
      <c r="J25" s="33"/>
      <c r="K25" s="33"/>
      <c r="L25" s="33"/>
    </row>
    <row r="26" spans="2:12" ht="15">
      <c r="B26" s="33"/>
      <c r="C26" s="29" t="s">
        <v>127</v>
      </c>
      <c r="D26" s="173"/>
      <c r="E26" s="160"/>
      <c r="F26" s="137">
        <f>SUM(F22:F25)</f>
        <v>0</v>
      </c>
      <c r="G26" s="137">
        <f>SUM(G22:G25)</f>
        <v>23.95</v>
      </c>
      <c r="H26" s="137">
        <f>SUM(H22:H25)</f>
        <v>23.95</v>
      </c>
      <c r="I26" s="33"/>
      <c r="J26" s="33"/>
      <c r="K26" s="33"/>
      <c r="L26" s="33"/>
    </row>
    <row r="27" spans="2:12" ht="15">
      <c r="B27" s="26"/>
      <c r="C27" s="37" t="s">
        <v>377</v>
      </c>
      <c r="D27" s="160"/>
      <c r="E27" s="160"/>
      <c r="F27" s="160"/>
      <c r="G27" s="160"/>
      <c r="H27" s="160"/>
      <c r="I27" s="33"/>
      <c r="J27" s="33"/>
      <c r="K27" s="33"/>
      <c r="L27" s="33"/>
    </row>
    <row r="28" spans="2:12">
      <c r="B28" s="26">
        <v>1</v>
      </c>
      <c r="C28" s="26"/>
      <c r="D28" s="160"/>
      <c r="E28" s="160"/>
      <c r="F28" s="160"/>
      <c r="G28" s="160"/>
      <c r="H28" s="160"/>
      <c r="I28" s="33"/>
      <c r="J28" s="33"/>
      <c r="K28" s="33"/>
      <c r="L28" s="33"/>
    </row>
    <row r="29" spans="2:12">
      <c r="B29" s="26">
        <v>2</v>
      </c>
      <c r="C29" s="26"/>
      <c r="D29" s="160"/>
      <c r="E29" s="160"/>
      <c r="F29" s="160"/>
      <c r="G29" s="160"/>
      <c r="H29" s="160"/>
      <c r="I29" s="33"/>
      <c r="J29" s="33"/>
      <c r="K29" s="33"/>
      <c r="L29" s="33"/>
    </row>
    <row r="30" spans="2:12">
      <c r="B30" s="26">
        <v>3</v>
      </c>
      <c r="C30" s="26"/>
      <c r="D30" s="160"/>
      <c r="E30" s="160"/>
      <c r="F30" s="160"/>
      <c r="G30" s="160"/>
      <c r="H30" s="160"/>
      <c r="I30" s="33"/>
      <c r="J30" s="33"/>
      <c r="K30" s="33"/>
      <c r="L30" s="33"/>
    </row>
    <row r="31" spans="2:12">
      <c r="B31" s="33"/>
      <c r="C31" s="33" t="s">
        <v>9</v>
      </c>
      <c r="D31" s="160"/>
      <c r="E31" s="160"/>
      <c r="F31" s="160"/>
      <c r="G31" s="160">
        <v>3.12</v>
      </c>
      <c r="H31" s="160">
        <v>3.12</v>
      </c>
      <c r="I31" s="33"/>
      <c r="J31" s="33"/>
      <c r="K31" s="33"/>
      <c r="L31" s="33"/>
    </row>
    <row r="32" spans="2:12" ht="15">
      <c r="B32" s="33"/>
      <c r="C32" s="29" t="s">
        <v>127</v>
      </c>
      <c r="D32" s="173"/>
      <c r="E32" s="160"/>
      <c r="F32" s="137">
        <f>SUM(F28:F31)</f>
        <v>0</v>
      </c>
      <c r="G32" s="137">
        <f>SUM(G28:G31)</f>
        <v>3.12</v>
      </c>
      <c r="H32" s="137">
        <f>SUM(H28:H31)</f>
        <v>3.12</v>
      </c>
      <c r="I32" s="33"/>
      <c r="J32" s="33"/>
      <c r="K32" s="33"/>
      <c r="L32" s="33"/>
    </row>
    <row r="33" spans="2:12" ht="15">
      <c r="B33" s="26"/>
      <c r="C33" s="37" t="s">
        <v>378</v>
      </c>
      <c r="D33" s="160"/>
      <c r="E33" s="160"/>
      <c r="F33" s="160"/>
      <c r="G33" s="160"/>
      <c r="H33" s="160"/>
      <c r="I33" s="33"/>
      <c r="J33" s="33"/>
      <c r="K33" s="33"/>
      <c r="L33" s="33"/>
    </row>
    <row r="34" spans="2:12">
      <c r="B34" s="26">
        <v>1</v>
      </c>
      <c r="C34" s="26"/>
      <c r="D34" s="160"/>
      <c r="E34" s="160"/>
      <c r="F34" s="160"/>
      <c r="G34" s="160"/>
      <c r="H34" s="160"/>
      <c r="I34" s="33"/>
      <c r="J34" s="33"/>
      <c r="K34" s="33"/>
      <c r="L34" s="33"/>
    </row>
    <row r="35" spans="2:12">
      <c r="B35" s="26">
        <v>2</v>
      </c>
      <c r="C35" s="26"/>
      <c r="D35" s="160"/>
      <c r="E35" s="160"/>
      <c r="F35" s="160"/>
      <c r="G35" s="160"/>
      <c r="H35" s="160"/>
      <c r="I35" s="33"/>
      <c r="J35" s="33"/>
      <c r="K35" s="33"/>
      <c r="L35" s="33"/>
    </row>
    <row r="36" spans="2:12">
      <c r="B36" s="26">
        <v>3</v>
      </c>
      <c r="C36" s="26"/>
      <c r="D36" s="160"/>
      <c r="E36" s="160"/>
      <c r="F36" s="160"/>
      <c r="G36" s="160"/>
      <c r="H36" s="160"/>
      <c r="I36" s="33"/>
      <c r="J36" s="33"/>
      <c r="K36" s="33"/>
      <c r="L36" s="33"/>
    </row>
    <row r="37" spans="2:12">
      <c r="B37" s="33"/>
      <c r="C37" s="33" t="s">
        <v>9</v>
      </c>
      <c r="D37" s="160"/>
      <c r="E37" s="160"/>
      <c r="F37" s="160"/>
      <c r="G37" s="160"/>
      <c r="H37" s="160"/>
      <c r="I37" s="33"/>
      <c r="J37" s="33"/>
      <c r="K37" s="33"/>
      <c r="L37" s="33"/>
    </row>
    <row r="38" spans="2:12" ht="15">
      <c r="B38" s="33"/>
      <c r="C38" s="29" t="s">
        <v>127</v>
      </c>
      <c r="D38" s="173"/>
      <c r="E38" s="160"/>
      <c r="F38" s="137">
        <f>SUM(F34:F37)</f>
        <v>0</v>
      </c>
      <c r="G38" s="137">
        <f>SUM(G34:G37)</f>
        <v>0</v>
      </c>
      <c r="H38" s="137">
        <f>SUM(H34:H37)</f>
        <v>0</v>
      </c>
      <c r="I38" s="33"/>
      <c r="J38" s="33"/>
      <c r="K38" s="33"/>
      <c r="L38" s="33"/>
    </row>
    <row r="39" spans="2:12" ht="15">
      <c r="B39" s="26"/>
      <c r="C39" s="37" t="s">
        <v>379</v>
      </c>
      <c r="D39" s="160"/>
      <c r="E39" s="160"/>
      <c r="F39" s="160"/>
      <c r="G39" s="160"/>
      <c r="H39" s="160"/>
      <c r="I39" s="33"/>
      <c r="J39" s="33"/>
      <c r="K39" s="33"/>
      <c r="L39" s="33"/>
    </row>
    <row r="40" spans="2:12">
      <c r="B40" s="26">
        <v>1</v>
      </c>
      <c r="C40" s="26"/>
      <c r="D40" s="160"/>
      <c r="E40" s="160"/>
      <c r="F40" s="160"/>
      <c r="G40" s="160"/>
      <c r="H40" s="160"/>
      <c r="I40" s="33"/>
      <c r="J40" s="33"/>
      <c r="K40" s="33"/>
      <c r="L40" s="33"/>
    </row>
    <row r="41" spans="2:12">
      <c r="B41" s="26">
        <v>2</v>
      </c>
      <c r="C41" s="26"/>
      <c r="D41" s="160"/>
      <c r="E41" s="160"/>
      <c r="F41" s="160"/>
      <c r="G41" s="160"/>
      <c r="H41" s="160"/>
      <c r="I41" s="33"/>
      <c r="J41" s="33"/>
      <c r="K41" s="33"/>
      <c r="L41" s="33"/>
    </row>
    <row r="42" spans="2:12">
      <c r="B42" s="26">
        <v>3</v>
      </c>
      <c r="C42" s="26"/>
      <c r="D42" s="160"/>
      <c r="E42" s="160"/>
      <c r="F42" s="160"/>
      <c r="G42" s="160"/>
      <c r="H42" s="160"/>
      <c r="I42" s="33"/>
      <c r="J42" s="33"/>
      <c r="K42" s="33"/>
      <c r="L42" s="33"/>
    </row>
    <row r="43" spans="2:12">
      <c r="B43" s="33"/>
      <c r="C43" s="33" t="s">
        <v>9</v>
      </c>
      <c r="D43" s="160"/>
      <c r="E43" s="160"/>
      <c r="F43" s="160"/>
      <c r="G43" s="160"/>
      <c r="H43" s="160"/>
      <c r="I43" s="33"/>
      <c r="J43" s="33"/>
      <c r="K43" s="33"/>
      <c r="L43" s="33"/>
    </row>
    <row r="44" spans="2:12" ht="15">
      <c r="B44" s="33"/>
      <c r="C44" s="29" t="s">
        <v>127</v>
      </c>
      <c r="D44" s="173"/>
      <c r="E44" s="160"/>
      <c r="F44" s="137">
        <f>SUM(F40:F43)</f>
        <v>0</v>
      </c>
      <c r="G44" s="137">
        <f>SUM(G40:G43)</f>
        <v>0</v>
      </c>
      <c r="H44" s="137">
        <f>SUM(H40:H43)</f>
        <v>0</v>
      </c>
      <c r="I44" s="33"/>
      <c r="J44" s="33"/>
      <c r="K44" s="33"/>
      <c r="L44" s="33"/>
    </row>
    <row r="45" spans="2:12" ht="15">
      <c r="B45" s="26"/>
      <c r="C45" s="37" t="s">
        <v>380</v>
      </c>
      <c r="D45" s="160"/>
      <c r="E45" s="160"/>
      <c r="F45" s="160"/>
      <c r="G45" s="160"/>
      <c r="H45" s="160"/>
      <c r="I45" s="33"/>
      <c r="J45" s="33"/>
      <c r="K45" s="33"/>
      <c r="L45" s="33"/>
    </row>
    <row r="46" spans="2:12">
      <c r="B46" s="26">
        <v>1</v>
      </c>
      <c r="C46" s="26"/>
      <c r="D46" s="160"/>
      <c r="E46" s="160"/>
      <c r="F46" s="160"/>
      <c r="G46" s="160"/>
      <c r="H46" s="160"/>
      <c r="I46" s="33"/>
      <c r="J46" s="33"/>
      <c r="K46" s="33"/>
      <c r="L46" s="33"/>
    </row>
    <row r="47" spans="2:12">
      <c r="B47" s="26">
        <v>2</v>
      </c>
      <c r="C47" s="26"/>
      <c r="D47" s="160"/>
      <c r="E47" s="160"/>
      <c r="F47" s="160"/>
      <c r="G47" s="160"/>
      <c r="H47" s="160"/>
      <c r="I47" s="33"/>
      <c r="J47" s="33"/>
      <c r="K47" s="33"/>
      <c r="L47" s="33"/>
    </row>
    <row r="48" spans="2:12">
      <c r="B48" s="26">
        <v>3</v>
      </c>
      <c r="C48" s="26"/>
      <c r="D48" s="160"/>
      <c r="E48" s="160"/>
      <c r="F48" s="160"/>
      <c r="G48" s="160"/>
      <c r="H48" s="160"/>
      <c r="I48" s="33"/>
      <c r="J48" s="33"/>
      <c r="K48" s="33"/>
      <c r="L48" s="33"/>
    </row>
    <row r="49" spans="2:12">
      <c r="B49" s="33"/>
      <c r="C49" s="33" t="s">
        <v>9</v>
      </c>
      <c r="D49" s="160"/>
      <c r="E49" s="160"/>
      <c r="F49" s="160"/>
      <c r="G49" s="160"/>
      <c r="H49" s="160"/>
      <c r="I49" s="33"/>
      <c r="J49" s="33"/>
      <c r="K49" s="33"/>
      <c r="L49" s="33"/>
    </row>
    <row r="50" spans="2:12" ht="15">
      <c r="B50" s="33"/>
      <c r="C50" s="29" t="s">
        <v>127</v>
      </c>
      <c r="D50" s="137">
        <f>SUM(D46:D49)</f>
        <v>0</v>
      </c>
      <c r="E50" s="160"/>
      <c r="F50" s="137">
        <f>SUM(F46:F49)</f>
        <v>0</v>
      </c>
      <c r="G50" s="137">
        <f>SUM(G46:G49)</f>
        <v>0</v>
      </c>
      <c r="H50" s="137">
        <f>SUM(H46:H49)</f>
        <v>0</v>
      </c>
      <c r="I50" s="33"/>
      <c r="J50" s="33"/>
      <c r="K50" s="33"/>
      <c r="L50" s="33"/>
    </row>
    <row r="51" spans="2:12">
      <c r="B51" s="67" t="s">
        <v>256</v>
      </c>
      <c r="C51" s="55" t="s">
        <v>257</v>
      </c>
    </row>
  </sheetData>
  <pageMargins left="1.02" right="0.25" top="1" bottom="1" header="0.25" footer="0.25"/>
  <pageSetup paperSize="9" scale="48" orientation="landscape" r:id="rId1"/>
  <headerFooter alignWithMargins="0">
    <oddHeader>&amp;F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B2:J21"/>
  <sheetViews>
    <sheetView showGridLines="0" tabSelected="1" view="pageBreakPreview" zoomScale="60" zoomScaleNormal="80" workbookViewId="0">
      <selection activeCell="D18" sqref="D18:H18"/>
    </sheetView>
  </sheetViews>
  <sheetFormatPr defaultColWidth="9.28515625" defaultRowHeight="14.25"/>
  <cols>
    <col min="1" max="1" width="9.28515625" style="109"/>
    <col min="2" max="2" width="7.42578125" style="109" customWidth="1"/>
    <col min="3" max="3" width="23.28515625" style="109" customWidth="1"/>
    <col min="4" max="4" width="11.5703125" style="109" customWidth="1"/>
    <col min="5" max="5" width="12.5703125" style="109" customWidth="1"/>
    <col min="6" max="6" width="14.140625" style="109" customWidth="1"/>
    <col min="7" max="7" width="14" style="109" customWidth="1"/>
    <col min="8" max="8" width="13" style="109" customWidth="1"/>
    <col min="9" max="9" width="11.7109375" style="109" customWidth="1"/>
    <col min="10" max="10" width="15.7109375" style="109" customWidth="1"/>
    <col min="11" max="16384" width="9.28515625" style="109"/>
  </cols>
  <sheetData>
    <row r="2" spans="2:10" ht="14.25" customHeight="1">
      <c r="B2" s="245" t="s">
        <v>398</v>
      </c>
      <c r="C2" s="245"/>
      <c r="D2" s="245"/>
      <c r="E2" s="245"/>
      <c r="F2" s="245"/>
      <c r="G2" s="245"/>
      <c r="H2" s="245"/>
      <c r="I2" s="245"/>
      <c r="J2" s="245"/>
    </row>
    <row r="3" spans="2:10" ht="14.25" customHeight="1">
      <c r="B3" s="245" t="s">
        <v>381</v>
      </c>
      <c r="C3" s="245"/>
      <c r="D3" s="245"/>
      <c r="E3" s="245"/>
      <c r="F3" s="245"/>
      <c r="G3" s="245"/>
      <c r="H3" s="245"/>
      <c r="I3" s="245"/>
      <c r="J3" s="245"/>
    </row>
    <row r="4" spans="2:10" ht="14.25" customHeight="1">
      <c r="B4" s="246" t="s">
        <v>309</v>
      </c>
      <c r="C4" s="246"/>
      <c r="D4" s="246"/>
      <c r="E4" s="246"/>
      <c r="F4" s="246"/>
      <c r="G4" s="246"/>
      <c r="H4" s="246"/>
      <c r="I4" s="246"/>
      <c r="J4" s="246"/>
    </row>
    <row r="6" spans="2:10" ht="15" customHeight="1">
      <c r="B6" s="240" t="s">
        <v>186</v>
      </c>
      <c r="C6" s="252" t="s">
        <v>18</v>
      </c>
      <c r="D6" s="240" t="s">
        <v>385</v>
      </c>
      <c r="E6" s="220" t="s">
        <v>375</v>
      </c>
      <c r="F6" s="240" t="s">
        <v>225</v>
      </c>
      <c r="G6" s="240"/>
      <c r="H6" s="240"/>
      <c r="I6" s="240"/>
      <c r="J6" s="240"/>
    </row>
    <row r="7" spans="2:10" ht="30">
      <c r="B7" s="240"/>
      <c r="C7" s="252"/>
      <c r="D7" s="240"/>
      <c r="E7" s="21" t="s">
        <v>244</v>
      </c>
      <c r="F7" s="21" t="s">
        <v>376</v>
      </c>
      <c r="G7" s="21" t="s">
        <v>377</v>
      </c>
      <c r="H7" s="21" t="s">
        <v>378</v>
      </c>
      <c r="I7" s="21" t="s">
        <v>379</v>
      </c>
      <c r="J7" s="21" t="s">
        <v>380</v>
      </c>
    </row>
    <row r="8" spans="2:10" ht="15">
      <c r="B8" s="240"/>
      <c r="C8" s="252"/>
      <c r="D8" s="110" t="s">
        <v>3</v>
      </c>
      <c r="E8" s="21" t="s">
        <v>5</v>
      </c>
      <c r="F8" s="21" t="s">
        <v>8</v>
      </c>
      <c r="G8" s="21" t="s">
        <v>8</v>
      </c>
      <c r="H8" s="21" t="s">
        <v>8</v>
      </c>
      <c r="I8" s="21" t="s">
        <v>8</v>
      </c>
      <c r="J8" s="21" t="s">
        <v>8</v>
      </c>
    </row>
    <row r="9" spans="2:10" ht="15">
      <c r="B9" s="111">
        <v>1</v>
      </c>
      <c r="C9" s="34" t="s">
        <v>310</v>
      </c>
      <c r="D9" s="132">
        <f>F3.1!H14</f>
        <v>0.09</v>
      </c>
      <c r="E9" s="132">
        <f>F3.1!H20</f>
        <v>0.04</v>
      </c>
      <c r="F9" s="132">
        <f>F3.1!H26</f>
        <v>23.95</v>
      </c>
      <c r="G9" s="132">
        <f>F3.1!H32</f>
        <v>3.12</v>
      </c>
      <c r="H9" s="132">
        <f>F3.1!H38</f>
        <v>0</v>
      </c>
      <c r="I9" s="132">
        <f>F3.1!H44</f>
        <v>0</v>
      </c>
      <c r="J9" s="132">
        <f>F3.1!H50</f>
        <v>0</v>
      </c>
    </row>
    <row r="10" spans="2:10">
      <c r="B10" s="34"/>
      <c r="C10" s="34"/>
      <c r="D10" s="121"/>
      <c r="E10" s="121"/>
      <c r="F10" s="121"/>
      <c r="G10" s="121"/>
      <c r="H10" s="121"/>
      <c r="I10" s="121"/>
      <c r="J10" s="121"/>
    </row>
    <row r="11" spans="2:10" ht="15">
      <c r="B11" s="111">
        <v>2</v>
      </c>
      <c r="C11" s="112" t="s">
        <v>176</v>
      </c>
      <c r="D11" s="121"/>
      <c r="E11" s="121"/>
      <c r="F11" s="121"/>
      <c r="G11" s="121"/>
      <c r="H11" s="121"/>
      <c r="I11" s="121"/>
      <c r="J11" s="121"/>
    </row>
    <row r="12" spans="2:10">
      <c r="B12" s="34"/>
      <c r="C12" s="34" t="s">
        <v>185</v>
      </c>
      <c r="D12" s="121"/>
      <c r="E12" s="121"/>
      <c r="F12" s="121"/>
      <c r="G12" s="121"/>
      <c r="H12" s="121"/>
      <c r="I12" s="121"/>
      <c r="J12" s="121"/>
    </row>
    <row r="13" spans="2:10">
      <c r="B13" s="34"/>
      <c r="C13" s="34" t="s">
        <v>184</v>
      </c>
      <c r="D13" s="121"/>
      <c r="E13" s="121"/>
      <c r="F13" s="121"/>
      <c r="G13" s="121"/>
      <c r="H13" s="121"/>
      <c r="I13" s="121"/>
      <c r="J13" s="121"/>
    </row>
    <row r="14" spans="2:10">
      <c r="B14" s="34"/>
      <c r="C14" s="34" t="s">
        <v>9</v>
      </c>
      <c r="D14" s="121"/>
      <c r="E14" s="121"/>
      <c r="F14" s="121"/>
      <c r="G14" s="121"/>
      <c r="H14" s="121"/>
      <c r="I14" s="121"/>
      <c r="J14" s="121"/>
    </row>
    <row r="15" spans="2:10" ht="15">
      <c r="B15" s="34"/>
      <c r="C15" s="112" t="s">
        <v>174</v>
      </c>
      <c r="D15" s="132">
        <f>SUM(D12:D14)</f>
        <v>0</v>
      </c>
      <c r="E15" s="132">
        <f>SUM(E12:E14)</f>
        <v>0</v>
      </c>
      <c r="F15" s="132">
        <f t="shared" ref="F15:J15" si="0">SUM(F12:F14)</f>
        <v>0</v>
      </c>
      <c r="G15" s="132">
        <f t="shared" si="0"/>
        <v>0</v>
      </c>
      <c r="H15" s="132">
        <f t="shared" si="0"/>
        <v>0</v>
      </c>
      <c r="I15" s="132">
        <f t="shared" si="0"/>
        <v>0</v>
      </c>
      <c r="J15" s="132">
        <f t="shared" si="0"/>
        <v>0</v>
      </c>
    </row>
    <row r="16" spans="2:10">
      <c r="B16" s="34"/>
      <c r="C16" s="34"/>
      <c r="D16" s="121"/>
      <c r="E16" s="121"/>
      <c r="F16" s="121"/>
      <c r="G16" s="121"/>
      <c r="H16" s="121"/>
      <c r="I16" s="121"/>
      <c r="J16" s="121"/>
    </row>
    <row r="17" spans="2:10">
      <c r="B17" s="111">
        <v>3</v>
      </c>
      <c r="C17" s="34" t="s">
        <v>0</v>
      </c>
      <c r="D17" s="121"/>
      <c r="E17" s="121"/>
      <c r="F17" s="121"/>
      <c r="G17" s="121"/>
      <c r="H17" s="121"/>
      <c r="I17" s="121"/>
      <c r="J17" s="121"/>
    </row>
    <row r="18" spans="2:10">
      <c r="B18" s="111">
        <v>4</v>
      </c>
      <c r="C18" s="34" t="s">
        <v>177</v>
      </c>
      <c r="D18" s="121">
        <v>0.09</v>
      </c>
      <c r="E18" s="121">
        <v>0.04</v>
      </c>
      <c r="F18" s="121">
        <v>23.95</v>
      </c>
      <c r="G18" s="121">
        <v>3.12</v>
      </c>
      <c r="H18" s="121">
        <v>0</v>
      </c>
      <c r="I18" s="121"/>
      <c r="J18" s="121"/>
    </row>
    <row r="19" spans="2:10">
      <c r="B19" s="111">
        <v>5</v>
      </c>
      <c r="C19" s="34" t="s">
        <v>311</v>
      </c>
      <c r="D19" s="121"/>
      <c r="E19" s="121"/>
      <c r="F19" s="121"/>
      <c r="G19" s="121"/>
      <c r="H19" s="121"/>
      <c r="I19" s="121"/>
      <c r="J19" s="121"/>
    </row>
    <row r="20" spans="2:10" ht="15">
      <c r="B20" s="34"/>
      <c r="C20" s="34"/>
      <c r="D20" s="128"/>
      <c r="E20" s="128"/>
      <c r="F20" s="128"/>
      <c r="G20" s="128"/>
      <c r="H20" s="128"/>
      <c r="I20" s="128"/>
      <c r="J20" s="128"/>
    </row>
    <row r="21" spans="2:10" ht="15">
      <c r="B21" s="111">
        <v>6</v>
      </c>
      <c r="C21" s="112" t="s">
        <v>312</v>
      </c>
      <c r="D21" s="132">
        <f>D15+D17+D18+D19</f>
        <v>0.09</v>
      </c>
      <c r="E21" s="132">
        <f>E15+E17+E18+E19</f>
        <v>0.04</v>
      </c>
      <c r="F21" s="132">
        <f t="shared" ref="F21:J21" si="1">F15+F17+F18+F19</f>
        <v>23.95</v>
      </c>
      <c r="G21" s="132">
        <f t="shared" si="1"/>
        <v>3.12</v>
      </c>
      <c r="H21" s="132">
        <f t="shared" si="1"/>
        <v>0</v>
      </c>
      <c r="I21" s="132">
        <f t="shared" si="1"/>
        <v>0</v>
      </c>
      <c r="J21" s="132">
        <f t="shared" si="1"/>
        <v>0</v>
      </c>
    </row>
  </sheetData>
  <mergeCells count="7">
    <mergeCell ref="F6:J6"/>
    <mergeCell ref="D6:D7"/>
    <mergeCell ref="B6:B8"/>
    <mergeCell ref="C6:C8"/>
    <mergeCell ref="B2:J2"/>
    <mergeCell ref="B3:J3"/>
    <mergeCell ref="B4:J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</vt:i4>
      </vt:variant>
    </vt:vector>
  </HeadingPairs>
  <TitlesOfParts>
    <vt:vector size="19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F13</vt:lpstr>
      <vt:lpstr>F14</vt:lpstr>
      <vt:lpstr>F15</vt:lpstr>
      <vt:lpstr>Checklist!Print_Area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acer</cp:lastModifiedBy>
  <cp:lastPrinted>2024-09-21T05:31:56Z</cp:lastPrinted>
  <dcterms:created xsi:type="dcterms:W3CDTF">2004-07-28T05:30:50Z</dcterms:created>
  <dcterms:modified xsi:type="dcterms:W3CDTF">2024-09-22T12:36:42Z</dcterms:modified>
</cp:coreProperties>
</file>