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/>
  <bookViews>
    <workbookView xWindow="-4500" yWindow="-300" windowWidth="20730" windowHeight="11040" tabRatio="613" activeTab="8"/>
  </bookViews>
  <sheets>
    <sheet name="Checklist" sheetId="57" r:id="rId1"/>
    <sheet name="F1" sheetId="58" r:id="rId2"/>
    <sheet name="F2" sheetId="66" r:id="rId3"/>
    <sheet name="F2.1" sheetId="67" r:id="rId4"/>
    <sheet name="F2.2" sheetId="68" r:id="rId5"/>
    <sheet name="F2.3" sheetId="69" r:id="rId6"/>
    <sheet name="F3" sheetId="93" r:id="rId7"/>
    <sheet name="F3.1" sheetId="101" r:id="rId8"/>
    <sheet name="F3.2" sheetId="109" r:id="rId9"/>
    <sheet name="F4" sheetId="102" r:id="rId10"/>
    <sheet name="F5" sheetId="103" r:id="rId11"/>
    <sheet name="F6" sheetId="104" r:id="rId12"/>
    <sheet name="F7" sheetId="105" r:id="rId13"/>
    <sheet name="F8" sheetId="106" r:id="rId14"/>
    <sheet name="F9" sheetId="64" r:id="rId15"/>
    <sheet name="F13" sheetId="110" r:id="rId16"/>
    <sheet name="F14" sheetId="72" r:id="rId17"/>
    <sheet name="F15" sheetId="91" r:id="rId18"/>
  </sheets>
  <externalReferences>
    <externalReference r:id="rId19"/>
    <externalReference r:id="rId20"/>
    <externalReference r:id="rId21"/>
  </externalReferences>
  <definedNames>
    <definedName name="__123Graph_A" localSheetId="6" hidden="1">[1]CE!#REF!</definedName>
    <definedName name="__123Graph_A" localSheetId="7" hidden="1">[1]CE!#REF!</definedName>
    <definedName name="__123Graph_A" localSheetId="9" hidden="1">[1]CE!#REF!</definedName>
    <definedName name="__123Graph_A" localSheetId="10" hidden="1">[1]CE!#REF!</definedName>
    <definedName name="__123Graph_A" localSheetId="11" hidden="1">[1]CE!#REF!</definedName>
    <definedName name="__123Graph_A" localSheetId="12" hidden="1">[1]CE!#REF!</definedName>
    <definedName name="__123Graph_A" localSheetId="13" hidden="1">[1]CE!#REF!</definedName>
    <definedName name="__123Graph_ASTNPLF" localSheetId="6" hidden="1">[1]CE!#REF!</definedName>
    <definedName name="__123Graph_ASTNPLF" localSheetId="7" hidden="1">[1]CE!#REF!</definedName>
    <definedName name="__123Graph_ASTNPLF" localSheetId="9" hidden="1">[1]CE!#REF!</definedName>
    <definedName name="__123Graph_ASTNPLF" localSheetId="10" hidden="1">[1]CE!#REF!</definedName>
    <definedName name="__123Graph_ASTNPLF" localSheetId="11" hidden="1">[1]CE!#REF!</definedName>
    <definedName name="__123Graph_ASTNPLF" localSheetId="12" hidden="1">[1]CE!#REF!</definedName>
    <definedName name="__123Graph_ASTNPLF" localSheetId="13" hidden="1">[1]CE!#REF!</definedName>
    <definedName name="__123Graph_B" localSheetId="6" hidden="1">[1]CE!#REF!</definedName>
    <definedName name="__123Graph_B" localSheetId="7" hidden="1">[1]CE!#REF!</definedName>
    <definedName name="__123Graph_B" localSheetId="9" hidden="1">[1]CE!#REF!</definedName>
    <definedName name="__123Graph_B" localSheetId="10" hidden="1">[1]CE!#REF!</definedName>
    <definedName name="__123Graph_B" localSheetId="11" hidden="1">[1]CE!#REF!</definedName>
    <definedName name="__123Graph_B" localSheetId="12" hidden="1">[1]CE!#REF!</definedName>
    <definedName name="__123Graph_B" localSheetId="13" hidden="1">[1]CE!#REF!</definedName>
    <definedName name="__123Graph_BSTNPLF" localSheetId="6" hidden="1">[1]CE!#REF!</definedName>
    <definedName name="__123Graph_BSTNPLF" localSheetId="7" hidden="1">[1]CE!#REF!</definedName>
    <definedName name="__123Graph_BSTNPLF" localSheetId="9" hidden="1">[1]CE!#REF!</definedName>
    <definedName name="__123Graph_BSTNPLF" localSheetId="10" hidden="1">[1]CE!#REF!</definedName>
    <definedName name="__123Graph_BSTNPLF" localSheetId="11" hidden="1">[1]CE!#REF!</definedName>
    <definedName name="__123Graph_BSTNPLF" localSheetId="12" hidden="1">[1]CE!#REF!</definedName>
    <definedName name="__123Graph_BSTNPLF" localSheetId="13" hidden="1">[1]CE!#REF!</definedName>
    <definedName name="__123Graph_C" localSheetId="6" hidden="1">[1]CE!#REF!</definedName>
    <definedName name="__123Graph_C" localSheetId="7" hidden="1">[1]CE!#REF!</definedName>
    <definedName name="__123Graph_C" localSheetId="9" hidden="1">[1]CE!#REF!</definedName>
    <definedName name="__123Graph_C" localSheetId="10" hidden="1">[1]CE!#REF!</definedName>
    <definedName name="__123Graph_C" localSheetId="11" hidden="1">[1]CE!#REF!</definedName>
    <definedName name="__123Graph_C" localSheetId="12" hidden="1">[1]CE!#REF!</definedName>
    <definedName name="__123Graph_C" localSheetId="13" hidden="1">[1]CE!#REF!</definedName>
    <definedName name="__123Graph_CSTNPLF" localSheetId="6" hidden="1">[1]CE!#REF!</definedName>
    <definedName name="__123Graph_CSTNPLF" localSheetId="7" hidden="1">[1]CE!#REF!</definedName>
    <definedName name="__123Graph_CSTNPLF" localSheetId="9" hidden="1">[1]CE!#REF!</definedName>
    <definedName name="__123Graph_CSTNPLF" localSheetId="10" hidden="1">[1]CE!#REF!</definedName>
    <definedName name="__123Graph_CSTNPLF" localSheetId="11" hidden="1">[1]CE!#REF!</definedName>
    <definedName name="__123Graph_CSTNPLF" localSheetId="12" hidden="1">[1]CE!#REF!</definedName>
    <definedName name="__123Graph_CSTNPLF" localSheetId="13" hidden="1">[1]CE!#REF!</definedName>
    <definedName name="__123Graph_X" localSheetId="6" hidden="1">[1]CE!#REF!</definedName>
    <definedName name="__123Graph_X" localSheetId="7" hidden="1">[1]CE!#REF!</definedName>
    <definedName name="__123Graph_X" localSheetId="9" hidden="1">[1]CE!#REF!</definedName>
    <definedName name="__123Graph_X" localSheetId="10" hidden="1">[1]CE!#REF!</definedName>
    <definedName name="__123Graph_X" localSheetId="11" hidden="1">[1]CE!#REF!</definedName>
    <definedName name="__123Graph_X" localSheetId="12" hidden="1">[1]CE!#REF!</definedName>
    <definedName name="__123Graph_X" localSheetId="13" hidden="1">[1]CE!#REF!</definedName>
    <definedName name="__123Graph_XSTNPLF" localSheetId="6" hidden="1">[1]CE!#REF!</definedName>
    <definedName name="__123Graph_XSTNPLF" localSheetId="7" hidden="1">[1]CE!#REF!</definedName>
    <definedName name="__123Graph_XSTNPLF" localSheetId="9" hidden="1">[1]CE!#REF!</definedName>
    <definedName name="__123Graph_XSTNPLF" localSheetId="10" hidden="1">[1]CE!#REF!</definedName>
    <definedName name="__123Graph_XSTNPLF" localSheetId="11" hidden="1">[1]CE!#REF!</definedName>
    <definedName name="__123Graph_XSTNPLF" localSheetId="12" hidden="1">[1]CE!#REF!</definedName>
    <definedName name="__123Graph_XSTNPLF" localSheetId="13" hidden="1">[1]CE!#REF!</definedName>
    <definedName name="_Fill" localSheetId="6" hidden="1">#REF!</definedName>
    <definedName name="_Fill" localSheetId="7" hidden="1">#REF!</definedName>
    <definedName name="_Fill" localSheetId="9" hidden="1">#REF!</definedName>
    <definedName name="_Fill" localSheetId="10" hidden="1">#REF!</definedName>
    <definedName name="_Fill" localSheetId="11" hidden="1">#REF!</definedName>
    <definedName name="_Fill" localSheetId="12" hidden="1">#REF!</definedName>
    <definedName name="_Fill" localSheetId="13" hidden="1">#REF!</definedName>
    <definedName name="new" localSheetId="6" hidden="1">[2]CE!#REF!</definedName>
    <definedName name="new" localSheetId="7" hidden="1">[2]CE!#REF!</definedName>
    <definedName name="new" localSheetId="9" hidden="1">[2]CE!#REF!</definedName>
    <definedName name="new" localSheetId="10" hidden="1">[2]CE!#REF!</definedName>
    <definedName name="new" localSheetId="11" hidden="1">[2]CE!#REF!</definedName>
    <definedName name="new" localSheetId="12" hidden="1">[2]CE!#REF!</definedName>
    <definedName name="new" localSheetId="13" hidden="1">[2]CE!#REF!</definedName>
    <definedName name="_xlnm.Print_Area" localSheetId="0">Checklist!$A$1:$E$41</definedName>
    <definedName name="xxxx" localSheetId="6" hidden="1">[3]CE!#REF!</definedName>
    <definedName name="xxxx" localSheetId="7" hidden="1">[3]CE!#REF!</definedName>
    <definedName name="xxxx" localSheetId="9" hidden="1">[3]CE!#REF!</definedName>
    <definedName name="xxxx" localSheetId="10" hidden="1">[3]CE!#REF!</definedName>
    <definedName name="xxxx" localSheetId="11" hidden="1">[3]CE!#REF!</definedName>
    <definedName name="xxxx" localSheetId="12" hidden="1">[3]CE!#REF!</definedName>
    <definedName name="xxxx" localSheetId="13" hidden="1">[3]CE!#REF!</definedName>
  </definedNames>
  <calcPr calcId="125725" iterate="1" iterateCount="1000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5" i="109"/>
  <c r="O14" i="103"/>
  <c r="N14"/>
  <c r="M14"/>
  <c r="K14"/>
  <c r="H64" i="101"/>
  <c r="G64"/>
  <c r="F64"/>
  <c r="D64"/>
  <c r="H58"/>
  <c r="G58"/>
  <c r="F58"/>
  <c r="H52"/>
  <c r="K12" i="93" s="1"/>
  <c r="G52" i="101"/>
  <c r="K11" i="93" s="1"/>
  <c r="F52" i="101"/>
  <c r="H46"/>
  <c r="G46"/>
  <c r="J11" i="93" s="1"/>
  <c r="F46" i="101"/>
  <c r="H40"/>
  <c r="I12" i="93" s="1"/>
  <c r="G40" i="101"/>
  <c r="I11" i="93" s="1"/>
  <c r="F40" i="101"/>
  <c r="I32"/>
  <c r="H32"/>
  <c r="G32"/>
  <c r="F32"/>
  <c r="H25"/>
  <c r="G25"/>
  <c r="H20"/>
  <c r="G20"/>
  <c r="F20"/>
  <c r="G14"/>
  <c r="J12" i="93" l="1"/>
  <c r="L14" i="103"/>
  <c r="M67" i="110"/>
  <c r="L67"/>
  <c r="K67"/>
  <c r="J67"/>
  <c r="I67"/>
  <c r="H67"/>
  <c r="G67"/>
  <c r="F67"/>
  <c r="E67"/>
  <c r="D67"/>
  <c r="C67"/>
  <c r="B67"/>
  <c r="N65"/>
  <c r="N63"/>
  <c r="M58"/>
  <c r="L58"/>
  <c r="K58"/>
  <c r="J58"/>
  <c r="I58"/>
  <c r="H58"/>
  <c r="G58"/>
  <c r="F58"/>
  <c r="E58"/>
  <c r="D58"/>
  <c r="C58"/>
  <c r="B58"/>
  <c r="N56"/>
  <c r="N54"/>
  <c r="M49"/>
  <c r="L49"/>
  <c r="K49"/>
  <c r="J49"/>
  <c r="I49"/>
  <c r="H49"/>
  <c r="G49"/>
  <c r="F49"/>
  <c r="E49"/>
  <c r="D49"/>
  <c r="C49"/>
  <c r="B49"/>
  <c r="N47"/>
  <c r="N45"/>
  <c r="M40"/>
  <c r="L40"/>
  <c r="K40"/>
  <c r="J40"/>
  <c r="I40"/>
  <c r="H40"/>
  <c r="G40"/>
  <c r="F40"/>
  <c r="E40"/>
  <c r="D40"/>
  <c r="C40"/>
  <c r="B40"/>
  <c r="N38"/>
  <c r="N36"/>
  <c r="M29"/>
  <c r="L29"/>
  <c r="K29"/>
  <c r="J29"/>
  <c r="I29"/>
  <c r="H29"/>
  <c r="G29"/>
  <c r="F29"/>
  <c r="E29"/>
  <c r="D29"/>
  <c r="C29"/>
  <c r="B29"/>
  <c r="M27"/>
  <c r="M31" s="1"/>
  <c r="L27"/>
  <c r="L31" s="1"/>
  <c r="K27"/>
  <c r="K31" s="1"/>
  <c r="J27"/>
  <c r="J31" s="1"/>
  <c r="I27"/>
  <c r="I31" s="1"/>
  <c r="H27"/>
  <c r="H31" s="1"/>
  <c r="G27"/>
  <c r="G31" s="1"/>
  <c r="F27"/>
  <c r="F31" s="1"/>
  <c r="E27"/>
  <c r="E31" s="1"/>
  <c r="D27"/>
  <c r="D31" s="1"/>
  <c r="C27"/>
  <c r="C31" s="1"/>
  <c r="B27"/>
  <c r="M20"/>
  <c r="L20"/>
  <c r="K20"/>
  <c r="J20"/>
  <c r="I20"/>
  <c r="H20"/>
  <c r="G20"/>
  <c r="F20"/>
  <c r="E20"/>
  <c r="D20"/>
  <c r="C20"/>
  <c r="B20"/>
  <c r="M18"/>
  <c r="M22" s="1"/>
  <c r="L18"/>
  <c r="L22" s="1"/>
  <c r="K18"/>
  <c r="K22" s="1"/>
  <c r="J18"/>
  <c r="J22" s="1"/>
  <c r="I18"/>
  <c r="I22" s="1"/>
  <c r="H18"/>
  <c r="H22" s="1"/>
  <c r="G18"/>
  <c r="G22" s="1"/>
  <c r="F18"/>
  <c r="F22" s="1"/>
  <c r="E18"/>
  <c r="E22" s="1"/>
  <c r="D18"/>
  <c r="D22" s="1"/>
  <c r="C18"/>
  <c r="C22" s="1"/>
  <c r="B18"/>
  <c r="N67" l="1"/>
  <c r="N40"/>
  <c r="N58"/>
  <c r="N49"/>
  <c r="N27"/>
  <c r="N29"/>
  <c r="B31"/>
  <c r="N18"/>
  <c r="N20"/>
  <c r="B22"/>
  <c r="N31" l="1"/>
  <c r="N22"/>
  <c r="M10" l="1"/>
  <c r="L10"/>
  <c r="K10"/>
  <c r="J10"/>
  <c r="I10"/>
  <c r="H10"/>
  <c r="G10"/>
  <c r="F10"/>
  <c r="E10"/>
  <c r="D10"/>
  <c r="C10"/>
  <c r="B10"/>
  <c r="M8"/>
  <c r="M12" s="1"/>
  <c r="L8"/>
  <c r="L12" s="1"/>
  <c r="K8"/>
  <c r="K12" s="1"/>
  <c r="J8"/>
  <c r="J12" s="1"/>
  <c r="I8"/>
  <c r="I12" s="1"/>
  <c r="H8"/>
  <c r="H12" s="1"/>
  <c r="G8"/>
  <c r="G12" s="1"/>
  <c r="F8"/>
  <c r="F12" s="1"/>
  <c r="E8"/>
  <c r="E12" s="1"/>
  <c r="D8"/>
  <c r="D12" s="1"/>
  <c r="C8"/>
  <c r="C12" s="1"/>
  <c r="B8"/>
  <c r="N8" l="1"/>
  <c r="N10"/>
  <c r="B12"/>
  <c r="I14" i="58"/>
  <c r="J12" i="102"/>
  <c r="N12" i="110" l="1"/>
  <c r="L83" i="102"/>
  <c r="H83"/>
  <c r="G83"/>
  <c r="L74"/>
  <c r="H74"/>
  <c r="G74"/>
  <c r="L65"/>
  <c r="H65"/>
  <c r="G65"/>
  <c r="L56"/>
  <c r="H56"/>
  <c r="L38"/>
  <c r="H38"/>
  <c r="H47" s="1"/>
  <c r="L21"/>
  <c r="H21"/>
  <c r="G21"/>
  <c r="F21"/>
  <c r="N20"/>
  <c r="M20"/>
  <c r="I20"/>
  <c r="N19"/>
  <c r="M19"/>
  <c r="J36" s="1"/>
  <c r="I19"/>
  <c r="N18"/>
  <c r="M18"/>
  <c r="J35" s="1"/>
  <c r="I18"/>
  <c r="N17"/>
  <c r="M17"/>
  <c r="J34" s="1"/>
  <c r="I17"/>
  <c r="N16"/>
  <c r="M16"/>
  <c r="J33" s="1"/>
  <c r="I16"/>
  <c r="J15"/>
  <c r="I15"/>
  <c r="N14"/>
  <c r="M14"/>
  <c r="J31" s="1"/>
  <c r="I14"/>
  <c r="N13"/>
  <c r="M13"/>
  <c r="J30" s="1"/>
  <c r="I13"/>
  <c r="K12"/>
  <c r="K21" s="1"/>
  <c r="I12"/>
  <c r="N11"/>
  <c r="M11"/>
  <c r="J28" s="1"/>
  <c r="I11"/>
  <c r="N10"/>
  <c r="M10"/>
  <c r="J27" s="1"/>
  <c r="I10"/>
  <c r="N9"/>
  <c r="M9"/>
  <c r="J26" s="1"/>
  <c r="I9"/>
  <c r="M12" l="1"/>
  <c r="J29" s="1"/>
  <c r="F26"/>
  <c r="F27"/>
  <c r="N27" s="1"/>
  <c r="F28"/>
  <c r="I28" s="1"/>
  <c r="F29"/>
  <c r="I29" s="1"/>
  <c r="F30"/>
  <c r="I30" s="1"/>
  <c r="O13"/>
  <c r="F31"/>
  <c r="O14"/>
  <c r="N15"/>
  <c r="M15"/>
  <c r="F33"/>
  <c r="O17"/>
  <c r="F35"/>
  <c r="I35" s="1"/>
  <c r="O19"/>
  <c r="F37"/>
  <c r="I37" s="1"/>
  <c r="O20"/>
  <c r="I27"/>
  <c r="N26"/>
  <c r="I26"/>
  <c r="N30"/>
  <c r="N31"/>
  <c r="I31"/>
  <c r="N33"/>
  <c r="I33"/>
  <c r="N12"/>
  <c r="J21"/>
  <c r="F32"/>
  <c r="F34"/>
  <c r="F36"/>
  <c r="J37"/>
  <c r="O9"/>
  <c r="O10"/>
  <c r="O11"/>
  <c r="I21"/>
  <c r="O16"/>
  <c r="O18"/>
  <c r="N28" l="1"/>
  <c r="N35"/>
  <c r="N29"/>
  <c r="O12"/>
  <c r="E21"/>
  <c r="M21"/>
  <c r="O21" s="1"/>
  <c r="N21"/>
  <c r="M37"/>
  <c r="O37" s="1"/>
  <c r="M35"/>
  <c r="M33"/>
  <c r="O33" s="1"/>
  <c r="J32"/>
  <c r="O15"/>
  <c r="M31"/>
  <c r="O31" s="1"/>
  <c r="M30"/>
  <c r="O30" s="1"/>
  <c r="M29"/>
  <c r="O29" s="1"/>
  <c r="M28"/>
  <c r="O28" s="1"/>
  <c r="M27"/>
  <c r="O27" s="1"/>
  <c r="I32"/>
  <c r="N32"/>
  <c r="I34"/>
  <c r="N34"/>
  <c r="F38"/>
  <c r="J10" i="103" s="1"/>
  <c r="F46" i="102"/>
  <c r="F44"/>
  <c r="O35"/>
  <c r="I36"/>
  <c r="N36"/>
  <c r="J38"/>
  <c r="N37"/>
  <c r="I15" i="58"/>
  <c r="M36" i="102" l="1"/>
  <c r="O36" s="1"/>
  <c r="N38"/>
  <c r="M34"/>
  <c r="K38"/>
  <c r="M38" s="1"/>
  <c r="M26"/>
  <c r="O26" s="1"/>
  <c r="M32"/>
  <c r="O32" s="1"/>
  <c r="G10" i="103"/>
  <c r="G10" i="105"/>
  <c r="F45" i="102"/>
  <c r="N46"/>
  <c r="I46"/>
  <c r="O34"/>
  <c r="F43"/>
  <c r="N44"/>
  <c r="I44"/>
  <c r="G12" i="58"/>
  <c r="H14" i="66"/>
  <c r="E14"/>
  <c r="D14" i="104" s="1"/>
  <c r="H10" i="105"/>
  <c r="D10"/>
  <c r="E15" i="103"/>
  <c r="E10"/>
  <c r="F10" s="1"/>
  <c r="J47" i="102" l="1"/>
  <c r="F55"/>
  <c r="N43"/>
  <c r="I43"/>
  <c r="K46"/>
  <c r="M46" s="1"/>
  <c r="O46" s="1"/>
  <c r="F53"/>
  <c r="N45"/>
  <c r="I45"/>
  <c r="K45" s="1"/>
  <c r="M45" s="1"/>
  <c r="K44"/>
  <c r="M44" s="1"/>
  <c r="O44" s="1"/>
  <c r="D10" i="103"/>
  <c r="M47" i="102" l="1"/>
  <c r="F52"/>
  <c r="F54"/>
  <c r="O45"/>
  <c r="N55"/>
  <c r="I55"/>
  <c r="K55" s="1"/>
  <c r="M55" s="1"/>
  <c r="K43"/>
  <c r="M43" s="1"/>
  <c r="O43" s="1"/>
  <c r="N53"/>
  <c r="I53"/>
  <c r="E10" i="105"/>
  <c r="F10" s="1"/>
  <c r="E14" i="103"/>
  <c r="E11" i="93"/>
  <c r="J56" i="102" l="1"/>
  <c r="N52"/>
  <c r="I52"/>
  <c r="K52" s="1"/>
  <c r="M52" s="1"/>
  <c r="F62"/>
  <c r="F64"/>
  <c r="O55"/>
  <c r="N54"/>
  <c r="I54"/>
  <c r="K54" s="1"/>
  <c r="M54" s="1"/>
  <c r="K53"/>
  <c r="M53" s="1"/>
  <c r="O53" s="1"/>
  <c r="E11" i="103"/>
  <c r="F11" s="1"/>
  <c r="D11"/>
  <c r="M56" i="102" l="1"/>
  <c r="N64"/>
  <c r="I64"/>
  <c r="O52"/>
  <c r="F61"/>
  <c r="O54"/>
  <c r="F63"/>
  <c r="N62"/>
  <c r="I62"/>
  <c r="K62" s="1"/>
  <c r="M62" s="1"/>
  <c r="E34" i="67"/>
  <c r="F34"/>
  <c r="G34"/>
  <c r="H34"/>
  <c r="D34"/>
  <c r="Q14" i="91"/>
  <c r="Q13"/>
  <c r="J65" i="102" l="1"/>
  <c r="F73"/>
  <c r="K64"/>
  <c r="M64" s="1"/>
  <c r="O64" s="1"/>
  <c r="N63"/>
  <c r="I63"/>
  <c r="K63" s="1"/>
  <c r="M63" s="1"/>
  <c r="O62"/>
  <c r="F71"/>
  <c r="N61"/>
  <c r="I61"/>
  <c r="K61" s="1"/>
  <c r="M61" s="1"/>
  <c r="P24" i="91"/>
  <c r="O24"/>
  <c r="N24"/>
  <c r="M24"/>
  <c r="L24"/>
  <c r="K24"/>
  <c r="J24"/>
  <c r="I24"/>
  <c r="H24"/>
  <c r="G24"/>
  <c r="F24"/>
  <c r="E24"/>
  <c r="Q20"/>
  <c r="Q24" s="1"/>
  <c r="Q29" s="1"/>
  <c r="Q18"/>
  <c r="M65" i="102" l="1"/>
  <c r="N71"/>
  <c r="I71"/>
  <c r="K71" s="1"/>
  <c r="M71" s="1"/>
  <c r="N73"/>
  <c r="I73"/>
  <c r="F72"/>
  <c r="O63"/>
  <c r="F70"/>
  <c r="O61"/>
  <c r="D12" i="105"/>
  <c r="J74" i="102" l="1"/>
  <c r="F82"/>
  <c r="N70"/>
  <c r="I70"/>
  <c r="K70" s="1"/>
  <c r="M70" s="1"/>
  <c r="F80"/>
  <c r="O71"/>
  <c r="N72"/>
  <c r="I72"/>
  <c r="K73"/>
  <c r="M73" s="1"/>
  <c r="O73" s="1"/>
  <c r="M74" l="1"/>
  <c r="N82"/>
  <c r="I82"/>
  <c r="F81"/>
  <c r="N80"/>
  <c r="I80"/>
  <c r="O70"/>
  <c r="F79"/>
  <c r="K72"/>
  <c r="M72" s="1"/>
  <c r="O72" s="1"/>
  <c r="D38" i="68"/>
  <c r="D40" s="1"/>
  <c r="D18" i="69"/>
  <c r="D21" s="1"/>
  <c r="D15" i="109"/>
  <c r="G15" i="103"/>
  <c r="D15"/>
  <c r="D17" s="1"/>
  <c r="D14" i="105"/>
  <c r="H12" i="103"/>
  <c r="D12"/>
  <c r="D22" i="106"/>
  <c r="N18" i="72"/>
  <c r="J18"/>
  <c r="G18"/>
  <c r="C18"/>
  <c r="E29" i="91"/>
  <c r="E15"/>
  <c r="J83" i="102" l="1"/>
  <c r="M83" s="1"/>
  <c r="N81"/>
  <c r="I81"/>
  <c r="K81" s="1"/>
  <c r="M81" s="1"/>
  <c r="N79"/>
  <c r="I79"/>
  <c r="K79" s="1"/>
  <c r="M79" s="1"/>
  <c r="K82"/>
  <c r="M82" s="1"/>
  <c r="O82" s="1"/>
  <c r="K80"/>
  <c r="M80" s="1"/>
  <c r="O80" s="1"/>
  <c r="D16" i="103"/>
  <c r="D18" s="1"/>
  <c r="D20" s="1"/>
  <c r="N83" i="102" l="1"/>
  <c r="O79"/>
  <c r="O81"/>
  <c r="G13" i="104"/>
  <c r="D13"/>
  <c r="M34" i="67"/>
  <c r="M36" s="1"/>
  <c r="N11" i="66" s="1"/>
  <c r="L34" i="67"/>
  <c r="L36" s="1"/>
  <c r="M11" i="66" s="1"/>
  <c r="K34" i="67"/>
  <c r="K36" s="1"/>
  <c r="L11" i="66" s="1"/>
  <c r="J34" i="67"/>
  <c r="J36" s="1"/>
  <c r="K11" i="66" s="1"/>
  <c r="I34" i="67"/>
  <c r="I36" s="1"/>
  <c r="J11" i="66" s="1"/>
  <c r="H36" i="67"/>
  <c r="I11" i="66" s="1"/>
  <c r="G36" i="67"/>
  <c r="F11" i="66" s="1"/>
  <c r="G11" s="1"/>
  <c r="M38" i="68"/>
  <c r="M40" s="1"/>
  <c r="N12" i="66" s="1"/>
  <c r="L38" i="68"/>
  <c r="L40" s="1"/>
  <c r="K38"/>
  <c r="K40" s="1"/>
  <c r="L12" i="66" s="1"/>
  <c r="J38" i="68"/>
  <c r="J40" s="1"/>
  <c r="K12" i="66" s="1"/>
  <c r="I38" i="68"/>
  <c r="I40" s="1"/>
  <c r="J12" i="66" s="1"/>
  <c r="H38" i="68"/>
  <c r="H40" s="1"/>
  <c r="I12" i="66" s="1"/>
  <c r="G38" i="68"/>
  <c r="G40" s="1"/>
  <c r="F12" i="66" s="1"/>
  <c r="G12" s="1"/>
  <c r="F38" i="68"/>
  <c r="F40" s="1"/>
  <c r="E38"/>
  <c r="E40" s="1"/>
  <c r="M18" i="69"/>
  <c r="N13" i="66" s="1"/>
  <c r="L18" i="69"/>
  <c r="M13" i="66" s="1"/>
  <c r="K18" i="69"/>
  <c r="L13" i="66" s="1"/>
  <c r="J18" i="69"/>
  <c r="K13" i="66" s="1"/>
  <c r="I18" i="69"/>
  <c r="J13" i="66" s="1"/>
  <c r="H18" i="69"/>
  <c r="I13" i="66" s="1"/>
  <c r="G18" i="69"/>
  <c r="F13" i="66" s="1"/>
  <c r="G13" s="1"/>
  <c r="F18" i="69"/>
  <c r="F21" s="1"/>
  <c r="E18"/>
  <c r="E21" s="1"/>
  <c r="D13" i="93"/>
  <c r="G13"/>
  <c r="M11"/>
  <c r="L11"/>
  <c r="H11"/>
  <c r="J15" i="109"/>
  <c r="J21" s="1"/>
  <c r="I15"/>
  <c r="I21" s="1"/>
  <c r="H15"/>
  <c r="H21" s="1"/>
  <c r="G15"/>
  <c r="G21" s="1"/>
  <c r="F15"/>
  <c r="F46" i="103"/>
  <c r="F47" s="1"/>
  <c r="F49" s="1"/>
  <c r="F51" s="1"/>
  <c r="E46"/>
  <c r="E47" s="1"/>
  <c r="E49" s="1"/>
  <c r="E51" s="1"/>
  <c r="F36"/>
  <c r="F37" s="1"/>
  <c r="F39" s="1"/>
  <c r="E36"/>
  <c r="E37" s="1"/>
  <c r="E39" s="1"/>
  <c r="G17"/>
  <c r="I12"/>
  <c r="F12"/>
  <c r="E12"/>
  <c r="D18" i="105"/>
  <c r="M18"/>
  <c r="L18"/>
  <c r="K18"/>
  <c r="J18"/>
  <c r="I18"/>
  <c r="H18"/>
  <c r="G18"/>
  <c r="F18"/>
  <c r="E18"/>
  <c r="O83" i="102" l="1"/>
  <c r="I14" i="66"/>
  <c r="H13" i="104" s="1"/>
  <c r="L14" i="66"/>
  <c r="K13" i="104" s="1"/>
  <c r="G9" i="109"/>
  <c r="D9"/>
  <c r="E12" i="93"/>
  <c r="F12" s="1"/>
  <c r="E11" i="105"/>
  <c r="E12" s="1"/>
  <c r="F14" i="66"/>
  <c r="E13" i="104" s="1"/>
  <c r="F9" i="109"/>
  <c r="I11" i="105"/>
  <c r="I12" s="1"/>
  <c r="J9" i="109"/>
  <c r="M11" i="105"/>
  <c r="M12" s="1"/>
  <c r="M12" i="93"/>
  <c r="D20" i="105"/>
  <c r="D21" s="1"/>
  <c r="E9" i="109"/>
  <c r="H12" i="93"/>
  <c r="I9" i="109"/>
  <c r="L12" i="93"/>
  <c r="L11" i="105" s="1"/>
  <c r="L12" s="1"/>
  <c r="M12" i="66"/>
  <c r="M14" s="1"/>
  <c r="G14"/>
  <c r="F13" i="104" s="1"/>
  <c r="H9" i="109"/>
  <c r="K11" i="105"/>
  <c r="K12" s="1"/>
  <c r="F11" i="93"/>
  <c r="J14" i="66"/>
  <c r="I13" i="104" s="1"/>
  <c r="N14" i="66"/>
  <c r="M13" i="104" s="1"/>
  <c r="K14" i="66"/>
  <c r="J13" i="104" s="1"/>
  <c r="M11" i="58"/>
  <c r="I11"/>
  <c r="G14" i="104" s="1"/>
  <c r="G20" i="69"/>
  <c r="F11" i="58"/>
  <c r="I10" i="93"/>
  <c r="F41" i="103"/>
  <c r="E41"/>
  <c r="F13" i="58"/>
  <c r="E20" i="105"/>
  <c r="F20"/>
  <c r="H20"/>
  <c r="G20"/>
  <c r="G38" i="102" l="1"/>
  <c r="I38" s="1"/>
  <c r="H11" i="105"/>
  <c r="H12" s="1"/>
  <c r="H14" s="1"/>
  <c r="H21" s="1"/>
  <c r="H22" s="1"/>
  <c r="J15" i="58" s="1"/>
  <c r="G56" i="102"/>
  <c r="J11" i="105"/>
  <c r="J12" s="1"/>
  <c r="F13" i="93"/>
  <c r="J11" i="58"/>
  <c r="H14" i="104" s="1"/>
  <c r="E18" i="109"/>
  <c r="E17"/>
  <c r="D18"/>
  <c r="D17"/>
  <c r="F18"/>
  <c r="F17"/>
  <c r="J11" i="103"/>
  <c r="J12" s="1"/>
  <c r="I13" i="93"/>
  <c r="J10" s="1"/>
  <c r="J13" s="1"/>
  <c r="K10" s="1"/>
  <c r="K13" s="1"/>
  <c r="H11" i="58"/>
  <c r="F14" i="104" s="1"/>
  <c r="L13"/>
  <c r="N11" i="58"/>
  <c r="H20" i="69"/>
  <c r="H21" s="1"/>
  <c r="F14" i="103"/>
  <c r="E17"/>
  <c r="G11" i="58"/>
  <c r="E14" i="104" s="1"/>
  <c r="E13" i="93"/>
  <c r="H10" s="1"/>
  <c r="E14" i="105"/>
  <c r="E21" s="1"/>
  <c r="E22" s="1"/>
  <c r="G15" i="58" s="1"/>
  <c r="F11" i="105"/>
  <c r="I20" i="103"/>
  <c r="I22" s="1"/>
  <c r="H20"/>
  <c r="H22" s="1"/>
  <c r="E16"/>
  <c r="E18" s="1"/>
  <c r="G21" i="69"/>
  <c r="L11" i="58"/>
  <c r="K11"/>
  <c r="O11"/>
  <c r="F15"/>
  <c r="J14" i="103" l="1"/>
  <c r="D21" i="109"/>
  <c r="F47" i="102"/>
  <c r="E38"/>
  <c r="O38"/>
  <c r="G11" i="105"/>
  <c r="G12" s="1"/>
  <c r="G14" s="1"/>
  <c r="G21" s="1"/>
  <c r="E21" i="109"/>
  <c r="F12" i="105"/>
  <c r="F14" s="1"/>
  <c r="F21" s="1"/>
  <c r="F22" s="1"/>
  <c r="H15" i="58" s="1"/>
  <c r="F21" i="109"/>
  <c r="L10" i="93"/>
  <c r="L13" s="1"/>
  <c r="E20" i="103"/>
  <c r="E22" s="1"/>
  <c r="G13" i="58" s="1"/>
  <c r="H12"/>
  <c r="K10" i="103" l="1"/>
  <c r="L10" s="1"/>
  <c r="M10" s="1"/>
  <c r="N10" s="1"/>
  <c r="O10" s="1"/>
  <c r="I14" i="104"/>
  <c r="N47" i="102"/>
  <c r="I10" i="105"/>
  <c r="I47" i="102"/>
  <c r="F15" i="103"/>
  <c r="M10" i="93"/>
  <c r="M13" s="1"/>
  <c r="J12" i="58"/>
  <c r="J15" i="103" s="1"/>
  <c r="O47" i="102" l="1"/>
  <c r="F56"/>
  <c r="E47"/>
  <c r="I20" i="105"/>
  <c r="I14"/>
  <c r="J10" s="1"/>
  <c r="J20" s="1"/>
  <c r="F16" i="103"/>
  <c r="F18" s="1"/>
  <c r="F20" s="1"/>
  <c r="F22" s="1"/>
  <c r="H13" i="58" s="1"/>
  <c r="G11" i="103"/>
  <c r="G12" s="1"/>
  <c r="G16" s="1"/>
  <c r="G18" s="1"/>
  <c r="G20" s="1"/>
  <c r="I13" i="58" s="1"/>
  <c r="F17" i="103"/>
  <c r="K11"/>
  <c r="K12" s="1"/>
  <c r="I20" i="69"/>
  <c r="I21" s="1"/>
  <c r="J16" i="103"/>
  <c r="J18" s="1"/>
  <c r="J20" s="1"/>
  <c r="J22" s="1"/>
  <c r="J13" i="58" s="1"/>
  <c r="J17" i="103"/>
  <c r="M22" i="106"/>
  <c r="O16" i="58" s="1"/>
  <c r="L22" i="106"/>
  <c r="N16" i="58" s="1"/>
  <c r="K22" i="106"/>
  <c r="M16" i="58" s="1"/>
  <c r="J22" i="106"/>
  <c r="L16" i="58" s="1"/>
  <c r="I22" i="106"/>
  <c r="K16" i="58" s="1"/>
  <c r="H22" i="106"/>
  <c r="J16" i="58" s="1"/>
  <c r="F22" i="106"/>
  <c r="H16" i="58" s="1"/>
  <c r="E22" i="106"/>
  <c r="G16" i="58" s="1"/>
  <c r="M17" i="104"/>
  <c r="L17"/>
  <c r="K17"/>
  <c r="J17"/>
  <c r="I17"/>
  <c r="H17"/>
  <c r="G17"/>
  <c r="F17"/>
  <c r="E17"/>
  <c r="M18" i="72"/>
  <c r="L18"/>
  <c r="K18"/>
  <c r="F18"/>
  <c r="E18"/>
  <c r="D18"/>
  <c r="Q15" i="91"/>
  <c r="P15"/>
  <c r="O15"/>
  <c r="N15"/>
  <c r="M15"/>
  <c r="L15"/>
  <c r="K15"/>
  <c r="J15"/>
  <c r="I15"/>
  <c r="H15"/>
  <c r="G15"/>
  <c r="F15"/>
  <c r="P29"/>
  <c r="O29"/>
  <c r="N29"/>
  <c r="M29"/>
  <c r="L29"/>
  <c r="K29"/>
  <c r="J29"/>
  <c r="I29"/>
  <c r="H29"/>
  <c r="G29"/>
  <c r="F29"/>
  <c r="J14" i="105" l="1"/>
  <c r="J14" i="104"/>
  <c r="I56" i="102"/>
  <c r="E56" s="1"/>
  <c r="N56"/>
  <c r="I21" i="105"/>
  <c r="I22" s="1"/>
  <c r="K15" i="58" s="1"/>
  <c r="L11" i="103"/>
  <c r="L12" s="1"/>
  <c r="J20" i="69"/>
  <c r="J21" s="1"/>
  <c r="D17" i="104"/>
  <c r="K10" i="105" l="1"/>
  <c r="K14" s="1"/>
  <c r="L10" s="1"/>
  <c r="J21"/>
  <c r="J22" s="1"/>
  <c r="L15" i="58" s="1"/>
  <c r="O56" i="102"/>
  <c r="F65"/>
  <c r="K14" i="104" s="1"/>
  <c r="M11" i="103"/>
  <c r="M12" s="1"/>
  <c r="K12" i="58"/>
  <c r="K15" i="103" s="1"/>
  <c r="K20" i="105" l="1"/>
  <c r="K21" s="1"/>
  <c r="K22" s="1"/>
  <c r="M15" i="58" s="1"/>
  <c r="N65" i="102"/>
  <c r="I65"/>
  <c r="E65" s="1"/>
  <c r="N11" i="103"/>
  <c r="N12" s="1"/>
  <c r="L12" i="58"/>
  <c r="L15" i="103" s="1"/>
  <c r="K16"/>
  <c r="K18" s="1"/>
  <c r="K20" s="1"/>
  <c r="K22" s="1"/>
  <c r="K13" i="58" s="1"/>
  <c r="K17" i="103"/>
  <c r="K20" i="69"/>
  <c r="K21" s="1"/>
  <c r="B20" i="58"/>
  <c r="B21" s="1"/>
  <c r="O65" i="102" l="1"/>
  <c r="F74"/>
  <c r="L14" i="104" s="1"/>
  <c r="L20" i="105"/>
  <c r="L14"/>
  <c r="M10" s="1"/>
  <c r="O11" i="103"/>
  <c r="O12" s="1"/>
  <c r="L16"/>
  <c r="L18" s="1"/>
  <c r="L20" s="1"/>
  <c r="L22" s="1"/>
  <c r="L13" i="58" s="1"/>
  <c r="L17" i="103"/>
  <c r="L21" i="105" l="1"/>
  <c r="L22" s="1"/>
  <c r="N15" i="58" s="1"/>
  <c r="I74" i="102"/>
  <c r="E74" s="1"/>
  <c r="N74"/>
  <c r="L20" i="69"/>
  <c r="L21" s="1"/>
  <c r="M12" i="58"/>
  <c r="M15" i="103" s="1"/>
  <c r="O74" i="102" l="1"/>
  <c r="F83"/>
  <c r="M20" i="105"/>
  <c r="M14"/>
  <c r="M17" i="103"/>
  <c r="M16"/>
  <c r="M18" s="1"/>
  <c r="M20" s="1"/>
  <c r="M22" s="1"/>
  <c r="M13" i="58" s="1"/>
  <c r="N12"/>
  <c r="N15" i="103" s="1"/>
  <c r="B11" i="106"/>
  <c r="B12" s="1"/>
  <c r="B13" s="1"/>
  <c r="B14" s="1"/>
  <c r="B15" s="1"/>
  <c r="B16" s="1"/>
  <c r="B17" s="1"/>
  <c r="B18" s="1"/>
  <c r="B19" s="1"/>
  <c r="B20" s="1"/>
  <c r="B21" s="1"/>
  <c r="B11" i="105"/>
  <c r="B12" s="1"/>
  <c r="B13" s="1"/>
  <c r="B14" s="1"/>
  <c r="B16" s="1"/>
  <c r="B17" s="1"/>
  <c r="B18" s="1"/>
  <c r="B20" s="1"/>
  <c r="B11" i="104"/>
  <c r="B12" s="1"/>
  <c r="B13" s="1"/>
  <c r="B14" s="1"/>
  <c r="B15" s="1"/>
  <c r="B17" s="1"/>
  <c r="B18" s="1"/>
  <c r="B19" s="1"/>
  <c r="B20" s="1"/>
  <c r="B11" i="103"/>
  <c r="B12" s="1"/>
  <c r="B13" s="1"/>
  <c r="B14" s="1"/>
  <c r="B15" s="1"/>
  <c r="B16" s="1"/>
  <c r="B17" s="1"/>
  <c r="B18" s="1"/>
  <c r="B19" s="1"/>
  <c r="B20" s="1"/>
  <c r="B21" s="1"/>
  <c r="B22" s="1"/>
  <c r="M14" i="104" l="1"/>
  <c r="I83" i="102"/>
  <c r="E83" s="1"/>
  <c r="M21" i="105"/>
  <c r="M22" s="1"/>
  <c r="O15" i="58" s="1"/>
  <c r="N16" i="103"/>
  <c r="N18" s="1"/>
  <c r="N20" s="1"/>
  <c r="N22" s="1"/>
  <c r="N13" i="58" s="1"/>
  <c r="N17" i="103"/>
  <c r="M20" i="69"/>
  <c r="M21" s="1"/>
  <c r="B21" i="105"/>
  <c r="B22" s="1"/>
  <c r="B12" i="58"/>
  <c r="B13" s="1"/>
  <c r="B14" s="1"/>
  <c r="B15" s="1"/>
  <c r="B16" s="1"/>
  <c r="B17" s="1"/>
  <c r="B8" i="91" l="1"/>
  <c r="B9" s="1"/>
  <c r="B10" s="1"/>
  <c r="B11" s="1"/>
  <c r="B12" s="1"/>
  <c r="B13" s="1"/>
  <c r="B14" s="1"/>
  <c r="B15" s="1"/>
  <c r="B16" s="1"/>
  <c r="B17" s="1"/>
  <c r="B18" s="1"/>
  <c r="B19" s="1"/>
  <c r="B20" s="1"/>
  <c r="B21" s="1"/>
  <c r="B22" s="1"/>
  <c r="B23" s="1"/>
  <c r="B24" s="1"/>
  <c r="B25" s="1"/>
  <c r="B29" s="1"/>
  <c r="B30" s="1"/>
  <c r="O12" i="58" l="1"/>
  <c r="O15" i="103" s="1"/>
  <c r="B9" i="57"/>
  <c r="B10" s="1"/>
  <c r="B11" s="1"/>
  <c r="B12" s="1"/>
  <c r="O16" i="103" l="1"/>
  <c r="O18" s="1"/>
  <c r="O20" s="1"/>
  <c r="O22" s="1"/>
  <c r="O13" i="58" s="1"/>
  <c r="O17" i="103"/>
  <c r="B13" i="57"/>
  <c r="B14" s="1"/>
  <c r="B15" s="1"/>
  <c r="B12" i="66"/>
  <c r="B13" s="1"/>
  <c r="B14" s="1"/>
  <c r="B28" i="67"/>
  <c r="B29" s="1"/>
  <c r="B30" s="1"/>
  <c r="B31" s="1"/>
  <c r="B16" i="57" l="1"/>
  <c r="B17" s="1"/>
  <c r="B18" s="1"/>
  <c r="B19" s="1"/>
  <c r="B20" s="1"/>
  <c r="B21" s="1"/>
  <c r="B22" s="1"/>
  <c r="B23" l="1"/>
  <c r="B24" s="1"/>
  <c r="B25" s="1"/>
  <c r="B26" s="1"/>
  <c r="B27" s="1"/>
  <c r="B28" s="1"/>
  <c r="B30" s="1"/>
  <c r="B31" s="1"/>
  <c r="B32" s="1"/>
  <c r="B33" l="1"/>
  <c r="B34" s="1"/>
  <c r="B35" s="1"/>
  <c r="B36" s="1"/>
  <c r="B37" s="1"/>
  <c r="B38" s="1"/>
  <c r="B39" s="1"/>
  <c r="I17" i="58" l="1"/>
  <c r="I22" l="1"/>
  <c r="G15" i="104" s="1"/>
  <c r="G18" s="1"/>
  <c r="I23" i="58"/>
  <c r="F14"/>
  <c r="F17" s="1"/>
  <c r="F22" l="1"/>
  <c r="D15" i="104" s="1"/>
  <c r="D18" s="1"/>
  <c r="F23" i="58"/>
  <c r="G14" l="1"/>
  <c r="H14"/>
  <c r="J14"/>
  <c r="K14"/>
  <c r="L14"/>
  <c r="M14"/>
  <c r="N14"/>
  <c r="O14"/>
  <c r="G17"/>
  <c r="H17"/>
  <c r="J17"/>
  <c r="K17"/>
  <c r="L17"/>
  <c r="M17"/>
  <c r="N17"/>
  <c r="O17"/>
  <c r="G22"/>
  <c r="H22"/>
  <c r="J22"/>
  <c r="K22"/>
  <c r="L22"/>
  <c r="M22"/>
  <c r="N22"/>
  <c r="O22"/>
  <c r="G23"/>
  <c r="H23"/>
  <c r="J23"/>
  <c r="K23"/>
  <c r="L23"/>
  <c r="M23"/>
  <c r="N23"/>
  <c r="O23"/>
  <c r="E15" i="104"/>
  <c r="F15"/>
  <c r="H15"/>
  <c r="I15"/>
  <c r="J15"/>
  <c r="K15"/>
  <c r="L15"/>
  <c r="M15"/>
  <c r="E18"/>
  <c r="F18"/>
  <c r="H18"/>
  <c r="I18"/>
  <c r="J18"/>
  <c r="K18"/>
  <c r="L18"/>
  <c r="M18"/>
  <c r="E20"/>
  <c r="F20"/>
  <c r="H20"/>
  <c r="I20"/>
  <c r="J20"/>
  <c r="K20"/>
  <c r="L20"/>
  <c r="M20"/>
</calcChain>
</file>

<file path=xl/sharedStrings.xml><?xml version="1.0" encoding="utf-8"?>
<sst xmlns="http://schemas.openxmlformats.org/spreadsheetml/2006/main" count="1158" uniqueCount="434">
  <si>
    <t>Equity</t>
  </si>
  <si>
    <t>Reference</t>
  </si>
  <si>
    <t>S.No.</t>
  </si>
  <si>
    <t>Actual</t>
  </si>
  <si>
    <t>(Rs. Crore)</t>
  </si>
  <si>
    <t>Estimated</t>
  </si>
  <si>
    <t>Form 1</t>
  </si>
  <si>
    <t>Title</t>
  </si>
  <si>
    <t>Projected</t>
  </si>
  <si>
    <t>…</t>
  </si>
  <si>
    <t>Approved</t>
  </si>
  <si>
    <t>Remarks</t>
  </si>
  <si>
    <t>Audited</t>
  </si>
  <si>
    <t>Opening Balance of Loan</t>
  </si>
  <si>
    <t>Loan Repayment during the year</t>
  </si>
  <si>
    <t>Closing Balance of Loan</t>
  </si>
  <si>
    <t>Applicable Interest Rate (%)</t>
  </si>
  <si>
    <t>Less: Expenses Capitalised</t>
  </si>
  <si>
    <t>Particulars</t>
  </si>
  <si>
    <t>Equity portion of capitalisation during the year</t>
  </si>
  <si>
    <t>Reduction in Equity Capital on account of retirement / replacement of assets</t>
  </si>
  <si>
    <t>Regulatory Equity at the end of the year</t>
  </si>
  <si>
    <t>Form 3</t>
  </si>
  <si>
    <t>Form 4</t>
  </si>
  <si>
    <t>Form 2.1</t>
  </si>
  <si>
    <t>Form 2.2</t>
  </si>
  <si>
    <t>Planned &amp; Forced Outages</t>
  </si>
  <si>
    <t>Form 3.1</t>
  </si>
  <si>
    <t>Form 3.2</t>
  </si>
  <si>
    <t>Form 5</t>
  </si>
  <si>
    <t>Form 6</t>
  </si>
  <si>
    <t>Form 7</t>
  </si>
  <si>
    <t>Form 8</t>
  </si>
  <si>
    <t>Form 9</t>
  </si>
  <si>
    <t>Form 10</t>
  </si>
  <si>
    <t>Form 11</t>
  </si>
  <si>
    <t>Operation &amp; Maintenance Expenses</t>
  </si>
  <si>
    <t>Interest on Working Capital</t>
  </si>
  <si>
    <t>Less: Non-Tariff Income</t>
  </si>
  <si>
    <t>Units</t>
  </si>
  <si>
    <t>%</t>
  </si>
  <si>
    <t>Target PLF for Incentive</t>
  </si>
  <si>
    <t>MU</t>
  </si>
  <si>
    <t xml:space="preserve">Note: </t>
  </si>
  <si>
    <t>Total Working Capital requirement</t>
  </si>
  <si>
    <t>A.</t>
  </si>
  <si>
    <t>Planned Outages</t>
  </si>
  <si>
    <t>No of days of outage</t>
  </si>
  <si>
    <t>Period of Outage</t>
  </si>
  <si>
    <t>Reasons for Outage</t>
  </si>
  <si>
    <t>B.</t>
  </si>
  <si>
    <t>Forced Outages</t>
  </si>
  <si>
    <t xml:space="preserve">Reasons for Outage </t>
  </si>
  <si>
    <t>……</t>
  </si>
  <si>
    <t>…….</t>
  </si>
  <si>
    <t>A</t>
  </si>
  <si>
    <t>A. For Existing Generating Stations</t>
  </si>
  <si>
    <t xml:space="preserve">Employee Expenses </t>
  </si>
  <si>
    <t>Total O&amp;M Expenses</t>
  </si>
  <si>
    <t>B</t>
  </si>
  <si>
    <t>C</t>
  </si>
  <si>
    <t>Basic Salary</t>
  </si>
  <si>
    <t>Dearness Allowance (DA)</t>
  </si>
  <si>
    <t>House Rent Allowance</t>
  </si>
  <si>
    <t>Conveyance Allowance</t>
  </si>
  <si>
    <t>Leave Travel Allowance</t>
  </si>
  <si>
    <t>Earned Leave Encashment</t>
  </si>
  <si>
    <t>Other Allowances</t>
  </si>
  <si>
    <t>Medical Reimbursement</t>
  </si>
  <si>
    <t>Overtime Payment</t>
  </si>
  <si>
    <t>Bonus/Ex-Gratia Payments</t>
  </si>
  <si>
    <t xml:space="preserve">Interim Relief / Wage Revision </t>
  </si>
  <si>
    <t>Staff welfare expenses</t>
  </si>
  <si>
    <t>VRS Expenses/Retrenchment Compensation</t>
  </si>
  <si>
    <t>Commission to Directors</t>
  </si>
  <si>
    <t>Training Expenses</t>
  </si>
  <si>
    <t>Payment under Workmen's Compensation Act</t>
  </si>
  <si>
    <t>Net Employee Costs</t>
  </si>
  <si>
    <t>Terminal Benefits</t>
  </si>
  <si>
    <t>Provident Fund Contribution</t>
  </si>
  <si>
    <t>Provision for PF Fund</t>
  </si>
  <si>
    <t>Pension Payments</t>
  </si>
  <si>
    <t>Gratuity Payment</t>
  </si>
  <si>
    <t>Others</t>
  </si>
  <si>
    <t xml:space="preserve">Gross Employee Expenses </t>
  </si>
  <si>
    <t xml:space="preserve">Net Employee Expenses </t>
  </si>
  <si>
    <t>Rent Rates &amp; Taxes</t>
  </si>
  <si>
    <t>Insurance</t>
  </si>
  <si>
    <t>Telephone &amp; Postage, etc.</t>
  </si>
  <si>
    <t>Legal charges &amp; Audit fee</t>
  </si>
  <si>
    <t>Professional, Consultancy, Technical fee</t>
  </si>
  <si>
    <t>Conveyance &amp; Travel</t>
  </si>
  <si>
    <t>Electricity charges</t>
  </si>
  <si>
    <t>Water charges</t>
  </si>
  <si>
    <t>Security arrangements</t>
  </si>
  <si>
    <t>Fees &amp; subscription</t>
  </si>
  <si>
    <t>Books &amp; periodicals</t>
  </si>
  <si>
    <t>Computer Stationery</t>
  </si>
  <si>
    <t>Printing &amp; Stationery</t>
  </si>
  <si>
    <t xml:space="preserve">Advertisements </t>
  </si>
  <si>
    <t>Purchase Related Advertisement Expenses</t>
  </si>
  <si>
    <t>Contribution/Donations</t>
  </si>
  <si>
    <t>License Fee  and other related fee</t>
  </si>
  <si>
    <t>Vehicle Running Expenses Truck / Delivery Van</t>
  </si>
  <si>
    <t>Vehicle Hiring Expenses Truck / Delivery Van</t>
  </si>
  <si>
    <t>Cost of services procured</t>
  </si>
  <si>
    <t>Outsourcing of metering and billing system</t>
  </si>
  <si>
    <t>Freight On Capital Equipments</t>
  </si>
  <si>
    <t>V-sat, Internet and related charges</t>
  </si>
  <si>
    <t>Training</t>
  </si>
  <si>
    <t>Bank Charges</t>
  </si>
  <si>
    <t>Miscellaneous Expenses</t>
  </si>
  <si>
    <t>Office Expenses</t>
  </si>
  <si>
    <t>Gross A &amp;G Expenses</t>
  </si>
  <si>
    <t xml:space="preserve">Net A &amp;G Expenses </t>
  </si>
  <si>
    <t>Plant &amp; Machinery</t>
  </si>
  <si>
    <t>Buildings</t>
  </si>
  <si>
    <t>Civil Works</t>
  </si>
  <si>
    <t>Hydraulic Works</t>
  </si>
  <si>
    <t>Lines &amp; Cable Networks</t>
  </si>
  <si>
    <t>Vehicles</t>
  </si>
  <si>
    <t>Furniture &amp; Fixtures</t>
  </si>
  <si>
    <t>Office Equipment</t>
  </si>
  <si>
    <t>Gross R&amp;M Expenses</t>
  </si>
  <si>
    <t>Gross Fixed Assets at beginning of year</t>
  </si>
  <si>
    <t>R&amp;M Expenses as % of GFA at beginning of year</t>
  </si>
  <si>
    <t>Total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</si>
  <si>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</si>
  <si>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</si>
  <si>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</si>
  <si>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</si>
  <si>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</si>
  <si>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</si>
  <si>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</si>
  <si>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</si>
  <si>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</si>
  <si>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Jan</t>
  </si>
  <si>
    <t>Feb</t>
  </si>
  <si>
    <t>Mar</t>
  </si>
  <si>
    <t xml:space="preserve">Components of tariff </t>
  </si>
  <si>
    <t>Relevant sales &amp; load/demand data for revenue calculation</t>
  </si>
  <si>
    <t>Full year revenue (Rs. Crore)</t>
  </si>
  <si>
    <t>Sales in MU</t>
  </si>
  <si>
    <t>Item 3 (specify)</t>
  </si>
  <si>
    <t xml:space="preserve">Revenue from Fixed / Capacity Charges </t>
  </si>
  <si>
    <t>Revenue from Energy Charges</t>
  </si>
  <si>
    <t>Income from sale of ash/rejected coal</t>
  </si>
  <si>
    <t>Revenue from sale of electricity</t>
  </si>
  <si>
    <t>Non-Tariff Income</t>
  </si>
  <si>
    <t>Form 12</t>
  </si>
  <si>
    <t>Income from sale of tender documents</t>
  </si>
  <si>
    <t>Unit 1 / Station 1</t>
  </si>
  <si>
    <t>Unit 2 / Station 2</t>
  </si>
  <si>
    <t xml:space="preserve">Depreciation </t>
  </si>
  <si>
    <t>Addition of Loan during the year</t>
  </si>
  <si>
    <t>Energy Charges (Rs./kWh)</t>
  </si>
  <si>
    <t>Fuel surcharge per unit, if any (Rs./kWh)</t>
  </si>
  <si>
    <t>Fixed / Capacity Charges (Rs. Crore / year)</t>
  </si>
  <si>
    <t>Form 13</t>
  </si>
  <si>
    <t>Total Revenue</t>
  </si>
  <si>
    <t>Normative Availability (%)</t>
  </si>
  <si>
    <t>Opening Balance of Gross Normative Loan</t>
  </si>
  <si>
    <t>Cumulative Repayment till the year</t>
  </si>
  <si>
    <t>Opening Balance of Net Normative Loan</t>
  </si>
  <si>
    <t>Less: Reduction of Normative Loan due to retirement or replacement of assets</t>
  </si>
  <si>
    <t>Closing Balance of Net Normative Loan</t>
  </si>
  <si>
    <t>Closing Balance of Gross Normative Loan</t>
  </si>
  <si>
    <t>Return on Equity Computation</t>
  </si>
  <si>
    <t>Total Return on Equity</t>
  </si>
  <si>
    <t>Repayment of Normative loan during the year</t>
  </si>
  <si>
    <t>Total Loan</t>
  </si>
  <si>
    <t>Justification</t>
  </si>
  <si>
    <t>Financing Details</t>
  </si>
  <si>
    <t>Internal Resources</t>
  </si>
  <si>
    <t>Project Schedule</t>
  </si>
  <si>
    <t>Abstract of Capital Cost</t>
  </si>
  <si>
    <t>Breakup of Capital Cost</t>
  </si>
  <si>
    <t>Breakup of Construction/Supply/Services/Packages</t>
  </si>
  <si>
    <t>Details of Loans</t>
  </si>
  <si>
    <t>Financing of Additional Capitalisation</t>
  </si>
  <si>
    <t>Loan 2</t>
  </si>
  <si>
    <t>Loan 1</t>
  </si>
  <si>
    <t>S. No.</t>
  </si>
  <si>
    <t>Availability during the month (%)</t>
  </si>
  <si>
    <t>Cumulative Availability (%)</t>
  </si>
  <si>
    <t>Actual PLF during the month (%)</t>
  </si>
  <si>
    <t>Cumulative PLF (%)</t>
  </si>
  <si>
    <t>Gross  Generation (MU)</t>
  </si>
  <si>
    <t>Auxiliary Consumption (MU)</t>
  </si>
  <si>
    <t>Variable Charges Per Unit</t>
  </si>
  <si>
    <t>Fixed Charges During Month</t>
  </si>
  <si>
    <t>Incentive Amount</t>
  </si>
  <si>
    <t>Other recoveries/adjustments</t>
  </si>
  <si>
    <t>Rs./kWh</t>
  </si>
  <si>
    <t>Rs. Crore</t>
  </si>
  <si>
    <t>Total Revenue as per Audited Accounts</t>
  </si>
  <si>
    <t>Financial Package</t>
  </si>
  <si>
    <t>True-Up requirement</t>
  </si>
  <si>
    <t xml:space="preserve">Details of outages should be submitted for each Unit of each station separately </t>
  </si>
  <si>
    <t>R &amp; M Expenses</t>
  </si>
  <si>
    <t>Weighted average Rate of Interest on actual Loans (%)</t>
  </si>
  <si>
    <t>Average Balance of Net Normative Loan</t>
  </si>
  <si>
    <t>Average Loan Balance</t>
  </si>
  <si>
    <t>Net Generation (MU)</t>
  </si>
  <si>
    <t>Generation above target PLF (MU)</t>
  </si>
  <si>
    <t>Approved Fixed Charges</t>
  </si>
  <si>
    <t>Amount of Fuel Surcharge Adjustment</t>
  </si>
  <si>
    <t>Summary of Capital Expenditure and Capitalisation</t>
  </si>
  <si>
    <t>Form 15</t>
  </si>
  <si>
    <t>Form 16</t>
  </si>
  <si>
    <t>Regulatory Equity at the beginning of the year</t>
  </si>
  <si>
    <t>Capitalisation during the year</t>
  </si>
  <si>
    <t>Return on Regulatory Equity at the beginning of the year</t>
  </si>
  <si>
    <t>Return on Regulatory Equity addition during the year</t>
  </si>
  <si>
    <t>Capital Cost Approval*</t>
  </si>
  <si>
    <t>Revenue from Sale of Electricity</t>
  </si>
  <si>
    <t xml:space="preserve">Any Other Charges (specify part name and unit) </t>
  </si>
  <si>
    <t>Share of Capacity (MW/%)</t>
  </si>
  <si>
    <t>Revenue from Any Other Charge (specify part name)</t>
  </si>
  <si>
    <t>Revenue from Fuel Surcharge</t>
  </si>
  <si>
    <t>Control Period</t>
  </si>
  <si>
    <t>n+1</t>
  </si>
  <si>
    <t>n+2</t>
  </si>
  <si>
    <t>n+3</t>
  </si>
  <si>
    <t>n+4</t>
  </si>
  <si>
    <t>n+5</t>
  </si>
  <si>
    <t>Current Year 'n'</t>
  </si>
  <si>
    <t>Year (n-1)</t>
  </si>
  <si>
    <t xml:space="preserve">April-March     </t>
  </si>
  <si>
    <t>Claimed</t>
  </si>
  <si>
    <t>Apr-Sep</t>
  </si>
  <si>
    <t xml:space="preserve">Oct-Mar        </t>
  </si>
  <si>
    <t>April - March</t>
  </si>
  <si>
    <t>Interest and finance charges on loan</t>
  </si>
  <si>
    <t>Return on Equity</t>
  </si>
  <si>
    <t>Annual Fixed Charges</t>
  </si>
  <si>
    <t>Energy Charges</t>
  </si>
  <si>
    <t>Energy Charge Rate</t>
  </si>
  <si>
    <t>Scheduled Energy (ex-bus)</t>
  </si>
  <si>
    <t>Apr - Mar</t>
  </si>
  <si>
    <t>Apr-Mar</t>
  </si>
  <si>
    <t>A&amp;G Expenses</t>
  </si>
  <si>
    <t>Note:</t>
  </si>
  <si>
    <t>The projections for the Control Period to be supported by detailed computations</t>
  </si>
  <si>
    <t>Opening Capital Works in Progress</t>
  </si>
  <si>
    <t>Closing Capital Works in Progress</t>
  </si>
  <si>
    <t>FY</t>
  </si>
  <si>
    <t>Name of the work</t>
  </si>
  <si>
    <t>Name of the package (BTG, BoP, Civil Works etc.)</t>
  </si>
  <si>
    <t>Scope of work</t>
  </si>
  <si>
    <t>Total estimated cost* (Rs. Crore)</t>
  </si>
  <si>
    <t>*</t>
  </si>
  <si>
    <t>Total estimated cost to be supported by documentary evidences like work orders, investment approvals etc.</t>
  </si>
  <si>
    <t>Capital expenditure during the year (Rs. Crore)</t>
  </si>
  <si>
    <t>Capitalisation during the year (Rs. Crore)</t>
  </si>
  <si>
    <t>Relevant Clause of the TSERC MYT Regulation, 2023 under which the capitalisation has been claimed</t>
  </si>
  <si>
    <t>Asset group under which the capitalisation has been accounted (Land, Buldings, etc.)</t>
  </si>
  <si>
    <t>Form 2</t>
  </si>
  <si>
    <t>Form 2.3</t>
  </si>
  <si>
    <t>Form 3.1:  Statement of Additional Capitalisation after COD</t>
  </si>
  <si>
    <t>Capital Expenditure during the year</t>
  </si>
  <si>
    <t>Form 5:  Interest and finance charges on loan</t>
  </si>
  <si>
    <t>Normative Loan</t>
  </si>
  <si>
    <t>Interest</t>
  </si>
  <si>
    <t>Actual loan portfolio</t>
  </si>
  <si>
    <t>Finance charges</t>
  </si>
  <si>
    <t>Total Interest &amp; Finance charges</t>
  </si>
  <si>
    <t>Cost of coal, towards stock</t>
  </si>
  <si>
    <t>Cost of coal for generation</t>
  </si>
  <si>
    <t>Cost of secondary fuel oil</t>
  </si>
  <si>
    <t>O&amp;M expenses</t>
  </si>
  <si>
    <t>Maintenance spares</t>
  </si>
  <si>
    <t>Less:</t>
  </si>
  <si>
    <t>Interest rate</t>
  </si>
  <si>
    <t>Interest on working capital</t>
  </si>
  <si>
    <t>Rate of Return on Equity</t>
  </si>
  <si>
    <t>Base rate of Return on Equity</t>
  </si>
  <si>
    <t>Effective Income Tax rate</t>
  </si>
  <si>
    <t>Income from rent of land or buildings</t>
  </si>
  <si>
    <t>Net income from sale of de-capitalised assets</t>
  </si>
  <si>
    <t>Income from sale of scrap</t>
  </si>
  <si>
    <t>Income from statutory investments</t>
  </si>
  <si>
    <t>Interest income on advances to suppliers/ contractors</t>
  </si>
  <si>
    <t>Income from rental from staff quarters</t>
  </si>
  <si>
    <t>Income from rental from contractors</t>
  </si>
  <si>
    <t>Income from hire charges from contactors and others</t>
  </si>
  <si>
    <t>Income from advertisements</t>
  </si>
  <si>
    <t xml:space="preserve">April-March    </t>
  </si>
  <si>
    <t>Form 9:  Planned &amp; Forced Outages</t>
  </si>
  <si>
    <t>Form 3.2:  Financing of Additional Capitalisation</t>
  </si>
  <si>
    <t>Additional capitalisation</t>
  </si>
  <si>
    <t>Others (Please Specify)</t>
  </si>
  <si>
    <t>Total (2+3+4+5)</t>
  </si>
  <si>
    <t>Beneficiary</t>
  </si>
  <si>
    <t>Beneficiary 1</t>
  </si>
  <si>
    <t>Beneficiary 2</t>
  </si>
  <si>
    <t>Beneficiary 3</t>
  </si>
  <si>
    <t>Form 14: Revenue from Sale of Electricity</t>
  </si>
  <si>
    <t>Previous Year (n-1)</t>
  </si>
  <si>
    <t>Fuel Surcharge</t>
  </si>
  <si>
    <t>Energy Charges Amount</t>
  </si>
  <si>
    <t>Form 15: Revenue Reconciliation</t>
  </si>
  <si>
    <t>MYT/Tariff Order</t>
  </si>
  <si>
    <t xml:space="preserve"> Tariff Filing Formats - Generation</t>
  </si>
  <si>
    <t>Form</t>
  </si>
  <si>
    <t>Checklist</t>
  </si>
  <si>
    <t>Tick</t>
  </si>
  <si>
    <t>Form 14</t>
  </si>
  <si>
    <t>Summary Sheet</t>
  </si>
  <si>
    <t>Form 2:  Operation and Maintenance Expenses</t>
  </si>
  <si>
    <t>Operation and Maintenance Expenses</t>
  </si>
  <si>
    <t>Employee Expenses</t>
  </si>
  <si>
    <t>Administration &amp; General Expenses</t>
  </si>
  <si>
    <t>Repair &amp; Maintenance Expenses</t>
  </si>
  <si>
    <t>Statement of Additional Capitalisation after COD</t>
  </si>
  <si>
    <t>Fixed Assets &amp; Depreciation</t>
  </si>
  <si>
    <t>Operational parameters</t>
  </si>
  <si>
    <t>Fuel Details for computation of Energy Charge Rate</t>
  </si>
  <si>
    <t>Sales</t>
  </si>
  <si>
    <t>Revenue Reconciliation</t>
  </si>
  <si>
    <t>Summary of true-up</t>
  </si>
  <si>
    <t>Phasing of Expenditure, Debt and Equity upto COD</t>
  </si>
  <si>
    <t>Interest During Construction and Finance Charges upto COD</t>
  </si>
  <si>
    <r>
      <rPr>
        <b/>
        <sz val="12"/>
        <rFont val="Arial"/>
        <family val="2"/>
      </rPr>
      <t>Note</t>
    </r>
    <r>
      <rPr>
        <sz val="12"/>
        <rFont val="Arial"/>
        <family val="2"/>
      </rPr>
      <t>: * Applicable only for new Generating Station/Unit for which Provisional/Final tariff approval is being sought</t>
    </r>
  </si>
  <si>
    <t>Form 19.1</t>
  </si>
  <si>
    <t>Form 19.2</t>
  </si>
  <si>
    <t>Form 17</t>
  </si>
  <si>
    <t>Form 18</t>
  </si>
  <si>
    <t>Form 19.3</t>
  </si>
  <si>
    <t>Form 19.4</t>
  </si>
  <si>
    <t>Form 19.5</t>
  </si>
  <si>
    <t>Form 19.6</t>
  </si>
  <si>
    <t>Form 19.7</t>
  </si>
  <si>
    <t>Form 19.8</t>
  </si>
  <si>
    <t>Plant Characteristics (Thermal)</t>
  </si>
  <si>
    <t>Plant Characteristics (Hydel)</t>
  </si>
  <si>
    <t>Unfunded past liabilities of pension &amp; gratuity</t>
  </si>
  <si>
    <t>AFC +Energy Charges</t>
  </si>
  <si>
    <r>
      <t>Receivables</t>
    </r>
    <r>
      <rPr>
        <sz val="10"/>
        <rFont val="Arial"/>
        <family val="2"/>
      </rPr>
      <t>1</t>
    </r>
  </si>
  <si>
    <r>
      <t>Payables for Fuels</t>
    </r>
    <r>
      <rPr>
        <sz val="10"/>
        <rFont val="Arial"/>
        <family val="2"/>
      </rPr>
      <t>2</t>
    </r>
  </si>
  <si>
    <t>1 In case actual availability is less or more than normative value, the modification in the formula need to be done accordingly.</t>
  </si>
  <si>
    <r>
      <t>Addition of Normative Loan due to capitalisation during the year</t>
    </r>
    <r>
      <rPr>
        <sz val="10"/>
        <rFont val="Arial"/>
        <family val="2"/>
      </rPr>
      <t>1</t>
    </r>
  </si>
  <si>
    <t>1 In case actual loan is more than 75%, the modification in the formula need to be done accordingly.</t>
  </si>
  <si>
    <t>Year end adjustment of fixed charges as per availability</t>
  </si>
  <si>
    <t>Difference bill issued after MTR order</t>
  </si>
  <si>
    <t>2024-25</t>
  </si>
  <si>
    <t>2025-26</t>
  </si>
  <si>
    <t>2026-27</t>
  </si>
  <si>
    <t>2027-28</t>
  </si>
  <si>
    <t>2028-29</t>
  </si>
  <si>
    <t>2019-20</t>
  </si>
  <si>
    <t>2020-21</t>
  </si>
  <si>
    <t>2021-22</t>
  </si>
  <si>
    <t>2022-23</t>
  </si>
  <si>
    <t>2023-24</t>
  </si>
  <si>
    <t>Other Civil Works</t>
  </si>
  <si>
    <t>PLANT AND MACHINERY</t>
  </si>
  <si>
    <t>LAND &amp; LAND RIGHTS</t>
  </si>
  <si>
    <t>CWIP BUILDINGS</t>
  </si>
  <si>
    <t>QUARTERS</t>
  </si>
  <si>
    <t>BUILDINGS</t>
  </si>
  <si>
    <t>CWIP PLANT AND MACHINERY</t>
  </si>
  <si>
    <t>Compressed air system</t>
  </si>
  <si>
    <t>CWIP HYDRAULIC WORKS</t>
  </si>
  <si>
    <t>CWIP OTHER CIVIL WORKS</t>
  </si>
  <si>
    <t>CWIP PROVISIONS</t>
  </si>
  <si>
    <t>IT initiatives</t>
  </si>
  <si>
    <t>Form 4:  Fixed Assets &amp; Depreciation</t>
  </si>
  <si>
    <t xml:space="preserve">Asset Group                                                                                                                                                </t>
  </si>
  <si>
    <t>A/c Code</t>
  </si>
  <si>
    <t>Rate of Depriciation</t>
  </si>
  <si>
    <t xml:space="preserve">Gross fixed Assets </t>
  </si>
  <si>
    <t>Provisions for depreciation</t>
  </si>
  <si>
    <t xml:space="preserve">Net fixed Assets </t>
  </si>
  <si>
    <t>At the beginning of the year</t>
  </si>
  <si>
    <t>Additions during the year</t>
  </si>
  <si>
    <t>Adjust. &amp; deductions</t>
  </si>
  <si>
    <t>At the end of the year</t>
  </si>
  <si>
    <t>Cumulative upto the beginning of the year</t>
  </si>
  <si>
    <t>Adjust. during the year</t>
  </si>
  <si>
    <t>Cumulative at the end of the year</t>
  </si>
  <si>
    <t>Land &amp; Land Rights</t>
  </si>
  <si>
    <t>Lines and Cable Network</t>
  </si>
  <si>
    <t>Capital Spares</t>
  </si>
  <si>
    <t>Hydralic Works</t>
  </si>
  <si>
    <t>Furniture&amp; Fixtures</t>
  </si>
  <si>
    <t>Computers</t>
  </si>
  <si>
    <t>Intangible Assets</t>
  </si>
  <si>
    <t>Lines &amp; Cables</t>
  </si>
  <si>
    <t>Land</t>
  </si>
  <si>
    <t>Civil works</t>
  </si>
  <si>
    <t>FY 2022-23</t>
  </si>
  <si>
    <t>FY 2023-24</t>
  </si>
  <si>
    <t>FY 2024-25</t>
  </si>
  <si>
    <t>FY 2025-26</t>
  </si>
  <si>
    <t>FY 2026-27</t>
  </si>
  <si>
    <t>FY 2027-28</t>
  </si>
  <si>
    <t>FY 2028-29</t>
  </si>
  <si>
    <t>Form 13: Sales</t>
  </si>
  <si>
    <t>(MU)</t>
  </si>
  <si>
    <t>TSSPDCL (70.55%)</t>
  </si>
  <si>
    <t>TSNPDCL (29.45%)</t>
  </si>
  <si>
    <t>Actuals</t>
  </si>
  <si>
    <t xml:space="preserve"> Total</t>
  </si>
  <si>
    <t>Ensuing Year (n+1)</t>
  </si>
  <si>
    <t>Ensuing Year (n+2)</t>
  </si>
  <si>
    <t>Ensuing Year (n+3)</t>
  </si>
  <si>
    <t>Ensuing Year (n+4)</t>
  </si>
  <si>
    <t>Ensuing Year (n+5)</t>
  </si>
  <si>
    <t>TGGENCO</t>
  </si>
  <si>
    <t>Lower Jurala Hydro Electric Scheme</t>
  </si>
  <si>
    <t>Approved in BP &amp; CIP 2024-29 (Modification of shaft seal sysytem)</t>
  </si>
  <si>
    <t xml:space="preserve">Costruction of weir, Land Acquisition and Removal of Necking in TRC Etc. (the details are enclosed as Annexure) </t>
  </si>
  <si>
    <t>Removal of Necking in TRC</t>
  </si>
  <si>
    <t>Lower Jurala HEP</t>
  </si>
  <si>
    <t>&lt;TGGENCO&gt;</t>
  </si>
  <si>
    <t>Form 2.3: Repair &amp; Maintenance Expenses</t>
  </si>
  <si>
    <t>Form 3:  Summary of Capital Expenditure and Capitalisation</t>
  </si>
  <si>
    <t>Year (n-1) 2022-23</t>
  </si>
  <si>
    <t>Current Year 'n' 2023-24</t>
  </si>
  <si>
    <t>Year (n+1) 2024-25</t>
  </si>
  <si>
    <t>Year (n+2) 2025-26</t>
  </si>
  <si>
    <t>Year (n+3) 2026-27</t>
  </si>
  <si>
    <t>Year (n+4) 2027-28</t>
  </si>
  <si>
    <t>Year (n+5) 2028-29</t>
  </si>
  <si>
    <t>Loan 1-PFC</t>
  </si>
  <si>
    <t xml:space="preserve">      &lt;TGGENCO&gt;</t>
  </si>
  <si>
    <t xml:space="preserve">      &lt;LJHES&gt;</t>
  </si>
  <si>
    <t>Form 1: Summary Sheet</t>
  </si>
  <si>
    <t>Form 2.1:  Employee Expenses</t>
  </si>
  <si>
    <t>Form 2.2:  Administration &amp; General Expenses</t>
  </si>
  <si>
    <t>Form 6 : Interest on working capital</t>
  </si>
  <si>
    <t>Form 7 : Return on Equity</t>
  </si>
  <si>
    <t>Form 8: Non-Tariff Income</t>
  </si>
</sst>
</file>

<file path=xl/styles.xml><?xml version="1.0" encoding="utf-8"?>
<styleSheet xmlns="http://schemas.openxmlformats.org/spreadsheetml/2006/main">
  <numFmts count="9">
    <numFmt numFmtId="43" formatCode="_ * #,##0.00_ ;_ * \-#,##0.00_ ;_ * &quot;-&quot;??_ ;_ @_ "/>
    <numFmt numFmtId="164" formatCode="_(* #,##0.00_);_(* \(#,##0.00\);_(* &quot;-&quot;??_);_(@_)"/>
    <numFmt numFmtId="165" formatCode="_-* #,##0.00_-;\-* #,##0.00_-;_-* &quot;-&quot;??_-;_-@_-"/>
    <numFmt numFmtId="166" formatCode="0.00_)"/>
    <numFmt numFmtId="167" formatCode="&quot;ß&quot;#,##0.00_);\(&quot;ß&quot;#,##0.00\)"/>
    <numFmt numFmtId="168" formatCode="0.0000"/>
    <numFmt numFmtId="169" formatCode="0.000000"/>
    <numFmt numFmtId="170" formatCode="0.000%"/>
    <numFmt numFmtId="171" formatCode="0.00000000"/>
  </numFmts>
  <fonts count="32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Times New Roman"/>
      <family val="1"/>
    </font>
    <font>
      <sz val="12"/>
      <name val="Arial"/>
      <family val="2"/>
    </font>
    <font>
      <sz val="10"/>
      <name val="Arial"/>
      <family val="2"/>
    </font>
    <font>
      <sz val="12"/>
      <name val="Tms Rmn"/>
    </font>
    <font>
      <sz val="10"/>
      <name val="Helv"/>
    </font>
    <font>
      <sz val="8"/>
      <name val="Arial"/>
      <family val="2"/>
    </font>
    <font>
      <b/>
      <sz val="12"/>
      <name val="Arial"/>
      <family val="2"/>
    </font>
    <font>
      <sz val="7"/>
      <name val="Small Fonts"/>
      <family val="2"/>
    </font>
    <font>
      <b/>
      <i/>
      <sz val="16"/>
      <name val="Helv"/>
    </font>
    <font>
      <sz val="11"/>
      <name val="Arial"/>
      <family val="2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theme="1"/>
      <name val="Calibri"/>
      <family val="2"/>
    </font>
    <font>
      <sz val="10"/>
      <name val="Arial"/>
      <family val="2"/>
    </font>
    <font>
      <b/>
      <sz val="11"/>
      <name val="Arial"/>
      <family val="2"/>
    </font>
    <font>
      <i/>
      <sz val="11"/>
      <name val="Arial"/>
      <family val="2"/>
    </font>
    <font>
      <sz val="11"/>
      <color theme="1"/>
      <name val="Arial"/>
      <family val="2"/>
    </font>
    <font>
      <b/>
      <sz val="11"/>
      <color indexed="9"/>
      <name val="Arial"/>
      <family val="2"/>
    </font>
    <font>
      <sz val="10"/>
      <name val="Arial"/>
      <family val="2"/>
    </font>
    <font>
      <sz val="13"/>
      <name val="Arial"/>
      <family val="2"/>
    </font>
    <font>
      <b/>
      <sz val="13"/>
      <name val="Arial"/>
      <family val="2"/>
    </font>
    <font>
      <sz val="10"/>
      <name val="Arial"/>
      <family val="2"/>
    </font>
    <font>
      <sz val="11"/>
      <color indexed="8"/>
      <name val="Arial"/>
      <family val="2"/>
    </font>
    <font>
      <vertAlign val="superscript"/>
      <sz val="11"/>
      <name val="Arial"/>
      <family val="2"/>
    </font>
    <font>
      <b/>
      <sz val="11"/>
      <name val="Book Antiqua"/>
      <family val="1"/>
    </font>
    <font>
      <b/>
      <sz val="11"/>
      <color theme="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24">
    <border>
      <left/>
      <right/>
      <top/>
      <bottom/>
      <diagonal/>
    </border>
    <border>
      <left/>
      <right style="thin">
        <color indexed="8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75">
    <xf numFmtId="0" fontId="0" fillId="0" borderId="0"/>
    <xf numFmtId="0" fontId="9" fillId="0" borderId="0" applyNumberFormat="0" applyFill="0" applyBorder="0" applyAlignment="0" applyProtection="0"/>
    <xf numFmtId="0" fontId="10" fillId="0" borderId="1"/>
    <xf numFmtId="0" fontId="10" fillId="0" borderId="1"/>
    <xf numFmtId="38" fontId="11" fillId="2" borderId="0" applyNumberFormat="0" applyBorder="0" applyAlignment="0" applyProtection="0"/>
    <xf numFmtId="0" fontId="12" fillId="0" borderId="2" applyNumberFormat="0" applyAlignment="0" applyProtection="0">
      <alignment horizontal="left" vertical="center"/>
    </xf>
    <xf numFmtId="0" fontId="12" fillId="0" borderId="3">
      <alignment horizontal="left" vertical="center"/>
    </xf>
    <xf numFmtId="10" fontId="11" fillId="3" borderId="4" applyNumberFormat="0" applyBorder="0" applyAlignment="0" applyProtection="0"/>
    <xf numFmtId="37" fontId="13" fillId="0" borderId="0"/>
    <xf numFmtId="166" fontId="14" fillId="0" borderId="0"/>
    <xf numFmtId="0" fontId="8" fillId="0" borderId="0"/>
    <xf numFmtId="0" fontId="8" fillId="0" borderId="0"/>
    <xf numFmtId="0" fontId="6" fillId="0" borderId="0"/>
    <xf numFmtId="0" fontId="6" fillId="0" borderId="0"/>
    <xf numFmtId="0" fontId="8" fillId="0" borderId="0">
      <alignment vertical="center"/>
    </xf>
    <xf numFmtId="167" fontId="8" fillId="0" borderId="0" applyFont="0" applyFill="0" applyBorder="0" applyAlignment="0" applyProtection="0"/>
    <xf numFmtId="10" fontId="8" fillId="0" borderId="0" applyFont="0" applyFill="0" applyBorder="0" applyAlignment="0" applyProtection="0"/>
    <xf numFmtId="0" fontId="8" fillId="0" borderId="0"/>
    <xf numFmtId="0" fontId="16" fillId="0" borderId="0"/>
    <xf numFmtId="164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165" fontId="17" fillId="0" borderId="0" applyFont="0" applyFill="0" applyBorder="0" applyAlignment="0" applyProtection="0"/>
    <xf numFmtId="0" fontId="18" fillId="0" borderId="0"/>
    <xf numFmtId="9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8" fillId="0" borderId="0" applyFont="0" applyFill="0" applyBorder="0" applyAlignment="0" applyProtection="0"/>
    <xf numFmtId="43" fontId="17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6" fillId="0" borderId="0"/>
    <xf numFmtId="0" fontId="17" fillId="0" borderId="0"/>
    <xf numFmtId="0" fontId="17" fillId="0" borderId="0"/>
    <xf numFmtId="0" fontId="16" fillId="0" borderId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17" fillId="0" borderId="0" applyFont="0" applyFill="0" applyBorder="0" applyAlignment="0" applyProtection="0"/>
    <xf numFmtId="164" fontId="19" fillId="0" borderId="0" applyFont="0" applyFill="0" applyBorder="0" applyAlignment="0" applyProtection="0"/>
    <xf numFmtId="167" fontId="8" fillId="0" borderId="0" applyFont="0" applyFill="0" applyBorder="0" applyAlignment="0" applyProtection="0"/>
    <xf numFmtId="167" fontId="8" fillId="0" borderId="0" applyFont="0" applyFill="0" applyBorder="0" applyAlignment="0" applyProtection="0"/>
    <xf numFmtId="167" fontId="8" fillId="0" borderId="0" applyFont="0" applyFill="0" applyBorder="0" applyAlignment="0" applyProtection="0"/>
    <xf numFmtId="0" fontId="8" fillId="0" borderId="0"/>
    <xf numFmtId="0" fontId="8" fillId="0" borderId="0"/>
    <xf numFmtId="0" fontId="6" fillId="0" borderId="0"/>
    <xf numFmtId="0" fontId="8" fillId="0" borderId="0" applyBorder="0" applyProtection="0"/>
    <xf numFmtId="167" fontId="17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  <xf numFmtId="9" fontId="8" fillId="0" borderId="0" applyFont="0" applyFill="0" applyBorder="0" applyAlignment="0" applyProtection="0"/>
    <xf numFmtId="0" fontId="5" fillId="0" borderId="0"/>
    <xf numFmtId="164" fontId="5" fillId="0" borderId="0" applyFont="0" applyFill="0" applyBorder="0" applyAlignment="0" applyProtection="0"/>
    <xf numFmtId="165" fontId="8" fillId="0" borderId="0" applyFont="0" applyFill="0" applyBorder="0" applyAlignment="0" applyProtection="0"/>
    <xf numFmtId="16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4" fillId="0" borderId="0"/>
    <xf numFmtId="0" fontId="4" fillId="0" borderId="0"/>
    <xf numFmtId="0" fontId="3" fillId="0" borderId="0"/>
    <xf numFmtId="0" fontId="2" fillId="0" borderId="0"/>
    <xf numFmtId="43" fontId="24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27" fillId="0" borderId="0" applyFont="0" applyFill="0" applyBorder="0" applyAlignment="0" applyProtection="0"/>
  </cellStyleXfs>
  <cellXfs count="270">
    <xf numFmtId="0" fontId="0" fillId="0" borderId="0" xfId="0"/>
    <xf numFmtId="0" fontId="7" fillId="0" borderId="0" xfId="10" applyFont="1" applyAlignment="1">
      <alignment horizontal="center" vertical="center"/>
    </xf>
    <xf numFmtId="0" fontId="15" fillId="0" borderId="4" xfId="14" applyFont="1" applyBorder="1" applyAlignment="1">
      <alignment horizontal="center" vertical="center"/>
    </xf>
    <xf numFmtId="0" fontId="15" fillId="0" borderId="4" xfId="14" applyFont="1" applyBorder="1">
      <alignment vertical="center"/>
    </xf>
    <xf numFmtId="0" fontId="15" fillId="0" borderId="0" xfId="10" applyFont="1"/>
    <xf numFmtId="0" fontId="15" fillId="0" borderId="0" xfId="10" applyFont="1" applyAlignment="1">
      <alignment vertical="center"/>
    </xf>
    <xf numFmtId="0" fontId="7" fillId="0" borderId="0" xfId="14" applyFont="1">
      <alignment vertical="center"/>
    </xf>
    <xf numFmtId="0" fontId="12" fillId="0" borderId="0" xfId="14" applyFont="1" applyAlignment="1">
      <alignment horizontal="right" vertical="center"/>
    </xf>
    <xf numFmtId="0" fontId="7" fillId="0" borderId="4" xfId="14" applyFont="1" applyBorder="1" applyAlignment="1">
      <alignment horizontal="center" vertical="center"/>
    </xf>
    <xf numFmtId="0" fontId="7" fillId="0" borderId="4" xfId="14" applyFont="1" applyBorder="1">
      <alignment vertical="center"/>
    </xf>
    <xf numFmtId="0" fontId="7" fillId="0" borderId="4" xfId="14" applyFont="1" applyBorder="1" applyAlignment="1">
      <alignment horizontal="left" vertical="center"/>
    </xf>
    <xf numFmtId="0" fontId="7" fillId="0" borderId="4" xfId="14" applyFont="1" applyBorder="1" applyAlignment="1">
      <alignment vertical="top" wrapText="1"/>
    </xf>
    <xf numFmtId="0" fontId="7" fillId="6" borderId="4" xfId="14" applyFont="1" applyFill="1" applyBorder="1" applyAlignment="1">
      <alignment horizontal="center" vertical="center"/>
    </xf>
    <xf numFmtId="0" fontId="12" fillId="6" borderId="4" xfId="14" applyFont="1" applyFill="1" applyBorder="1">
      <alignment vertical="center"/>
    </xf>
    <xf numFmtId="0" fontId="7" fillId="6" borderId="4" xfId="14" applyFont="1" applyFill="1" applyBorder="1" applyAlignment="1">
      <alignment horizontal="left" vertical="center"/>
    </xf>
    <xf numFmtId="0" fontId="7" fillId="0" borderId="0" xfId="10" applyFont="1"/>
    <xf numFmtId="0" fontId="7" fillId="5" borderId="0" xfId="14" applyFont="1" applyFill="1">
      <alignment vertical="center"/>
    </xf>
    <xf numFmtId="0" fontId="12" fillId="0" borderId="7" xfId="14" applyFont="1" applyBorder="1" applyAlignment="1">
      <alignment horizontal="center" vertical="center"/>
    </xf>
    <xf numFmtId="0" fontId="12" fillId="0" borderId="4" xfId="14" applyFont="1" applyBorder="1" applyAlignment="1">
      <alignment horizontal="center" vertical="center"/>
    </xf>
    <xf numFmtId="0" fontId="15" fillId="0" borderId="0" xfId="14" applyFont="1">
      <alignment vertical="center"/>
    </xf>
    <xf numFmtId="0" fontId="20" fillId="0" borderId="4" xfId="14" applyFont="1" applyBorder="1" applyAlignment="1">
      <alignment horizontal="center" vertical="center"/>
    </xf>
    <xf numFmtId="0" fontId="20" fillId="0" borderId="4" xfId="14" applyFont="1" applyBorder="1" applyAlignment="1">
      <alignment horizontal="center" vertical="center" wrapText="1"/>
    </xf>
    <xf numFmtId="0" fontId="15" fillId="0" borderId="4" xfId="14" applyFont="1" applyBorder="1" applyAlignment="1">
      <alignment horizontal="left" vertical="center"/>
    </xf>
    <xf numFmtId="0" fontId="15" fillId="5" borderId="4" xfId="14" applyFont="1" applyFill="1" applyBorder="1" applyAlignment="1">
      <alignment horizontal="left" vertical="center"/>
    </xf>
    <xf numFmtId="0" fontId="15" fillId="0" borderId="4" xfId="14" applyFont="1" applyBorder="1" applyAlignment="1">
      <alignment vertical="top" wrapText="1"/>
    </xf>
    <xf numFmtId="0" fontId="20" fillId="0" borderId="4" xfId="14" applyFont="1" applyBorder="1">
      <alignment vertical="center"/>
    </xf>
    <xf numFmtId="0" fontId="15" fillId="0" borderId="4" xfId="10" applyFont="1" applyBorder="1" applyAlignment="1">
      <alignment horizontal="center" vertical="center"/>
    </xf>
    <xf numFmtId="0" fontId="15" fillId="0" borderId="4" xfId="10" applyFont="1" applyBorder="1" applyAlignment="1">
      <alignment horizontal="center" vertical="center" wrapText="1"/>
    </xf>
    <xf numFmtId="0" fontId="20" fillId="0" borderId="6" xfId="10" applyFont="1" applyBorder="1" applyAlignment="1">
      <alignment horizontal="center" vertical="center" wrapText="1"/>
    </xf>
    <xf numFmtId="0" fontId="20" fillId="0" borderId="4" xfId="10" applyFont="1" applyBorder="1" applyAlignment="1">
      <alignment horizontal="center" vertical="center"/>
    </xf>
    <xf numFmtId="0" fontId="20" fillId="0" borderId="0" xfId="10" applyFont="1" applyAlignment="1">
      <alignment horizontal="left" vertical="center"/>
    </xf>
    <xf numFmtId="0" fontId="20" fillId="0" borderId="0" xfId="10" applyFont="1" applyAlignment="1">
      <alignment horizontal="right" vertical="center"/>
    </xf>
    <xf numFmtId="0" fontId="20" fillId="0" borderId="0" xfId="14" applyFont="1" applyAlignment="1">
      <alignment horizontal="right" vertical="center"/>
    </xf>
    <xf numFmtId="0" fontId="15" fillId="0" borderId="4" xfId="10" applyFont="1" applyBorder="1" applyAlignment="1">
      <alignment vertical="center"/>
    </xf>
    <xf numFmtId="0" fontId="15" fillId="0" borderId="4" xfId="0" applyFont="1" applyBorder="1" applyAlignment="1">
      <alignment vertical="center"/>
    </xf>
    <xf numFmtId="0" fontId="15" fillId="0" borderId="4" xfId="10" applyFont="1" applyBorder="1" applyAlignment="1">
      <alignment horizontal="left" vertical="center"/>
    </xf>
    <xf numFmtId="0" fontId="20" fillId="0" borderId="4" xfId="10" applyFont="1" applyBorder="1" applyAlignment="1">
      <alignment horizontal="left" vertical="center" wrapText="1"/>
    </xf>
    <xf numFmtId="0" fontId="20" fillId="0" borderId="4" xfId="10" applyFont="1" applyBorder="1" applyAlignment="1">
      <alignment horizontal="center" vertical="center" wrapText="1"/>
    </xf>
    <xf numFmtId="0" fontId="20" fillId="0" borderId="4" xfId="10" applyFont="1" applyBorder="1" applyAlignment="1">
      <alignment horizontal="left" vertical="center"/>
    </xf>
    <xf numFmtId="0" fontId="20" fillId="0" borderId="0" xfId="10" applyFont="1" applyAlignment="1">
      <alignment vertical="center"/>
    </xf>
    <xf numFmtId="0" fontId="20" fillId="0" borderId="0" xfId="14" applyFont="1" applyAlignment="1">
      <alignment horizontal="center" vertical="center"/>
    </xf>
    <xf numFmtId="0" fontId="20" fillId="0" borderId="0" xfId="10" applyFont="1" applyAlignment="1">
      <alignment horizontal="center" vertical="center"/>
    </xf>
    <xf numFmtId="0" fontId="20" fillId="0" borderId="0" xfId="14" applyFont="1">
      <alignment vertical="center"/>
    </xf>
    <xf numFmtId="0" fontId="15" fillId="0" borderId="4" xfId="10" applyFont="1" applyBorder="1" applyAlignment="1">
      <alignment horizontal="left" vertical="center" wrapText="1"/>
    </xf>
    <xf numFmtId="0" fontId="20" fillId="0" borderId="4" xfId="10" applyFont="1" applyBorder="1" applyAlignment="1">
      <alignment vertical="center"/>
    </xf>
    <xf numFmtId="0" fontId="20" fillId="0" borderId="0" xfId="10" applyFont="1" applyAlignment="1">
      <alignment horizontal="centerContinuous"/>
    </xf>
    <xf numFmtId="0" fontId="15" fillId="0" borderId="0" xfId="10" applyFont="1" applyAlignment="1">
      <alignment horizontal="centerContinuous"/>
    </xf>
    <xf numFmtId="0" fontId="15" fillId="0" borderId="4" xfId="10" applyFont="1" applyBorder="1"/>
    <xf numFmtId="0" fontId="20" fillId="0" borderId="4" xfId="10" applyFont="1" applyBorder="1"/>
    <xf numFmtId="0" fontId="20" fillId="0" borderId="0" xfId="10" applyFont="1" applyAlignment="1">
      <alignment horizontal="justify" vertical="top" wrapText="1"/>
    </xf>
    <xf numFmtId="0" fontId="15" fillId="0" borderId="0" xfId="10" applyFont="1" applyAlignment="1">
      <alignment horizontal="left"/>
    </xf>
    <xf numFmtId="0" fontId="15" fillId="0" borderId="4" xfId="10" applyFont="1" applyBorder="1" applyAlignment="1">
      <alignment wrapText="1"/>
    </xf>
    <xf numFmtId="0" fontId="15" fillId="0" borderId="0" xfId="10" applyFont="1" applyAlignment="1">
      <alignment horizontal="left" vertical="center"/>
    </xf>
    <xf numFmtId="0" fontId="15" fillId="0" borderId="0" xfId="10" applyFont="1" applyAlignment="1">
      <alignment horizontal="right" vertical="center"/>
    </xf>
    <xf numFmtId="0" fontId="21" fillId="0" borderId="0" xfId="10" applyFont="1" applyAlignment="1">
      <alignment horizontal="left" vertical="center"/>
    </xf>
    <xf numFmtId="0" fontId="21" fillId="0" borderId="0" xfId="10" applyFont="1" applyAlignment="1">
      <alignment vertical="center"/>
    </xf>
    <xf numFmtId="0" fontId="21" fillId="0" borderId="0" xfId="10" applyFont="1" applyAlignment="1">
      <alignment horizontal="center" vertical="center"/>
    </xf>
    <xf numFmtId="0" fontId="15" fillId="0" borderId="4" xfId="10" quotePrefix="1" applyFont="1" applyBorder="1" applyAlignment="1">
      <alignment horizontal="left" vertical="top" wrapText="1"/>
    </xf>
    <xf numFmtId="0" fontId="15" fillId="0" borderId="4" xfId="10" applyFont="1" applyBorder="1" applyAlignment="1">
      <alignment horizontal="left"/>
    </xf>
    <xf numFmtId="0" fontId="20" fillId="0" borderId="4" xfId="10" applyFont="1" applyBorder="1" applyAlignment="1">
      <alignment horizontal="left"/>
    </xf>
    <xf numFmtId="0" fontId="15" fillId="0" borderId="0" xfId="14" applyFont="1" applyAlignment="1">
      <alignment horizontal="center" vertical="center"/>
    </xf>
    <xf numFmtId="0" fontId="15" fillId="0" borderId="4" xfId="10" applyFont="1" applyBorder="1" applyAlignment="1">
      <alignment horizontal="left" vertical="top" wrapText="1"/>
    </xf>
    <xf numFmtId="0" fontId="20" fillId="0" borderId="0" xfId="10" applyFont="1" applyAlignment="1">
      <alignment horizontal="left"/>
    </xf>
    <xf numFmtId="0" fontId="20" fillId="0" borderId="0" xfId="10" applyFont="1" applyAlignment="1">
      <alignment horizontal="left" vertical="center" wrapText="1"/>
    </xf>
    <xf numFmtId="0" fontId="20" fillId="0" borderId="0" xfId="10" applyFont="1" applyAlignment="1">
      <alignment horizontal="center" vertical="center" wrapText="1"/>
    </xf>
    <xf numFmtId="0" fontId="15" fillId="0" borderId="6" xfId="10" applyFont="1" applyBorder="1" applyAlignment="1">
      <alignment horizontal="center" vertical="center"/>
    </xf>
    <xf numFmtId="0" fontId="21" fillId="0" borderId="0" xfId="10" applyFont="1" applyAlignment="1">
      <alignment horizontal="right" vertical="center"/>
    </xf>
    <xf numFmtId="0" fontId="15" fillId="0" borderId="0" xfId="10" applyFont="1" applyAlignment="1">
      <alignment horizontal="center"/>
    </xf>
    <xf numFmtId="0" fontId="12" fillId="0" borderId="0" xfId="14" applyFont="1" applyAlignment="1">
      <alignment horizontal="center" vertical="center"/>
    </xf>
    <xf numFmtId="0" fontId="20" fillId="0" borderId="5" xfId="14" applyFont="1" applyBorder="1" applyAlignment="1">
      <alignment horizontal="center" vertical="center" wrapText="1"/>
    </xf>
    <xf numFmtId="0" fontId="20" fillId="0" borderId="8" xfId="14" applyFont="1" applyBorder="1" applyAlignment="1">
      <alignment horizontal="center" vertical="center" wrapText="1"/>
    </xf>
    <xf numFmtId="0" fontId="15" fillId="0" borderId="4" xfId="10" applyFont="1" applyBorder="1" applyAlignment="1">
      <alignment vertical="center" wrapText="1"/>
    </xf>
    <xf numFmtId="0" fontId="15" fillId="0" borderId="8" xfId="14" applyFont="1" applyBorder="1">
      <alignment vertical="center"/>
    </xf>
    <xf numFmtId="0" fontId="20" fillId="0" borderId="4" xfId="10" applyFont="1" applyBorder="1" applyAlignment="1">
      <alignment vertical="center" wrapText="1"/>
    </xf>
    <xf numFmtId="0" fontId="20" fillId="4" borderId="4" xfId="14" applyFont="1" applyFill="1" applyBorder="1" applyAlignment="1">
      <alignment horizontal="center" vertical="center" wrapText="1"/>
    </xf>
    <xf numFmtId="0" fontId="20" fillId="0" borderId="0" xfId="10" applyFont="1" applyAlignment="1">
      <alignment horizontal="centerContinuous" vertical="center"/>
    </xf>
    <xf numFmtId="0" fontId="15" fillId="0" borderId="0" xfId="10" applyFont="1" applyAlignment="1">
      <alignment horizontal="centerContinuous" vertical="center"/>
    </xf>
    <xf numFmtId="0" fontId="20" fillId="4" borderId="4" xfId="10" quotePrefix="1" applyFont="1" applyFill="1" applyBorder="1" applyAlignment="1">
      <alignment horizontal="center" vertical="center" wrapText="1"/>
    </xf>
    <xf numFmtId="0" fontId="20" fillId="4" borderId="4" xfId="10" applyFont="1" applyFill="1" applyBorder="1" applyAlignment="1">
      <alignment horizontal="left" vertical="center" wrapText="1"/>
    </xf>
    <xf numFmtId="0" fontId="20" fillId="4" borderId="4" xfId="10" applyFont="1" applyFill="1" applyBorder="1" applyAlignment="1">
      <alignment horizontal="center" vertical="center"/>
    </xf>
    <xf numFmtId="0" fontId="15" fillId="4" borderId="4" xfId="14" applyFont="1" applyFill="1" applyBorder="1">
      <alignment vertical="center"/>
    </xf>
    <xf numFmtId="0" fontId="15" fillId="4" borderId="4" xfId="10" applyFont="1" applyFill="1" applyBorder="1" applyAlignment="1">
      <alignment horizontal="center" vertical="center"/>
    </xf>
    <xf numFmtId="0" fontId="15" fillId="4" borderId="4" xfId="10" applyFont="1" applyFill="1" applyBorder="1" applyAlignment="1">
      <alignment vertical="center" wrapText="1"/>
    </xf>
    <xf numFmtId="0" fontId="20" fillId="4" borderId="4" xfId="10" applyFont="1" applyFill="1" applyBorder="1" applyAlignment="1">
      <alignment vertical="center" wrapText="1"/>
    </xf>
    <xf numFmtId="0" fontId="15" fillId="4" borderId="4" xfId="10" applyFont="1" applyFill="1" applyBorder="1" applyAlignment="1">
      <alignment vertical="center"/>
    </xf>
    <xf numFmtId="0" fontId="20" fillId="4" borderId="0" xfId="10" applyFont="1" applyFill="1" applyAlignment="1">
      <alignment vertical="center"/>
    </xf>
    <xf numFmtId="0" fontId="15" fillId="4" borderId="0" xfId="10" applyFont="1" applyFill="1" applyAlignment="1">
      <alignment vertical="center"/>
    </xf>
    <xf numFmtId="166" fontId="15" fillId="0" borderId="0" xfId="10" applyNumberFormat="1" applyFont="1" applyAlignment="1">
      <alignment vertical="center"/>
    </xf>
    <xf numFmtId="0" fontId="15" fillId="0" borderId="4" xfId="14" applyFont="1" applyBorder="1" applyAlignment="1">
      <alignment horizontal="center" vertical="center" wrapText="1"/>
    </xf>
    <xf numFmtId="0" fontId="15" fillId="0" borderId="0" xfId="0" applyFont="1" applyAlignment="1">
      <alignment vertical="center"/>
    </xf>
    <xf numFmtId="0" fontId="20" fillId="0" borderId="4" xfId="0" applyFont="1" applyBorder="1" applyAlignment="1">
      <alignment horizontal="center" vertical="center"/>
    </xf>
    <xf numFmtId="0" fontId="15" fillId="0" borderId="4" xfId="0" applyFont="1" applyBorder="1" applyAlignment="1">
      <alignment horizontal="center" vertical="center"/>
    </xf>
    <xf numFmtId="0" fontId="20" fillId="0" borderId="4" xfId="0" applyFont="1" applyBorder="1" applyAlignment="1">
      <alignment vertical="center"/>
    </xf>
    <xf numFmtId="0" fontId="15" fillId="0" borderId="4" xfId="0" applyFont="1" applyBorder="1" applyAlignment="1">
      <alignment vertical="center" wrapText="1"/>
    </xf>
    <xf numFmtId="0" fontId="23" fillId="0" borderId="0" xfId="10" applyFont="1" applyAlignment="1">
      <alignment vertical="center"/>
    </xf>
    <xf numFmtId="16" fontId="20" fillId="0" borderId="4" xfId="10" applyNumberFormat="1" applyFont="1" applyBorder="1" applyAlignment="1">
      <alignment horizontal="center" vertical="center" wrapText="1"/>
    </xf>
    <xf numFmtId="0" fontId="20" fillId="0" borderId="7" xfId="0" applyFont="1" applyBorder="1" applyAlignment="1">
      <alignment horizontal="center" vertical="center" wrapText="1"/>
    </xf>
    <xf numFmtId="0" fontId="20" fillId="0" borderId="7" xfId="0" applyFont="1" applyBorder="1" applyAlignment="1">
      <alignment horizontal="center" vertical="center"/>
    </xf>
    <xf numFmtId="0" fontId="15" fillId="0" borderId="7" xfId="0" applyFont="1" applyBorder="1" applyAlignment="1">
      <alignment horizontal="center" vertical="center" wrapText="1"/>
    </xf>
    <xf numFmtId="0" fontId="15" fillId="0" borderId="7" xfId="0" applyFont="1" applyBorder="1" applyAlignment="1">
      <alignment vertical="center" wrapText="1"/>
    </xf>
    <xf numFmtId="2" fontId="15" fillId="0" borderId="4" xfId="0" applyNumberFormat="1" applyFont="1" applyBorder="1" applyAlignment="1">
      <alignment horizontal="center" vertical="center"/>
    </xf>
    <xf numFmtId="2" fontId="15" fillId="0" borderId="4" xfId="0" applyNumberFormat="1" applyFont="1" applyBorder="1" applyAlignment="1">
      <alignment vertical="center"/>
    </xf>
    <xf numFmtId="0" fontId="15" fillId="0" borderId="4" xfId="0" applyFont="1" applyBorder="1" applyAlignment="1">
      <alignment horizontal="center" vertical="center" wrapText="1"/>
    </xf>
    <xf numFmtId="169" fontId="15" fillId="0" borderId="4" xfId="0" applyNumberFormat="1" applyFont="1" applyBorder="1" applyAlignment="1">
      <alignment horizontal="center" vertical="center"/>
    </xf>
    <xf numFmtId="169" fontId="15" fillId="0" borderId="4" xfId="0" applyNumberFormat="1" applyFont="1" applyBorder="1" applyAlignment="1">
      <alignment vertical="center"/>
    </xf>
    <xf numFmtId="168" fontId="15" fillId="0" borderId="4" xfId="0" applyNumberFormat="1" applyFont="1" applyBorder="1" applyAlignment="1">
      <alignment horizontal="center" vertical="center"/>
    </xf>
    <xf numFmtId="2" fontId="15" fillId="0" borderId="4" xfId="0" applyNumberFormat="1" applyFont="1" applyBorder="1" applyAlignment="1">
      <alignment horizontal="right" vertical="center"/>
    </xf>
    <xf numFmtId="0" fontId="20" fillId="0" borderId="8" xfId="0" applyFont="1" applyBorder="1" applyAlignment="1">
      <alignment vertical="center" wrapText="1"/>
    </xf>
    <xf numFmtId="2" fontId="20" fillId="0" borderId="4" xfId="0" applyNumberFormat="1" applyFont="1" applyBorder="1" applyAlignment="1">
      <alignment vertical="center"/>
    </xf>
    <xf numFmtId="0" fontId="20" fillId="0" borderId="4" xfId="0" applyFont="1" applyBorder="1" applyAlignment="1">
      <alignment vertical="center" wrapText="1"/>
    </xf>
    <xf numFmtId="2" fontId="20" fillId="0" borderId="4" xfId="0" applyNumberFormat="1" applyFont="1" applyBorder="1" applyAlignment="1">
      <alignment horizontal="right" vertical="center"/>
    </xf>
    <xf numFmtId="2" fontId="15" fillId="0" borderId="4" xfId="10" applyNumberFormat="1" applyFont="1" applyBorder="1" applyAlignment="1">
      <alignment horizontal="center" vertical="center"/>
    </xf>
    <xf numFmtId="2" fontId="20" fillId="6" borderId="4" xfId="0" applyNumberFormat="1" applyFont="1" applyFill="1" applyBorder="1" applyAlignment="1">
      <alignment vertical="center"/>
    </xf>
    <xf numFmtId="2" fontId="15" fillId="0" borderId="4" xfId="10" applyNumberFormat="1" applyFont="1" applyBorder="1" applyAlignment="1">
      <alignment horizontal="center" vertical="center" wrapText="1"/>
    </xf>
    <xf numFmtId="2" fontId="20" fillId="6" borderId="4" xfId="10" applyNumberFormat="1" applyFont="1" applyFill="1" applyBorder="1" applyAlignment="1">
      <alignment horizontal="center" vertical="center"/>
    </xf>
    <xf numFmtId="2" fontId="20" fillId="6" borderId="4" xfId="0" applyNumberFormat="1" applyFont="1" applyFill="1" applyBorder="1" applyAlignment="1">
      <alignment horizontal="right" vertical="center"/>
    </xf>
    <xf numFmtId="2" fontId="20" fillId="6" borderId="4" xfId="14" applyNumberFormat="1" applyFont="1" applyFill="1" applyBorder="1">
      <alignment vertical="center"/>
    </xf>
    <xf numFmtId="2" fontId="20" fillId="6" borderId="4" xfId="10" applyNumberFormat="1" applyFont="1" applyFill="1" applyBorder="1" applyAlignment="1">
      <alignment vertical="center"/>
    </xf>
    <xf numFmtId="0" fontId="20" fillId="0" borderId="8" xfId="14" applyFont="1" applyBorder="1">
      <alignment vertical="center"/>
    </xf>
    <xf numFmtId="2" fontId="20" fillId="6" borderId="8" xfId="14" applyNumberFormat="1" applyFont="1" applyFill="1" applyBorder="1">
      <alignment vertical="center"/>
    </xf>
    <xf numFmtId="10" fontId="15" fillId="0" borderId="8" xfId="14" applyNumberFormat="1" applyFont="1" applyBorder="1">
      <alignment vertical="center"/>
    </xf>
    <xf numFmtId="2" fontId="15" fillId="0" borderId="8" xfId="14" applyNumberFormat="1" applyFont="1" applyBorder="1">
      <alignment vertical="center"/>
    </xf>
    <xf numFmtId="2" fontId="15" fillId="0" borderId="4" xfId="10" applyNumberFormat="1" applyFont="1" applyBorder="1" applyAlignment="1">
      <alignment vertical="center"/>
    </xf>
    <xf numFmtId="2" fontId="15" fillId="0" borderId="4" xfId="14" applyNumberFormat="1" applyFont="1" applyBorder="1" applyAlignment="1">
      <alignment horizontal="center" vertical="center"/>
    </xf>
    <xf numFmtId="2" fontId="20" fillId="6" borderId="4" xfId="10" applyNumberFormat="1" applyFont="1" applyFill="1" applyBorder="1" applyAlignment="1">
      <alignment horizontal="center" vertical="center" wrapText="1"/>
    </xf>
    <xf numFmtId="2" fontId="20" fillId="6" borderId="4" xfId="14" applyNumberFormat="1" applyFont="1" applyFill="1" applyBorder="1" applyAlignment="1">
      <alignment horizontal="center" vertical="center"/>
    </xf>
    <xf numFmtId="2" fontId="15" fillId="0" borderId="4" xfId="14" applyNumberFormat="1" applyFont="1" applyBorder="1">
      <alignment vertical="center"/>
    </xf>
    <xf numFmtId="10" fontId="20" fillId="6" borderId="4" xfId="14" applyNumberFormat="1" applyFont="1" applyFill="1" applyBorder="1">
      <alignment vertical="center"/>
    </xf>
    <xf numFmtId="2" fontId="20" fillId="6" borderId="4" xfId="10" applyNumberFormat="1" applyFont="1" applyFill="1" applyBorder="1"/>
    <xf numFmtId="2" fontId="15" fillId="0" borderId="4" xfId="10" applyNumberFormat="1" applyFont="1" applyBorder="1"/>
    <xf numFmtId="2" fontId="15" fillId="0" borderId="4" xfId="10" applyNumberFormat="1" applyFont="1" applyBorder="1" applyAlignment="1">
      <alignment horizontal="left" vertical="center"/>
    </xf>
    <xf numFmtId="2" fontId="15" fillId="0" borderId="4" xfId="10" applyNumberFormat="1" applyFont="1" applyBorder="1" applyAlignment="1">
      <alignment horizontal="right" vertical="center"/>
    </xf>
    <xf numFmtId="2" fontId="15" fillId="0" borderId="4" xfId="10" applyNumberFormat="1" applyFont="1" applyBorder="1" applyAlignment="1">
      <alignment horizontal="left" vertical="center" wrapText="1"/>
    </xf>
    <xf numFmtId="2" fontId="20" fillId="0" borderId="4" xfId="14" applyNumberFormat="1" applyFont="1" applyBorder="1" applyAlignment="1">
      <alignment horizontal="center" vertical="center"/>
    </xf>
    <xf numFmtId="2" fontId="20" fillId="0" borderId="4" xfId="10" applyNumberFormat="1" applyFont="1" applyBorder="1" applyAlignment="1">
      <alignment horizontal="center" vertical="center" wrapText="1"/>
    </xf>
    <xf numFmtId="2" fontId="20" fillId="0" borderId="4" xfId="10" applyNumberFormat="1" applyFont="1" applyBorder="1" applyAlignment="1">
      <alignment vertical="center"/>
    </xf>
    <xf numFmtId="2" fontId="15" fillId="0" borderId="4" xfId="14" applyNumberFormat="1" applyFont="1" applyBorder="1" applyAlignment="1">
      <alignment horizontal="right" vertical="center"/>
    </xf>
    <xf numFmtId="0" fontId="15" fillId="0" borderId="4" xfId="10" applyFont="1" applyBorder="1" applyAlignment="1">
      <alignment horizontal="right" vertical="center" wrapText="1"/>
    </xf>
    <xf numFmtId="2" fontId="15" fillId="0" borderId="4" xfId="10" applyNumberFormat="1" applyFont="1" applyBorder="1" applyAlignment="1">
      <alignment horizontal="right" vertical="center" wrapText="1"/>
    </xf>
    <xf numFmtId="2" fontId="20" fillId="6" borderId="8" xfId="14" applyNumberFormat="1" applyFont="1" applyFill="1" applyBorder="1" applyAlignment="1">
      <alignment horizontal="right" vertical="center"/>
    </xf>
    <xf numFmtId="2" fontId="15" fillId="6" borderId="8" xfId="14" applyNumberFormat="1" applyFont="1" applyFill="1" applyBorder="1">
      <alignment vertical="center"/>
    </xf>
    <xf numFmtId="0" fontId="15" fillId="0" borderId="0" xfId="10" applyFont="1" applyAlignment="1">
      <alignment horizontal="center" vertical="center"/>
    </xf>
    <xf numFmtId="2" fontId="15" fillId="6" borderId="4" xfId="10" applyNumberFormat="1" applyFont="1" applyFill="1" applyBorder="1" applyAlignment="1">
      <alignment horizontal="center" vertical="center"/>
    </xf>
    <xf numFmtId="2" fontId="15" fillId="6" borderId="4" xfId="10" applyNumberFormat="1" applyFont="1" applyFill="1" applyBorder="1" applyAlignment="1">
      <alignment horizontal="center" vertical="center" wrapText="1"/>
    </xf>
    <xf numFmtId="2" fontId="25" fillId="0" borderId="4" xfId="10" applyNumberFormat="1" applyFont="1" applyBorder="1" applyAlignment="1">
      <alignment horizontal="center" vertical="center"/>
    </xf>
    <xf numFmtId="2" fontId="25" fillId="0" borderId="4" xfId="10" applyNumberFormat="1" applyFont="1" applyBorder="1" applyAlignment="1">
      <alignment vertical="center"/>
    </xf>
    <xf numFmtId="164" fontId="25" fillId="0" borderId="4" xfId="71" applyNumberFormat="1" applyFont="1" applyBorder="1" applyAlignment="1">
      <alignment horizontal="center" vertical="center"/>
    </xf>
    <xf numFmtId="2" fontId="26" fillId="0" borderId="4" xfId="10" applyNumberFormat="1" applyFont="1" applyBorder="1" applyAlignment="1">
      <alignment horizontal="right" vertical="center"/>
    </xf>
    <xf numFmtId="0" fontId="25" fillId="0" borderId="7" xfId="10" applyFont="1" applyBorder="1" applyAlignment="1">
      <alignment horizontal="center" vertical="center" wrapText="1"/>
    </xf>
    <xf numFmtId="0" fontId="25" fillId="0" borderId="4" xfId="10" applyFont="1" applyBorder="1" applyAlignment="1">
      <alignment vertical="center" wrapText="1"/>
    </xf>
    <xf numFmtId="0" fontId="25" fillId="0" borderId="4" xfId="10" applyFont="1" applyBorder="1" applyAlignment="1">
      <alignment horizontal="center" vertical="center" wrapText="1"/>
    </xf>
    <xf numFmtId="2" fontId="25" fillId="0" borderId="4" xfId="10" applyNumberFormat="1" applyFont="1" applyBorder="1" applyAlignment="1">
      <alignment horizontal="right" vertical="center"/>
    </xf>
    <xf numFmtId="2" fontId="26" fillId="0" borderId="4" xfId="10" applyNumberFormat="1" applyFont="1" applyBorder="1" applyAlignment="1">
      <alignment vertical="center"/>
    </xf>
    <xf numFmtId="2" fontId="15" fillId="0" borderId="4" xfId="10" applyNumberFormat="1" applyFont="1" applyBorder="1" applyAlignment="1">
      <alignment vertical="top" wrapText="1"/>
    </xf>
    <xf numFmtId="0" fontId="22" fillId="0" borderId="4" xfId="72" applyFont="1" applyBorder="1"/>
    <xf numFmtId="0" fontId="15" fillId="0" borderId="7" xfId="10" applyFont="1" applyBorder="1" applyAlignment="1">
      <alignment horizontal="right" vertical="center" wrapText="1"/>
    </xf>
    <xf numFmtId="0" fontId="22" fillId="0" borderId="0" xfId="72" applyFont="1"/>
    <xf numFmtId="43" fontId="15" fillId="0" borderId="4" xfId="73" applyFont="1" applyBorder="1" applyAlignment="1">
      <alignment vertical="center"/>
    </xf>
    <xf numFmtId="43" fontId="15" fillId="0" borderId="4" xfId="10" applyNumberFormat="1" applyFont="1" applyBorder="1" applyAlignment="1">
      <alignment vertical="center"/>
    </xf>
    <xf numFmtId="43" fontId="15" fillId="0" borderId="4" xfId="73" applyFont="1" applyBorder="1" applyAlignment="1">
      <alignment horizontal="right" vertical="center"/>
    </xf>
    <xf numFmtId="43" fontId="20" fillId="0" borderId="4" xfId="73" applyFont="1" applyBorder="1" applyAlignment="1">
      <alignment horizontal="right" vertical="center"/>
    </xf>
    <xf numFmtId="2" fontId="15" fillId="0" borderId="8" xfId="14" applyNumberFormat="1" applyFont="1" applyBorder="1" applyAlignment="1">
      <alignment horizontal="right" vertical="center"/>
    </xf>
    <xf numFmtId="10" fontId="15" fillId="0" borderId="8" xfId="74" applyNumberFormat="1" applyFont="1" applyBorder="1" applyAlignment="1">
      <alignment vertical="center"/>
    </xf>
    <xf numFmtId="170" fontId="15" fillId="0" borderId="8" xfId="74" applyNumberFormat="1" applyFont="1" applyBorder="1" applyAlignment="1">
      <alignment vertical="center"/>
    </xf>
    <xf numFmtId="170" fontId="20" fillId="6" borderId="8" xfId="14" applyNumberFormat="1" applyFont="1" applyFill="1" applyBorder="1">
      <alignment vertical="center"/>
    </xf>
    <xf numFmtId="2" fontId="20" fillId="6" borderId="4" xfId="14" applyNumberFormat="1" applyFont="1" applyFill="1" applyBorder="1" applyAlignment="1">
      <alignment horizontal="right" vertical="center"/>
    </xf>
    <xf numFmtId="2" fontId="20" fillId="5" borderId="4" xfId="14" applyNumberFormat="1" applyFont="1" applyFill="1" applyBorder="1" applyAlignment="1">
      <alignment horizontal="right" vertical="center"/>
    </xf>
    <xf numFmtId="2" fontId="20" fillId="0" borderId="4" xfId="14" applyNumberFormat="1" applyFont="1" applyBorder="1" applyAlignment="1">
      <alignment horizontal="right" vertical="center"/>
    </xf>
    <xf numFmtId="0" fontId="15" fillId="0" borderId="4" xfId="14" applyFont="1" applyBorder="1" applyAlignment="1">
      <alignment horizontal="right" vertical="center"/>
    </xf>
    <xf numFmtId="0" fontId="20" fillId="4" borderId="16" xfId="68" applyFont="1" applyFill="1" applyBorder="1" applyAlignment="1">
      <alignment horizontal="center" vertical="center" wrapText="1"/>
    </xf>
    <xf numFmtId="0" fontId="20" fillId="4" borderId="17" xfId="68" applyFont="1" applyFill="1" applyBorder="1" applyAlignment="1">
      <alignment horizontal="center" vertical="center" wrapText="1"/>
    </xf>
    <xf numFmtId="0" fontId="15" fillId="4" borderId="18" xfId="68" applyFont="1" applyFill="1" applyBorder="1" applyAlignment="1">
      <alignment horizontal="center" vertical="center"/>
    </xf>
    <xf numFmtId="0" fontId="15" fillId="4" borderId="19" xfId="68" applyFont="1" applyFill="1" applyBorder="1" applyAlignment="1">
      <alignment horizontal="left" vertical="center"/>
    </xf>
    <xf numFmtId="0" fontId="20" fillId="4" borderId="19" xfId="68" applyFont="1" applyFill="1" applyBorder="1" applyAlignment="1">
      <alignment horizontal="center" vertical="center"/>
    </xf>
    <xf numFmtId="10" fontId="15" fillId="4" borderId="19" xfId="68" applyNumberFormat="1" applyFont="1" applyFill="1" applyBorder="1" applyAlignment="1">
      <alignment horizontal="center" vertical="center"/>
    </xf>
    <xf numFmtId="2" fontId="15" fillId="4" borderId="19" xfId="68" applyNumberFormat="1" applyFont="1" applyFill="1" applyBorder="1" applyAlignment="1">
      <alignment horizontal="center" vertical="center"/>
    </xf>
    <xf numFmtId="2" fontId="15" fillId="0" borderId="19" xfId="68" applyNumberFormat="1" applyFont="1" applyBorder="1" applyAlignment="1">
      <alignment horizontal="center" vertical="center"/>
    </xf>
    <xf numFmtId="2" fontId="20" fillId="6" borderId="19" xfId="68" applyNumberFormat="1" applyFont="1" applyFill="1" applyBorder="1" applyAlignment="1">
      <alignment horizontal="center" vertical="center"/>
    </xf>
    <xf numFmtId="2" fontId="15" fillId="4" borderId="20" xfId="68" applyNumberFormat="1" applyFont="1" applyFill="1" applyBorder="1" applyAlignment="1">
      <alignment horizontal="center" vertical="center"/>
    </xf>
    <xf numFmtId="2" fontId="20" fillId="6" borderId="6" xfId="19" applyNumberFormat="1" applyFont="1" applyFill="1" applyBorder="1" applyAlignment="1">
      <alignment horizontal="center" vertical="center"/>
    </xf>
    <xf numFmtId="2" fontId="15" fillId="4" borderId="11" xfId="68" applyNumberFormat="1" applyFont="1" applyFill="1" applyBorder="1" applyAlignment="1">
      <alignment horizontal="center" vertical="center"/>
    </xf>
    <xf numFmtId="2" fontId="20" fillId="6" borderId="21" xfId="68" applyNumberFormat="1" applyFont="1" applyFill="1" applyBorder="1" applyAlignment="1">
      <alignment horizontal="center" vertical="center"/>
    </xf>
    <xf numFmtId="2" fontId="20" fillId="6" borderId="6" xfId="68" applyNumberFormat="1" applyFont="1" applyFill="1" applyBorder="1" applyAlignment="1">
      <alignment horizontal="center" vertical="center"/>
    </xf>
    <xf numFmtId="0" fontId="15" fillId="4" borderId="13" xfId="68" applyFont="1" applyFill="1" applyBorder="1" applyAlignment="1">
      <alignment horizontal="center" vertical="center"/>
    </xf>
    <xf numFmtId="0" fontId="15" fillId="4" borderId="4" xfId="68" applyFont="1" applyFill="1" applyBorder="1" applyAlignment="1">
      <alignment horizontal="left" vertical="center" wrapText="1"/>
    </xf>
    <xf numFmtId="0" fontId="20" fillId="4" borderId="4" xfId="68" applyFont="1" applyFill="1" applyBorder="1" applyAlignment="1">
      <alignment horizontal="center" vertical="center"/>
    </xf>
    <xf numFmtId="10" fontId="15" fillId="4" borderId="4" xfId="39" applyNumberFormat="1" applyFont="1" applyFill="1" applyBorder="1" applyAlignment="1">
      <alignment horizontal="center" vertical="center"/>
    </xf>
    <xf numFmtId="2" fontId="15" fillId="4" borderId="4" xfId="68" applyNumberFormat="1" applyFont="1" applyFill="1" applyBorder="1" applyAlignment="1">
      <alignment horizontal="center" vertical="center"/>
    </xf>
    <xf numFmtId="2" fontId="15" fillId="0" borderId="4" xfId="68" applyNumberFormat="1" applyFont="1" applyBorder="1" applyAlignment="1">
      <alignment horizontal="center" vertical="center"/>
    </xf>
    <xf numFmtId="2" fontId="20" fillId="6" borderId="4" xfId="68" applyNumberFormat="1" applyFont="1" applyFill="1" applyBorder="1" applyAlignment="1">
      <alignment horizontal="center" vertical="center"/>
    </xf>
    <xf numFmtId="2" fontId="15" fillId="4" borderId="5" xfId="68" applyNumberFormat="1" applyFont="1" applyFill="1" applyBorder="1" applyAlignment="1">
      <alignment horizontal="center" vertical="center"/>
    </xf>
    <xf numFmtId="2" fontId="20" fillId="6" borderId="4" xfId="19" applyNumberFormat="1" applyFont="1" applyFill="1" applyBorder="1" applyAlignment="1">
      <alignment horizontal="center" vertical="center"/>
    </xf>
    <xf numFmtId="2" fontId="15" fillId="4" borderId="3" xfId="68" applyNumberFormat="1" applyFont="1" applyFill="1" applyBorder="1" applyAlignment="1">
      <alignment horizontal="center" vertical="center"/>
    </xf>
    <xf numFmtId="2" fontId="20" fillId="6" borderId="5" xfId="68" applyNumberFormat="1" applyFont="1" applyFill="1" applyBorder="1" applyAlignment="1">
      <alignment horizontal="center" vertical="center"/>
    </xf>
    <xf numFmtId="0" fontId="15" fillId="4" borderId="4" xfId="68" applyFont="1" applyFill="1" applyBorder="1" applyAlignment="1">
      <alignment horizontal="left" vertical="center"/>
    </xf>
    <xf numFmtId="10" fontId="28" fillId="0" borderId="4" xfId="39" applyNumberFormat="1" applyFont="1" applyFill="1" applyBorder="1" applyAlignment="1">
      <alignment horizontal="center" vertical="center"/>
    </xf>
    <xf numFmtId="2" fontId="15" fillId="4" borderId="4" xfId="19" applyNumberFormat="1" applyFont="1" applyFill="1" applyBorder="1" applyAlignment="1">
      <alignment horizontal="center" vertical="center"/>
    </xf>
    <xf numFmtId="0" fontId="15" fillId="4" borderId="15" xfId="68" applyFont="1" applyFill="1" applyBorder="1" applyAlignment="1">
      <alignment horizontal="center" vertical="center"/>
    </xf>
    <xf numFmtId="0" fontId="20" fillId="4" borderId="16" xfId="68" applyFont="1" applyFill="1" applyBorder="1" applyAlignment="1">
      <alignment horizontal="center" vertical="center"/>
    </xf>
    <xf numFmtId="10" fontId="20" fillId="6" borderId="16" xfId="68" applyNumberFormat="1" applyFont="1" applyFill="1" applyBorder="1" applyAlignment="1">
      <alignment horizontal="center" vertical="center"/>
    </xf>
    <xf numFmtId="2" fontId="20" fillId="6" borderId="16" xfId="19" applyNumberFormat="1" applyFont="1" applyFill="1" applyBorder="1" applyAlignment="1">
      <alignment horizontal="center" vertical="center"/>
    </xf>
    <xf numFmtId="2" fontId="20" fillId="7" borderId="22" xfId="19" applyNumberFormat="1" applyFont="1" applyFill="1" applyBorder="1" applyAlignment="1">
      <alignment horizontal="center" vertical="center"/>
    </xf>
    <xf numFmtId="2" fontId="20" fillId="6" borderId="23" xfId="19" applyNumberFormat="1" applyFont="1" applyFill="1" applyBorder="1" applyAlignment="1">
      <alignment horizontal="center" vertical="center"/>
    </xf>
    <xf numFmtId="2" fontId="20" fillId="6" borderId="22" xfId="19" applyNumberFormat="1" applyFont="1" applyFill="1" applyBorder="1" applyAlignment="1">
      <alignment horizontal="center" vertical="center"/>
    </xf>
    <xf numFmtId="2" fontId="15" fillId="0" borderId="0" xfId="10" applyNumberFormat="1" applyFont="1" applyAlignment="1">
      <alignment vertical="center"/>
    </xf>
    <xf numFmtId="43" fontId="15" fillId="5" borderId="4" xfId="10" applyNumberFormat="1" applyFont="1" applyFill="1" applyBorder="1"/>
    <xf numFmtId="43" fontId="20" fillId="5" borderId="4" xfId="10" applyNumberFormat="1" applyFont="1" applyFill="1" applyBorder="1"/>
    <xf numFmtId="43" fontId="15" fillId="5" borderId="4" xfId="14" applyNumberFormat="1" applyFont="1" applyFill="1" applyBorder="1">
      <alignment vertical="center"/>
    </xf>
    <xf numFmtId="2" fontId="15" fillId="0" borderId="0" xfId="14" applyNumberFormat="1" applyFont="1">
      <alignment vertical="center"/>
    </xf>
    <xf numFmtId="0" fontId="20" fillId="0" borderId="3" xfId="14" applyFont="1" applyBorder="1" applyAlignment="1">
      <alignment horizontal="center" vertical="center" wrapText="1"/>
    </xf>
    <xf numFmtId="0" fontId="20" fillId="0" borderId="8" xfId="0" applyFont="1" applyBorder="1" applyAlignment="1">
      <alignment horizontal="center" vertical="center"/>
    </xf>
    <xf numFmtId="2" fontId="20" fillId="0" borderId="4" xfId="10" applyNumberFormat="1" applyFont="1" applyBorder="1" applyAlignment="1">
      <alignment horizontal="center" vertical="center"/>
    </xf>
    <xf numFmtId="0" fontId="29" fillId="0" borderId="0" xfId="10" applyFont="1" applyAlignment="1">
      <alignment horizontal="left" vertical="center"/>
    </xf>
    <xf numFmtId="2" fontId="30" fillId="0" borderId="4" xfId="0" applyNumberFormat="1" applyFont="1" applyBorder="1" applyAlignment="1">
      <alignment horizontal="center"/>
    </xf>
    <xf numFmtId="2" fontId="31" fillId="0" borderId="4" xfId="10" applyNumberFormat="1" applyFont="1" applyBorder="1" applyAlignment="1">
      <alignment horizontal="center" vertical="center"/>
    </xf>
    <xf numFmtId="2" fontId="20" fillId="0" borderId="0" xfId="10" applyNumberFormat="1" applyFont="1" applyAlignment="1">
      <alignment horizontal="right" vertical="center"/>
    </xf>
    <xf numFmtId="0" fontId="31" fillId="0" borderId="4" xfId="10" applyFont="1" applyBorder="1" applyAlignment="1">
      <alignment horizontal="center" vertical="center" wrapText="1"/>
    </xf>
    <xf numFmtId="2" fontId="20" fillId="0" borderId="0" xfId="10" applyNumberFormat="1" applyFont="1" applyAlignment="1">
      <alignment horizontal="center" vertical="center"/>
    </xf>
    <xf numFmtId="2" fontId="20" fillId="0" borderId="4" xfId="10" applyNumberFormat="1" applyFont="1" applyBorder="1" applyAlignment="1">
      <alignment vertical="center" wrapText="1"/>
    </xf>
    <xf numFmtId="171" fontId="15" fillId="0" borderId="0" xfId="14" applyNumberFormat="1" applyFont="1">
      <alignment vertical="center"/>
    </xf>
    <xf numFmtId="169" fontId="20" fillId="0" borderId="0" xfId="10" applyNumberFormat="1" applyFont="1" applyAlignment="1">
      <alignment vertical="center"/>
    </xf>
    <xf numFmtId="2" fontId="15" fillId="0" borderId="8" xfId="14" applyNumberFormat="1" applyFont="1" applyFill="1" applyBorder="1">
      <alignment vertical="center"/>
    </xf>
    <xf numFmtId="2" fontId="20" fillId="0" borderId="8" xfId="14" applyNumberFormat="1" applyFont="1" applyFill="1" applyBorder="1">
      <alignment vertical="center"/>
    </xf>
    <xf numFmtId="0" fontId="12" fillId="0" borderId="0" xfId="14" applyFont="1" applyAlignment="1">
      <alignment horizontal="center" vertical="center"/>
    </xf>
    <xf numFmtId="0" fontId="7" fillId="0" borderId="0" xfId="10" applyFont="1" applyAlignment="1">
      <alignment horizontal="center" vertical="center"/>
    </xf>
    <xf numFmtId="0" fontId="12" fillId="0" borderId="0" xfId="10" applyFont="1" applyAlignment="1">
      <alignment horizontal="center" vertical="center" wrapText="1"/>
    </xf>
    <xf numFmtId="0" fontId="7" fillId="0" borderId="0" xfId="10" applyFont="1" applyAlignment="1">
      <alignment horizontal="center" vertical="center" wrapText="1"/>
    </xf>
    <xf numFmtId="0" fontId="20" fillId="0" borderId="7" xfId="14" applyFont="1" applyBorder="1" applyAlignment="1">
      <alignment horizontal="center" vertical="center"/>
    </xf>
    <xf numFmtId="0" fontId="20" fillId="0" borderId="9" xfId="14" applyFont="1" applyBorder="1" applyAlignment="1">
      <alignment horizontal="center" vertical="center"/>
    </xf>
    <xf numFmtId="0" fontId="20" fillId="0" borderId="6" xfId="14" applyFont="1" applyBorder="1" applyAlignment="1">
      <alignment horizontal="center" vertical="center"/>
    </xf>
    <xf numFmtId="0" fontId="20" fillId="0" borderId="7" xfId="14" applyFont="1" applyBorder="1" applyAlignment="1">
      <alignment horizontal="center" vertical="center" wrapText="1"/>
    </xf>
    <xf numFmtId="0" fontId="20" fillId="0" borderId="9" xfId="14" applyFont="1" applyBorder="1" applyAlignment="1">
      <alignment horizontal="center" vertical="center" wrapText="1"/>
    </xf>
    <xf numFmtId="0" fontId="15" fillId="0" borderId="6" xfId="10" applyFont="1" applyBorder="1" applyAlignment="1">
      <alignment horizontal="center" vertical="center" wrapText="1"/>
    </xf>
    <xf numFmtId="0" fontId="20" fillId="0" borderId="4" xfId="14" applyFont="1" applyBorder="1" applyAlignment="1">
      <alignment horizontal="center" vertical="center"/>
    </xf>
    <xf numFmtId="0" fontId="15" fillId="0" borderId="4" xfId="10" applyFont="1" applyBorder="1" applyAlignment="1">
      <alignment horizontal="center" vertical="center"/>
    </xf>
    <xf numFmtId="0" fontId="20" fillId="0" borderId="4" xfId="14" applyFont="1" applyBorder="1" applyAlignment="1">
      <alignment horizontal="center" vertical="center" wrapText="1"/>
    </xf>
    <xf numFmtId="0" fontId="15" fillId="0" borderId="4" xfId="10" applyFont="1" applyBorder="1" applyAlignment="1">
      <alignment horizontal="center" vertical="center" wrapText="1"/>
    </xf>
    <xf numFmtId="0" fontId="20" fillId="0" borderId="5" xfId="14" applyFont="1" applyBorder="1" applyAlignment="1">
      <alignment horizontal="center" vertical="center" wrapText="1"/>
    </xf>
    <xf numFmtId="0" fontId="20" fillId="0" borderId="3" xfId="14" applyFont="1" applyBorder="1" applyAlignment="1">
      <alignment horizontal="center" vertical="center" wrapText="1"/>
    </xf>
    <xf numFmtId="0" fontId="20" fillId="0" borderId="8" xfId="14" applyFont="1" applyBorder="1" applyAlignment="1">
      <alignment horizontal="center" vertical="center" wrapText="1"/>
    </xf>
    <xf numFmtId="0" fontId="20" fillId="0" borderId="0" xfId="14" applyFont="1" applyAlignment="1">
      <alignment horizontal="center" vertical="center"/>
    </xf>
    <xf numFmtId="0" fontId="20" fillId="0" borderId="0" xfId="10" applyFont="1" applyAlignment="1">
      <alignment horizontal="center" vertical="center"/>
    </xf>
    <xf numFmtId="0" fontId="20" fillId="0" borderId="0" xfId="10" applyFont="1" applyAlignment="1">
      <alignment horizontal="left" vertical="center"/>
    </xf>
    <xf numFmtId="0" fontId="20" fillId="0" borderId="4" xfId="10" applyFont="1" applyBorder="1" applyAlignment="1">
      <alignment horizontal="center" vertical="center" wrapText="1"/>
    </xf>
    <xf numFmtId="0" fontId="20" fillId="0" borderId="4" xfId="10" applyFont="1" applyBorder="1" applyAlignment="1">
      <alignment horizontal="center" vertical="center"/>
    </xf>
    <xf numFmtId="0" fontId="20" fillId="0" borderId="7" xfId="10" applyFont="1" applyBorder="1" applyAlignment="1">
      <alignment horizontal="center" vertical="center" wrapText="1"/>
    </xf>
    <xf numFmtId="0" fontId="20" fillId="0" borderId="9" xfId="10" applyFont="1" applyBorder="1" applyAlignment="1">
      <alignment horizontal="center" vertical="center" wrapText="1"/>
    </xf>
    <xf numFmtId="0" fontId="20" fillId="0" borderId="6" xfId="10" applyFont="1" applyBorder="1" applyAlignment="1">
      <alignment horizontal="center" vertical="center" wrapText="1"/>
    </xf>
    <xf numFmtId="0" fontId="15" fillId="0" borderId="4" xfId="10" applyFont="1" applyBorder="1" applyAlignment="1">
      <alignment vertical="center"/>
    </xf>
    <xf numFmtId="43" fontId="15" fillId="0" borderId="7" xfId="73" applyFont="1" applyBorder="1" applyAlignment="1">
      <alignment horizontal="center" vertical="center"/>
    </xf>
    <xf numFmtId="43" fontId="15" fillId="0" borderId="6" xfId="73" applyFont="1" applyBorder="1" applyAlignment="1">
      <alignment horizontal="center" vertical="center"/>
    </xf>
    <xf numFmtId="0" fontId="15" fillId="0" borderId="7" xfId="10" applyFont="1" applyBorder="1" applyAlignment="1">
      <alignment horizontal="right" vertical="center"/>
    </xf>
    <xf numFmtId="0" fontId="15" fillId="0" borderId="6" xfId="10" applyFont="1" applyBorder="1" applyAlignment="1">
      <alignment horizontal="right" vertical="center"/>
    </xf>
    <xf numFmtId="0" fontId="20" fillId="4" borderId="10" xfId="68" applyFont="1" applyFill="1" applyBorder="1" applyAlignment="1">
      <alignment horizontal="center" vertical="center"/>
    </xf>
    <xf numFmtId="0" fontId="20" fillId="4" borderId="11" xfId="68" applyFont="1" applyFill="1" applyBorder="1" applyAlignment="1">
      <alignment horizontal="center" vertical="center"/>
    </xf>
    <xf numFmtId="0" fontId="20" fillId="4" borderId="12" xfId="68" applyFont="1" applyFill="1" applyBorder="1" applyAlignment="1">
      <alignment horizontal="center" vertical="center"/>
    </xf>
    <xf numFmtId="0" fontId="20" fillId="4" borderId="13" xfId="68" applyFont="1" applyFill="1" applyBorder="1" applyAlignment="1">
      <alignment horizontal="center" vertical="center" wrapText="1"/>
    </xf>
    <xf numFmtId="0" fontId="20" fillId="4" borderId="15" xfId="68" applyFont="1" applyFill="1" applyBorder="1" applyAlignment="1">
      <alignment horizontal="center" vertical="center" wrapText="1"/>
    </xf>
    <xf numFmtId="0" fontId="20" fillId="4" borderId="4" xfId="68" quotePrefix="1" applyFont="1" applyFill="1" applyBorder="1" applyAlignment="1">
      <alignment horizontal="center" vertical="center" wrapText="1"/>
    </xf>
    <xf numFmtId="0" fontId="20" fillId="4" borderId="16" xfId="68" quotePrefix="1" applyFont="1" applyFill="1" applyBorder="1" applyAlignment="1">
      <alignment horizontal="center" vertical="center" wrapText="1"/>
    </xf>
    <xf numFmtId="0" fontId="20" fillId="4" borderId="4" xfId="68" applyFont="1" applyFill="1" applyBorder="1" applyAlignment="1">
      <alignment horizontal="center" vertical="center" wrapText="1"/>
    </xf>
    <xf numFmtId="0" fontId="20" fillId="4" borderId="16" xfId="68" applyFont="1" applyFill="1" applyBorder="1" applyAlignment="1">
      <alignment horizontal="center" vertical="center" wrapText="1"/>
    </xf>
    <xf numFmtId="0" fontId="20" fillId="4" borderId="14" xfId="68" applyFont="1" applyFill="1" applyBorder="1" applyAlignment="1">
      <alignment horizontal="center" vertical="center" wrapText="1"/>
    </xf>
    <xf numFmtId="0" fontId="20" fillId="0" borderId="5" xfId="10" applyFont="1" applyBorder="1" applyAlignment="1">
      <alignment horizontal="center" vertical="center"/>
    </xf>
    <xf numFmtId="0" fontId="20" fillId="0" borderId="3" xfId="10" applyFont="1" applyBorder="1" applyAlignment="1">
      <alignment horizontal="center" vertical="center"/>
    </xf>
    <xf numFmtId="0" fontId="20" fillId="0" borderId="8" xfId="10" applyFont="1" applyBorder="1" applyAlignment="1">
      <alignment horizontal="center" vertical="center"/>
    </xf>
    <xf numFmtId="0" fontId="12" fillId="0" borderId="0" xfId="14" applyFont="1" applyAlignment="1">
      <alignment horizontal="center" vertical="top"/>
    </xf>
    <xf numFmtId="0" fontId="8" fillId="0" borderId="4" xfId="10" applyBorder="1" applyAlignment="1">
      <alignment horizontal="center" vertical="center" wrapText="1"/>
    </xf>
    <xf numFmtId="0" fontId="8" fillId="0" borderId="4" xfId="10" applyBorder="1" applyAlignment="1">
      <alignment horizontal="center" vertical="center"/>
    </xf>
    <xf numFmtId="0" fontId="15" fillId="0" borderId="0" xfId="10" applyFont="1" applyAlignment="1">
      <alignment horizontal="center" vertical="center"/>
    </xf>
  </cellXfs>
  <cellStyles count="75">
    <cellStyle name="Body" xfId="1"/>
    <cellStyle name="Comma" xfId="71" builtinId="3"/>
    <cellStyle name="Comma  - Style1" xfId="2"/>
    <cellStyle name="Comma 10" xfId="73"/>
    <cellStyle name="Comma 11 2" xfId="19"/>
    <cellStyle name="Comma 2" xfId="24"/>
    <cellStyle name="Comma 2 2" xfId="25"/>
    <cellStyle name="Comma 2 2 2" xfId="63"/>
    <cellStyle name="Comma 2 3" xfId="26"/>
    <cellStyle name="Comma 2 4" xfId="56"/>
    <cellStyle name="Comma 3" xfId="27"/>
    <cellStyle name="Comma 3 2" xfId="62"/>
    <cellStyle name="Comma 4" xfId="28"/>
    <cellStyle name="Comma 4 2" xfId="64"/>
    <cellStyle name="Comma 5" xfId="29"/>
    <cellStyle name="Comma 6" xfId="48"/>
    <cellStyle name="Comma 6 2" xfId="49"/>
    <cellStyle name="Comma 6 3" xfId="50"/>
    <cellStyle name="Comma 6 4" xfId="51"/>
    <cellStyle name="Comma 7" xfId="21"/>
    <cellStyle name="Comma 8" xfId="65"/>
    <cellStyle name="Curren - Style2" xfId="3"/>
    <cellStyle name="Grey" xfId="4"/>
    <cellStyle name="Header1" xfId="5"/>
    <cellStyle name="Header2" xfId="6"/>
    <cellStyle name="Input [yellow]" xfId="7"/>
    <cellStyle name="no dec" xfId="8"/>
    <cellStyle name="Normal" xfId="0" builtinId="0"/>
    <cellStyle name="Normal - Style1" xfId="9"/>
    <cellStyle name="Normal 10" xfId="67"/>
    <cellStyle name="Normal 11" xfId="69"/>
    <cellStyle name="Normal 12" xfId="70"/>
    <cellStyle name="Normal 13" xfId="72"/>
    <cellStyle name="Normal 14 2" xfId="68"/>
    <cellStyle name="Normal 15" xfId="18"/>
    <cellStyle name="Normal 18" xfId="61"/>
    <cellStyle name="Normal 2" xfId="10"/>
    <cellStyle name="Normal 2 2" xfId="11"/>
    <cellStyle name="Normal 2 2 2" xfId="30"/>
    <cellStyle name="Normal 2 2 2 2" xfId="57"/>
    <cellStyle name="Normal 2 2_Working APR 2007-08 Mahagenco_Bhushan_1.3" xfId="31"/>
    <cellStyle name="Normal 2 3" xfId="12"/>
    <cellStyle name="Normal 2 4" xfId="52"/>
    <cellStyle name="Normal 2_ARR FINAL" xfId="32"/>
    <cellStyle name="Normal 3" xfId="13"/>
    <cellStyle name="Normal 3 2" xfId="33"/>
    <cellStyle name="Normal 3 2 2" xfId="58"/>
    <cellStyle name="Normal 39" xfId="22"/>
    <cellStyle name="Normal 4" xfId="34"/>
    <cellStyle name="Normal 4 2" xfId="59"/>
    <cellStyle name="Normal 5" xfId="35"/>
    <cellStyle name="Normal 5 2" xfId="36"/>
    <cellStyle name="Normal 6" xfId="37"/>
    <cellStyle name="Normal 7" xfId="38"/>
    <cellStyle name="Normal 8" xfId="53"/>
    <cellStyle name="Normal 9" xfId="54"/>
    <cellStyle name="Normal_FORMATS 5 YEAR ALOKE 2" xfId="14"/>
    <cellStyle name="Percent" xfId="74" builtinId="5"/>
    <cellStyle name="Percent [0]_#6 Temps &amp; Contractors" xfId="15"/>
    <cellStyle name="Percent [2]" xfId="16"/>
    <cellStyle name="Percent 2" xfId="39"/>
    <cellStyle name="Percent 2 2" xfId="40"/>
    <cellStyle name="Percent 2 3" xfId="60"/>
    <cellStyle name="Percent 3" xfId="41"/>
    <cellStyle name="Percent 3 2" xfId="42"/>
    <cellStyle name="Percent 4" xfId="23"/>
    <cellStyle name="Percent 41" xfId="20"/>
    <cellStyle name="Percent 5" xfId="43"/>
    <cellStyle name="Percent 5 2" xfId="44"/>
    <cellStyle name="Percent 5 3" xfId="45"/>
    <cellStyle name="Percent 6" xfId="46"/>
    <cellStyle name="Percent 6 2" xfId="47"/>
    <cellStyle name="Percent 7" xfId="66"/>
    <cellStyle name="Style 1" xfId="17"/>
    <cellStyle name="Style 2" xfId="55"/>
  </cellStyles>
  <dxfs count="0"/>
  <tableStyles count="0" defaultTableStyle="TableStyleMedium9" defaultPivotStyle="PivotStyleLight16"/>
  <colors>
    <mruColors>
      <color rgb="FFFBCBA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ech1\EMAIL\Performance\PERFORMANCE\ocm\Yearly_perf\OCMJAN200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ser21\shared%20doc\ARR%202.6%20REV\Performance\PERFORMANCE\ocm\Yearly_perf\OCMJAN2000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Performance\PERFORMANCE\ocm\Yearly_perf\OCMJAN2000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Daily input"/>
      <sheetName val="Daily report"/>
      <sheetName val="OCM2"/>
      <sheetName val="OCM4"/>
      <sheetName val="OCM1"/>
      <sheetName val="OCM3"/>
      <sheetName val="OCM5"/>
      <sheetName val="OCM7"/>
      <sheetName val="INDEX"/>
      <sheetName val="OCM6"/>
      <sheetName val="highlight"/>
      <sheetName val="water"/>
      <sheetName val="AWARD"/>
      <sheetName val="CE"/>
      <sheetName val="hrawd"/>
      <sheetName val="2000-01"/>
      <sheetName val="04REL"/>
      <sheetName val="Inputs &amp; Assumptions"/>
      <sheetName val="Daily_input"/>
      <sheetName val="Daily_report"/>
      <sheetName val="Title"/>
      <sheetName val="CAPI_01-02"/>
    </sheetNames>
    <sheetDataSet>
      <sheetData sheetId="0" refreshError="1"/>
      <sheetData sheetId="1" refreshError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/>
      <sheetData sheetId="14" refreshError="1"/>
      <sheetData sheetId="15" refreshError="1"/>
      <sheetData sheetId="16" refreshError="1"/>
      <sheetData sheetId="17"/>
      <sheetData sheetId="18"/>
      <sheetData sheetId="19" refreshError="1"/>
      <sheetData sheetId="20" refreshError="1"/>
      <sheetData sheetId="2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Daily input"/>
      <sheetName val="Daily report"/>
      <sheetName val="OCM2"/>
      <sheetName val="OCM4"/>
      <sheetName val="OCM1"/>
      <sheetName val="OCM3"/>
      <sheetName val="OCM5"/>
      <sheetName val="OCM7"/>
      <sheetName val="INDEX"/>
      <sheetName val="OCM6"/>
      <sheetName val="highlight"/>
      <sheetName val="water"/>
      <sheetName val="AWARD"/>
      <sheetName val="CE"/>
      <sheetName val="hrawd"/>
      <sheetName val="Assumptions"/>
      <sheetName val="A 3.7"/>
      <sheetName val="water_bal"/>
      <sheetName val="Daily_input"/>
      <sheetName val="Daily_report"/>
      <sheetName val="A_3_7"/>
      <sheetName val="Clause 9"/>
    </sheetNames>
    <sheetDataSet>
      <sheetData sheetId="0" refreshError="1"/>
      <sheetData sheetId="1" refreshError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/>
      <sheetData sheetId="14" refreshError="1"/>
      <sheetData sheetId="15" refreshError="1"/>
      <sheetData sheetId="16" refreshError="1"/>
      <sheetData sheetId="17" refreshError="1"/>
      <sheetData sheetId="18"/>
      <sheetData sheetId="19"/>
      <sheetData sheetId="20"/>
      <sheetData sheetId="21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Daily input"/>
      <sheetName val="Daily report"/>
      <sheetName val="OCM2"/>
      <sheetName val="OCM4"/>
      <sheetName val="OCM1"/>
      <sheetName val="OCM3"/>
      <sheetName val="OCM5"/>
      <sheetName val="OCM7"/>
      <sheetName val="INDEX"/>
      <sheetName val="OCM6"/>
      <sheetName val="highlight"/>
      <sheetName val="water"/>
      <sheetName val="AWARD"/>
      <sheetName val="CE"/>
      <sheetName val="hrawd"/>
      <sheetName val="04REL"/>
      <sheetName val="Daily_input"/>
      <sheetName val="Daily_report"/>
      <sheetName val="Instruction Sheet"/>
    </sheetNames>
    <sheetDataSet>
      <sheetData sheetId="0" refreshError="1"/>
      <sheetData sheetId="1" refreshError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/>
      <sheetData sheetId="14" refreshError="1"/>
      <sheetData sheetId="15" refreshError="1"/>
      <sheetData sheetId="16"/>
      <sheetData sheetId="17"/>
      <sheetData sheetId="18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2:O41"/>
  <sheetViews>
    <sheetView showGridLines="0" zoomScale="80" zoomScaleNormal="80" zoomScaleSheetLayoutView="80" workbookViewId="0">
      <selection activeCell="F8" sqref="F8"/>
    </sheetView>
  </sheetViews>
  <sheetFormatPr defaultColWidth="9.28515625" defaultRowHeight="15"/>
  <cols>
    <col min="1" max="1" width="6.28515625" style="6" customWidth="1"/>
    <col min="2" max="2" width="9.28515625" style="6" customWidth="1"/>
    <col min="3" max="3" width="16.28515625" style="6" customWidth="1"/>
    <col min="4" max="4" width="75.7109375" style="6" customWidth="1"/>
    <col min="5" max="5" width="17.7109375" style="6" customWidth="1"/>
    <col min="6" max="6" width="20.7109375" style="6" customWidth="1"/>
    <col min="7" max="15" width="18.7109375" style="6" customWidth="1"/>
    <col min="16" max="16384" width="9.28515625" style="6"/>
  </cols>
  <sheetData>
    <row r="2" spans="2:15" ht="15.75">
      <c r="B2" s="223" t="s">
        <v>426</v>
      </c>
      <c r="C2" s="223"/>
      <c r="D2" s="224"/>
      <c r="E2" s="224"/>
      <c r="F2" s="1"/>
      <c r="G2" s="1"/>
      <c r="H2" s="1"/>
      <c r="I2" s="1"/>
      <c r="J2" s="1"/>
      <c r="K2" s="1"/>
      <c r="L2" s="1"/>
      <c r="M2" s="1"/>
      <c r="N2" s="1"/>
      <c r="O2" s="1"/>
    </row>
    <row r="3" spans="2:15" ht="15.75">
      <c r="B3" s="223" t="s">
        <v>427</v>
      </c>
      <c r="C3" s="223"/>
      <c r="D3" s="224"/>
      <c r="E3" s="224"/>
      <c r="F3" s="1"/>
      <c r="G3" s="1"/>
      <c r="H3" s="1"/>
      <c r="I3" s="1"/>
      <c r="J3" s="1"/>
      <c r="K3" s="1"/>
      <c r="L3" s="1"/>
      <c r="M3" s="1"/>
      <c r="N3" s="1"/>
      <c r="O3" s="1"/>
    </row>
    <row r="4" spans="2:15" s="15" customFormat="1" ht="15.75">
      <c r="B4" s="225" t="s">
        <v>303</v>
      </c>
      <c r="C4" s="225"/>
      <c r="D4" s="226"/>
      <c r="E4" s="226"/>
      <c r="F4" s="1"/>
      <c r="G4" s="1"/>
      <c r="H4" s="1"/>
      <c r="I4" s="1"/>
      <c r="J4" s="1"/>
      <c r="K4" s="1"/>
      <c r="L4" s="1"/>
      <c r="M4" s="1"/>
      <c r="N4" s="1"/>
      <c r="O4" s="1"/>
    </row>
    <row r="5" spans="2:15" ht="15.75">
      <c r="D5" s="68" t="s">
        <v>305</v>
      </c>
    </row>
    <row r="6" spans="2:15" ht="15.75">
      <c r="N6" s="7"/>
    </row>
    <row r="7" spans="2:15" ht="15.75">
      <c r="B7" s="17" t="s">
        <v>182</v>
      </c>
      <c r="C7" s="17" t="s">
        <v>304</v>
      </c>
      <c r="D7" s="18" t="s">
        <v>7</v>
      </c>
      <c r="E7" s="18" t="s">
        <v>306</v>
      </c>
    </row>
    <row r="8" spans="2:15">
      <c r="B8" s="8">
        <v>1</v>
      </c>
      <c r="C8" s="8" t="s">
        <v>6</v>
      </c>
      <c r="D8" s="9" t="s">
        <v>308</v>
      </c>
      <c r="E8" s="10"/>
    </row>
    <row r="9" spans="2:15">
      <c r="B9" s="8">
        <f>B8+1</f>
        <v>2</v>
      </c>
      <c r="C9" s="8" t="s">
        <v>257</v>
      </c>
      <c r="D9" s="9" t="s">
        <v>310</v>
      </c>
      <c r="E9" s="10"/>
    </row>
    <row r="10" spans="2:15">
      <c r="B10" s="8">
        <f>B9+1</f>
        <v>3</v>
      </c>
      <c r="C10" s="8" t="s">
        <v>24</v>
      </c>
      <c r="D10" s="9" t="s">
        <v>311</v>
      </c>
      <c r="E10" s="10"/>
    </row>
    <row r="11" spans="2:15">
      <c r="B11" s="8">
        <f>B10+1</f>
        <v>4</v>
      </c>
      <c r="C11" s="8" t="s">
        <v>25</v>
      </c>
      <c r="D11" s="9" t="s">
        <v>312</v>
      </c>
      <c r="E11" s="10"/>
    </row>
    <row r="12" spans="2:15">
      <c r="B12" s="8">
        <f>B11+1</f>
        <v>5</v>
      </c>
      <c r="C12" s="8" t="s">
        <v>258</v>
      </c>
      <c r="D12" s="9" t="s">
        <v>313</v>
      </c>
      <c r="E12" s="10"/>
    </row>
    <row r="13" spans="2:15">
      <c r="B13" s="8">
        <f t="shared" ref="B13:B39" si="0">B12+1</f>
        <v>6</v>
      </c>
      <c r="C13" s="8" t="s">
        <v>22</v>
      </c>
      <c r="D13" s="9" t="s">
        <v>207</v>
      </c>
      <c r="E13" s="10"/>
    </row>
    <row r="14" spans="2:15">
      <c r="B14" s="8">
        <f t="shared" si="0"/>
        <v>7</v>
      </c>
      <c r="C14" s="8" t="s">
        <v>27</v>
      </c>
      <c r="D14" s="9" t="s">
        <v>314</v>
      </c>
      <c r="E14" s="10"/>
    </row>
    <row r="15" spans="2:15">
      <c r="B15" s="8">
        <f t="shared" si="0"/>
        <v>8</v>
      </c>
      <c r="C15" s="8" t="s">
        <v>28</v>
      </c>
      <c r="D15" s="11" t="s">
        <v>179</v>
      </c>
      <c r="E15" s="10"/>
    </row>
    <row r="16" spans="2:15">
      <c r="B16" s="8">
        <f t="shared" si="0"/>
        <v>9</v>
      </c>
      <c r="C16" s="8" t="s">
        <v>23</v>
      </c>
      <c r="D16" s="11" t="s">
        <v>315</v>
      </c>
      <c r="E16" s="10"/>
    </row>
    <row r="17" spans="2:5">
      <c r="B17" s="8">
        <f t="shared" si="0"/>
        <v>10</v>
      </c>
      <c r="C17" s="8" t="s">
        <v>29</v>
      </c>
      <c r="D17" s="9" t="s">
        <v>233</v>
      </c>
      <c r="E17" s="10"/>
    </row>
    <row r="18" spans="2:5">
      <c r="B18" s="8">
        <f t="shared" si="0"/>
        <v>11</v>
      </c>
      <c r="C18" s="8" t="s">
        <v>30</v>
      </c>
      <c r="D18" s="11" t="s">
        <v>274</v>
      </c>
      <c r="E18" s="10"/>
    </row>
    <row r="19" spans="2:5">
      <c r="B19" s="8">
        <f t="shared" si="0"/>
        <v>12</v>
      </c>
      <c r="C19" s="8" t="s">
        <v>31</v>
      </c>
      <c r="D19" s="11" t="s">
        <v>234</v>
      </c>
      <c r="E19" s="10"/>
    </row>
    <row r="20" spans="2:5">
      <c r="B20" s="8">
        <f t="shared" si="0"/>
        <v>13</v>
      </c>
      <c r="C20" s="8" t="s">
        <v>32</v>
      </c>
      <c r="D20" s="11" t="s">
        <v>148</v>
      </c>
      <c r="E20" s="10"/>
    </row>
    <row r="21" spans="2:5">
      <c r="B21" s="8">
        <f t="shared" si="0"/>
        <v>14</v>
      </c>
      <c r="C21" s="8" t="s">
        <v>33</v>
      </c>
      <c r="D21" s="11" t="s">
        <v>26</v>
      </c>
      <c r="E21" s="10"/>
    </row>
    <row r="22" spans="2:5">
      <c r="B22" s="8">
        <f t="shared" si="0"/>
        <v>15</v>
      </c>
      <c r="C22" s="8" t="s">
        <v>34</v>
      </c>
      <c r="D22" s="9" t="s">
        <v>316</v>
      </c>
      <c r="E22" s="10"/>
    </row>
    <row r="23" spans="2:5">
      <c r="B23" s="8">
        <f t="shared" si="0"/>
        <v>16</v>
      </c>
      <c r="C23" s="8" t="s">
        <v>35</v>
      </c>
      <c r="D23" s="9" t="s">
        <v>317</v>
      </c>
      <c r="E23" s="10"/>
    </row>
    <row r="24" spans="2:5">
      <c r="B24" s="8">
        <f t="shared" si="0"/>
        <v>17</v>
      </c>
      <c r="C24" s="8" t="s">
        <v>149</v>
      </c>
      <c r="D24" s="9" t="s">
        <v>237</v>
      </c>
      <c r="E24" s="10"/>
    </row>
    <row r="25" spans="2:5">
      <c r="B25" s="8">
        <f t="shared" si="0"/>
        <v>18</v>
      </c>
      <c r="C25" s="8" t="s">
        <v>158</v>
      </c>
      <c r="D25" s="9" t="s">
        <v>318</v>
      </c>
      <c r="E25" s="10"/>
    </row>
    <row r="26" spans="2:5">
      <c r="B26" s="8">
        <f t="shared" si="0"/>
        <v>19</v>
      </c>
      <c r="C26" s="8" t="s">
        <v>307</v>
      </c>
      <c r="D26" s="9" t="s">
        <v>215</v>
      </c>
      <c r="E26" s="10"/>
    </row>
    <row r="27" spans="2:5">
      <c r="B27" s="8">
        <f t="shared" si="0"/>
        <v>20</v>
      </c>
      <c r="C27" s="8" t="s">
        <v>208</v>
      </c>
      <c r="D27" s="9" t="s">
        <v>319</v>
      </c>
      <c r="E27" s="10"/>
    </row>
    <row r="28" spans="2:5">
      <c r="B28" s="8">
        <f t="shared" si="0"/>
        <v>21</v>
      </c>
      <c r="C28" s="8" t="s">
        <v>209</v>
      </c>
      <c r="D28" s="11" t="s">
        <v>320</v>
      </c>
      <c r="E28" s="10"/>
    </row>
    <row r="29" spans="2:5" ht="15.75">
      <c r="B29" s="12"/>
      <c r="C29" s="12"/>
      <c r="D29" s="13" t="s">
        <v>214</v>
      </c>
      <c r="E29" s="14"/>
    </row>
    <row r="30" spans="2:5">
      <c r="B30" s="8">
        <f>B28+1</f>
        <v>22</v>
      </c>
      <c r="C30" s="8" t="s">
        <v>326</v>
      </c>
      <c r="D30" s="9" t="s">
        <v>334</v>
      </c>
      <c r="E30" s="10"/>
    </row>
    <row r="31" spans="2:5">
      <c r="B31" s="8">
        <f>B30+1</f>
        <v>23</v>
      </c>
      <c r="C31" s="8" t="s">
        <v>327</v>
      </c>
      <c r="D31" s="9" t="s">
        <v>335</v>
      </c>
      <c r="E31" s="10"/>
    </row>
    <row r="32" spans="2:5">
      <c r="B32" s="8">
        <f>B31+1</f>
        <v>24</v>
      </c>
      <c r="C32" s="8" t="s">
        <v>324</v>
      </c>
      <c r="D32" s="9" t="s">
        <v>174</v>
      </c>
      <c r="E32" s="10"/>
    </row>
    <row r="33" spans="2:5">
      <c r="B33" s="8">
        <f t="shared" si="0"/>
        <v>25</v>
      </c>
      <c r="C33" s="8" t="s">
        <v>325</v>
      </c>
      <c r="D33" s="9" t="s">
        <v>175</v>
      </c>
      <c r="E33" s="10"/>
    </row>
    <row r="34" spans="2:5">
      <c r="B34" s="8">
        <f t="shared" si="0"/>
        <v>26</v>
      </c>
      <c r="C34" s="8" t="s">
        <v>328</v>
      </c>
      <c r="D34" s="9" t="s">
        <v>176</v>
      </c>
      <c r="E34" s="10"/>
    </row>
    <row r="35" spans="2:5">
      <c r="B35" s="8">
        <f t="shared" si="0"/>
        <v>27</v>
      </c>
      <c r="C35" s="8" t="s">
        <v>329</v>
      </c>
      <c r="D35" s="9" t="s">
        <v>177</v>
      </c>
      <c r="E35" s="10"/>
    </row>
    <row r="36" spans="2:5">
      <c r="B36" s="8">
        <f t="shared" si="0"/>
        <v>28</v>
      </c>
      <c r="C36" s="8" t="s">
        <v>330</v>
      </c>
      <c r="D36" s="9" t="s">
        <v>196</v>
      </c>
      <c r="E36" s="10"/>
    </row>
    <row r="37" spans="2:5">
      <c r="B37" s="8">
        <f t="shared" si="0"/>
        <v>29</v>
      </c>
      <c r="C37" s="8" t="s">
        <v>331</v>
      </c>
      <c r="D37" s="9" t="s">
        <v>178</v>
      </c>
      <c r="E37" s="10"/>
    </row>
    <row r="38" spans="2:5">
      <c r="B38" s="8">
        <f t="shared" si="0"/>
        <v>30</v>
      </c>
      <c r="C38" s="8" t="s">
        <v>332</v>
      </c>
      <c r="D38" s="9" t="s">
        <v>321</v>
      </c>
      <c r="E38" s="10"/>
    </row>
    <row r="39" spans="2:5">
      <c r="B39" s="8">
        <f t="shared" si="0"/>
        <v>31</v>
      </c>
      <c r="C39" s="8" t="s">
        <v>333</v>
      </c>
      <c r="D39" s="9" t="s">
        <v>322</v>
      </c>
      <c r="E39" s="10"/>
    </row>
    <row r="41" spans="2:5" ht="15.75">
      <c r="B41" s="16" t="s">
        <v>323</v>
      </c>
      <c r="C41" s="16"/>
    </row>
  </sheetData>
  <mergeCells count="3">
    <mergeCell ref="B2:E2"/>
    <mergeCell ref="B4:E4"/>
    <mergeCell ref="B3:E3"/>
  </mergeCells>
  <phoneticPr fontId="11" type="noConversion"/>
  <pageMargins left="0.55000000000000004" right="0.23622047244094491" top="1.1023622047244095" bottom="0.98425196850393704" header="0.23622047244094491" footer="0.23622047244094491"/>
  <pageSetup paperSize="9" scale="84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B1:Q83"/>
  <sheetViews>
    <sheetView showGridLines="0" zoomScale="90" zoomScaleNormal="90" zoomScaleSheetLayoutView="90" workbookViewId="0">
      <selection activeCell="H31" sqref="H31"/>
    </sheetView>
  </sheetViews>
  <sheetFormatPr defaultColWidth="9.28515625" defaultRowHeight="14.25"/>
  <cols>
    <col min="1" max="1" width="4.28515625" style="5" customWidth="1"/>
    <col min="2" max="2" width="9.28515625" style="5"/>
    <col min="3" max="3" width="23.7109375" style="5" customWidth="1"/>
    <col min="4" max="4" width="14.28515625" style="5" customWidth="1"/>
    <col min="5" max="6" width="13.28515625" style="5" customWidth="1"/>
    <col min="7" max="7" width="10.7109375" style="5" customWidth="1"/>
    <col min="8" max="8" width="14.7109375" style="5" customWidth="1"/>
    <col min="9" max="9" width="10.7109375" style="5" customWidth="1"/>
    <col min="10" max="10" width="15.28515625" style="5" customWidth="1"/>
    <col min="11" max="12" width="10.7109375" style="5" customWidth="1"/>
    <col min="13" max="13" width="13.7109375" style="5" customWidth="1"/>
    <col min="14" max="14" width="15.28515625" style="5" customWidth="1"/>
    <col min="15" max="15" width="10.7109375" style="5" customWidth="1"/>
    <col min="16" max="16" width="13.7109375" style="5" bestFit="1" customWidth="1"/>
    <col min="17" max="22" width="11.7109375" style="5" bestFit="1" customWidth="1"/>
    <col min="23" max="16384" width="9.28515625" style="5"/>
  </cols>
  <sheetData>
    <row r="1" spans="2:15" ht="15">
      <c r="B1" s="30"/>
    </row>
    <row r="2" spans="2:15" ht="15">
      <c r="B2" s="240" t="s">
        <v>409</v>
      </c>
      <c r="C2" s="240"/>
      <c r="D2" s="240"/>
      <c r="E2" s="240"/>
      <c r="F2" s="240"/>
      <c r="G2" s="240"/>
      <c r="H2" s="240"/>
      <c r="I2" s="240"/>
      <c r="J2" s="240"/>
      <c r="K2" s="240"/>
      <c r="L2" s="240"/>
      <c r="M2" s="240"/>
      <c r="N2" s="240"/>
      <c r="O2" s="240"/>
    </row>
    <row r="3" spans="2:15" ht="15">
      <c r="B3" s="240" t="s">
        <v>414</v>
      </c>
      <c r="C3" s="240"/>
      <c r="D3" s="240"/>
      <c r="E3" s="240"/>
      <c r="F3" s="240"/>
      <c r="G3" s="240"/>
      <c r="H3" s="240"/>
      <c r="I3" s="240"/>
      <c r="J3" s="240"/>
      <c r="K3" s="240"/>
      <c r="L3" s="240"/>
      <c r="M3" s="240"/>
      <c r="N3" s="240"/>
      <c r="O3" s="240"/>
    </row>
    <row r="4" spans="2:15" ht="15">
      <c r="B4" s="241" t="s">
        <v>367</v>
      </c>
      <c r="C4" s="241"/>
      <c r="D4" s="241"/>
      <c r="E4" s="241"/>
      <c r="F4" s="241"/>
      <c r="G4" s="241"/>
      <c r="H4" s="241"/>
      <c r="I4" s="241"/>
      <c r="J4" s="241"/>
      <c r="K4" s="241"/>
      <c r="L4" s="241"/>
      <c r="M4" s="241"/>
      <c r="N4" s="241"/>
      <c r="O4" s="241"/>
    </row>
    <row r="5" spans="2:15" ht="15.75" thickBot="1">
      <c r="K5" s="41"/>
      <c r="O5" s="39" t="s">
        <v>4</v>
      </c>
    </row>
    <row r="6" spans="2:15" ht="15">
      <c r="B6" s="253" t="s">
        <v>391</v>
      </c>
      <c r="C6" s="254"/>
      <c r="D6" s="254"/>
      <c r="E6" s="254"/>
      <c r="F6" s="254"/>
      <c r="G6" s="254"/>
      <c r="H6" s="254"/>
      <c r="I6" s="254"/>
      <c r="J6" s="254"/>
      <c r="K6" s="254"/>
      <c r="L6" s="254"/>
      <c r="M6" s="254"/>
      <c r="N6" s="254"/>
      <c r="O6" s="255"/>
    </row>
    <row r="7" spans="2:15" ht="14.25" customHeight="1">
      <c r="B7" s="256" t="s">
        <v>2</v>
      </c>
      <c r="C7" s="258" t="s">
        <v>368</v>
      </c>
      <c r="D7" s="260" t="s">
        <v>369</v>
      </c>
      <c r="E7" s="260" t="s">
        <v>370</v>
      </c>
      <c r="F7" s="260" t="s">
        <v>371</v>
      </c>
      <c r="G7" s="260"/>
      <c r="H7" s="260"/>
      <c r="I7" s="260"/>
      <c r="J7" s="260" t="s">
        <v>372</v>
      </c>
      <c r="K7" s="260"/>
      <c r="L7" s="260"/>
      <c r="M7" s="260"/>
      <c r="N7" s="260" t="s">
        <v>373</v>
      </c>
      <c r="O7" s="262"/>
    </row>
    <row r="8" spans="2:15" ht="60.75" thickBot="1">
      <c r="B8" s="257"/>
      <c r="C8" s="259"/>
      <c r="D8" s="261"/>
      <c r="E8" s="261"/>
      <c r="F8" s="169" t="s">
        <v>374</v>
      </c>
      <c r="G8" s="169" t="s">
        <v>375</v>
      </c>
      <c r="H8" s="169" t="s">
        <v>376</v>
      </c>
      <c r="I8" s="169" t="s">
        <v>377</v>
      </c>
      <c r="J8" s="169" t="s">
        <v>378</v>
      </c>
      <c r="K8" s="169" t="s">
        <v>375</v>
      </c>
      <c r="L8" s="169" t="s">
        <v>379</v>
      </c>
      <c r="M8" s="169" t="s">
        <v>380</v>
      </c>
      <c r="N8" s="169" t="s">
        <v>374</v>
      </c>
      <c r="O8" s="170" t="s">
        <v>377</v>
      </c>
    </row>
    <row r="9" spans="2:15" ht="15">
      <c r="B9" s="171">
        <v>1</v>
      </c>
      <c r="C9" s="172" t="s">
        <v>381</v>
      </c>
      <c r="D9" s="173">
        <v>1000</v>
      </c>
      <c r="E9" s="174">
        <v>0</v>
      </c>
      <c r="F9" s="175">
        <v>5.1945905000000003</v>
      </c>
      <c r="G9" s="176">
        <v>3.2</v>
      </c>
      <c r="H9" s="175">
        <v>0</v>
      </c>
      <c r="I9" s="177">
        <f>F9+G9-H9</f>
        <v>8.3945904999999996</v>
      </c>
      <c r="J9" s="178">
        <v>0</v>
      </c>
      <c r="K9" s="179">
        <v>0</v>
      </c>
      <c r="L9" s="180"/>
      <c r="M9" s="181">
        <f>J9+K9-L9</f>
        <v>0</v>
      </c>
      <c r="N9" s="182">
        <f>F9-J9</f>
        <v>5.1945905000000003</v>
      </c>
      <c r="O9" s="182">
        <f>I9-M9</f>
        <v>8.3945904999999996</v>
      </c>
    </row>
    <row r="10" spans="2:15" ht="15">
      <c r="B10" s="183">
        <v>2</v>
      </c>
      <c r="C10" s="184" t="s">
        <v>116</v>
      </c>
      <c r="D10" s="185">
        <v>1100</v>
      </c>
      <c r="E10" s="186">
        <v>3.3399999999999999E-2</v>
      </c>
      <c r="F10" s="187">
        <v>27.528257955000001</v>
      </c>
      <c r="G10" s="188">
        <v>1.9452654E-2</v>
      </c>
      <c r="H10" s="187">
        <v>0</v>
      </c>
      <c r="I10" s="189">
        <f>F10+G10-H10</f>
        <v>27.547710608999999</v>
      </c>
      <c r="J10" s="190">
        <v>4.83383948</v>
      </c>
      <c r="K10" s="191">
        <v>0.92003939099999998</v>
      </c>
      <c r="L10" s="192"/>
      <c r="M10" s="193">
        <f t="shared" ref="M10:M12" si="0">J10+K10-L10</f>
        <v>5.7538788709999995</v>
      </c>
      <c r="N10" s="189">
        <f t="shared" ref="N10:N12" si="1">F10-J10</f>
        <v>22.694418474999999</v>
      </c>
      <c r="O10" s="189">
        <f t="shared" ref="O10:O12" si="2">I10-M10</f>
        <v>21.793831738000002</v>
      </c>
    </row>
    <row r="11" spans="2:15" ht="15">
      <c r="B11" s="183">
        <v>3</v>
      </c>
      <c r="C11" s="194" t="s">
        <v>382</v>
      </c>
      <c r="D11" s="185">
        <v>1200</v>
      </c>
      <c r="E11" s="186">
        <v>5.28E-2</v>
      </c>
      <c r="F11" s="187">
        <v>21.550102880000001</v>
      </c>
      <c r="G11" s="188">
        <v>0</v>
      </c>
      <c r="H11" s="187">
        <v>0</v>
      </c>
      <c r="I11" s="189">
        <f t="shared" ref="I11:I12" si="3">F11+G11-H11</f>
        <v>21.550102880000001</v>
      </c>
      <c r="J11" s="190">
        <v>6.7427148790000002</v>
      </c>
      <c r="K11" s="191">
        <v>1.137691679</v>
      </c>
      <c r="L11" s="192"/>
      <c r="M11" s="193">
        <f t="shared" si="0"/>
        <v>7.8804065580000007</v>
      </c>
      <c r="N11" s="189">
        <f t="shared" si="1"/>
        <v>14.807388001</v>
      </c>
      <c r="O11" s="189">
        <f t="shared" si="2"/>
        <v>13.669696322</v>
      </c>
    </row>
    <row r="12" spans="2:15" ht="15.75" thickBot="1">
      <c r="B12" s="183">
        <v>4</v>
      </c>
      <c r="C12" s="194" t="s">
        <v>115</v>
      </c>
      <c r="D12" s="185">
        <v>1300</v>
      </c>
      <c r="E12" s="195">
        <v>5.28E-2</v>
      </c>
      <c r="F12" s="187">
        <v>592.44509591600013</v>
      </c>
      <c r="G12" s="188">
        <v>0.44145529900000002</v>
      </c>
      <c r="H12" s="196">
        <v>0</v>
      </c>
      <c r="I12" s="189">
        <f t="shared" si="3"/>
        <v>592.88655121500017</v>
      </c>
      <c r="J12" s="190">
        <f>207.216045995+15.85</f>
        <v>223.066045995</v>
      </c>
      <c r="K12" s="191">
        <f>31.2707863342778+10.76</f>
        <v>42.030786334277799</v>
      </c>
      <c r="L12" s="192"/>
      <c r="M12" s="193">
        <f t="shared" si="0"/>
        <v>265.09683232927779</v>
      </c>
      <c r="N12" s="189">
        <f t="shared" si="1"/>
        <v>369.37904992100016</v>
      </c>
      <c r="O12" s="189">
        <f t="shared" si="2"/>
        <v>327.78971888572238</v>
      </c>
    </row>
    <row r="13" spans="2:15" ht="15">
      <c r="B13" s="171">
        <v>5</v>
      </c>
      <c r="C13" s="172" t="s">
        <v>383</v>
      </c>
      <c r="D13" s="173">
        <v>1400</v>
      </c>
      <c r="E13" s="174">
        <v>5.28E-2</v>
      </c>
      <c r="F13" s="175">
        <v>0</v>
      </c>
      <c r="G13" s="176">
        <v>0</v>
      </c>
      <c r="H13" s="175">
        <v>0</v>
      </c>
      <c r="I13" s="177">
        <f>F13+G13-H13</f>
        <v>0</v>
      </c>
      <c r="J13" s="178">
        <v>0</v>
      </c>
      <c r="K13" s="179">
        <v>0</v>
      </c>
      <c r="L13" s="180"/>
      <c r="M13" s="181">
        <f>J13+K13-L13</f>
        <v>0</v>
      </c>
      <c r="N13" s="182">
        <f>F13-J13</f>
        <v>0</v>
      </c>
      <c r="O13" s="182">
        <f>I13-M13</f>
        <v>0</v>
      </c>
    </row>
    <row r="14" spans="2:15" ht="15">
      <c r="B14" s="183">
        <v>6</v>
      </c>
      <c r="C14" s="184" t="s">
        <v>384</v>
      </c>
      <c r="D14" s="185">
        <v>1500</v>
      </c>
      <c r="E14" s="186">
        <v>5.28E-2</v>
      </c>
      <c r="F14" s="187">
        <v>239.82272132899999</v>
      </c>
      <c r="G14" s="188">
        <v>0</v>
      </c>
      <c r="H14" s="187">
        <v>0</v>
      </c>
      <c r="I14" s="189">
        <f>F14+G14-H14</f>
        <v>239.82272132899999</v>
      </c>
      <c r="J14" s="190">
        <v>54.939804287999998</v>
      </c>
      <c r="K14" s="191">
        <v>12.662639686</v>
      </c>
      <c r="L14" s="192"/>
      <c r="M14" s="193">
        <f t="shared" ref="M14:M16" si="4">J14+K14-L14</f>
        <v>67.602443973999996</v>
      </c>
      <c r="N14" s="189">
        <f t="shared" ref="N14:N16" si="5">F14-J14</f>
        <v>184.88291704099998</v>
      </c>
      <c r="O14" s="189">
        <f t="shared" ref="O14:O16" si="6">I14-M14</f>
        <v>172.22027735500001</v>
      </c>
    </row>
    <row r="15" spans="2:15" ht="15">
      <c r="B15" s="183">
        <v>7</v>
      </c>
      <c r="C15" s="194" t="s">
        <v>355</v>
      </c>
      <c r="D15" s="185">
        <v>1600</v>
      </c>
      <c r="E15" s="186">
        <v>3.3399999999999999E-2</v>
      </c>
      <c r="F15" s="187">
        <v>740.14043409199996</v>
      </c>
      <c r="G15" s="188">
        <v>0.45090498700000003</v>
      </c>
      <c r="H15" s="187">
        <v>0</v>
      </c>
      <c r="I15" s="189">
        <f t="shared" ref="I15:I16" si="7">F15+G15-H15</f>
        <v>740.59133907899991</v>
      </c>
      <c r="J15" s="190">
        <f>149.653530668+18</f>
        <v>167.653530668</v>
      </c>
      <c r="K15" s="191">
        <v>24.734495708000001</v>
      </c>
      <c r="L15" s="192"/>
      <c r="M15" s="193">
        <f t="shared" si="4"/>
        <v>192.388026376</v>
      </c>
      <c r="N15" s="189">
        <f t="shared" si="5"/>
        <v>572.48690342399993</v>
      </c>
      <c r="O15" s="189">
        <f t="shared" si="6"/>
        <v>548.20331270299994</v>
      </c>
    </row>
    <row r="16" spans="2:15" ht="15.75" thickBot="1">
      <c r="B16" s="183">
        <v>8</v>
      </c>
      <c r="C16" s="194" t="s">
        <v>120</v>
      </c>
      <c r="D16" s="185">
        <v>1700</v>
      </c>
      <c r="E16" s="195">
        <v>9.5000000000000001E-2</v>
      </c>
      <c r="F16" s="187">
        <v>7.6712600000000006E-2</v>
      </c>
      <c r="G16" s="188">
        <v>0</v>
      </c>
      <c r="H16" s="196">
        <v>0</v>
      </c>
      <c r="I16" s="189">
        <f t="shared" si="7"/>
        <v>7.6712600000000006E-2</v>
      </c>
      <c r="J16" s="190">
        <v>6.9041340000000007E-2</v>
      </c>
      <c r="K16" s="191">
        <v>0</v>
      </c>
      <c r="L16" s="192"/>
      <c r="M16" s="193">
        <f t="shared" si="4"/>
        <v>6.9041340000000007E-2</v>
      </c>
      <c r="N16" s="189">
        <f t="shared" si="5"/>
        <v>7.6712599999999992E-3</v>
      </c>
      <c r="O16" s="189">
        <f t="shared" si="6"/>
        <v>7.6712599999999992E-3</v>
      </c>
    </row>
    <row r="17" spans="2:17" ht="15">
      <c r="B17" s="171">
        <v>9</v>
      </c>
      <c r="C17" s="172" t="s">
        <v>385</v>
      </c>
      <c r="D17" s="173">
        <v>1800</v>
      </c>
      <c r="E17" s="174">
        <v>6.3299999999999995E-2</v>
      </c>
      <c r="F17" s="175">
        <v>0.29877994400000002</v>
      </c>
      <c r="G17" s="176">
        <v>0</v>
      </c>
      <c r="H17" s="175">
        <v>0</v>
      </c>
      <c r="I17" s="177">
        <f>F17+G17-H17</f>
        <v>0.29877994400000002</v>
      </c>
      <c r="J17" s="178">
        <v>0.19913428500000002</v>
      </c>
      <c r="K17" s="179">
        <v>7.0598259999999991E-3</v>
      </c>
      <c r="L17" s="180"/>
      <c r="M17" s="181">
        <f>J17+K17-L17</f>
        <v>0.20619411100000001</v>
      </c>
      <c r="N17" s="182">
        <f>F17-J17</f>
        <v>9.9645658999999998E-2</v>
      </c>
      <c r="O17" s="182">
        <f>I17-M17</f>
        <v>9.2585833000000006E-2</v>
      </c>
    </row>
    <row r="18" spans="2:17" ht="15">
      <c r="B18" s="183">
        <v>10</v>
      </c>
      <c r="C18" s="184" t="s">
        <v>386</v>
      </c>
      <c r="D18" s="185">
        <v>1900</v>
      </c>
      <c r="E18" s="186">
        <v>0.15</v>
      </c>
      <c r="F18" s="187">
        <v>0.194506084</v>
      </c>
      <c r="G18" s="188">
        <v>0</v>
      </c>
      <c r="H18" s="187">
        <v>0</v>
      </c>
      <c r="I18" s="189">
        <f>F18+G18-H18</f>
        <v>0.194506084</v>
      </c>
      <c r="J18" s="190">
        <v>0.155971217</v>
      </c>
      <c r="K18" s="191">
        <v>7.7556079999999998E-3</v>
      </c>
      <c r="L18" s="192"/>
      <c r="M18" s="193">
        <f t="shared" ref="M18:M20" si="8">J18+K18-L18</f>
        <v>0.16372682499999999</v>
      </c>
      <c r="N18" s="189">
        <f t="shared" ref="N18:N20" si="9">F18-J18</f>
        <v>3.8534867E-2</v>
      </c>
      <c r="O18" s="189">
        <f t="shared" ref="O18:O20" si="10">I18-M18</f>
        <v>3.0779259000000003E-2</v>
      </c>
    </row>
    <row r="19" spans="2:17" ht="15">
      <c r="B19" s="183">
        <v>11</v>
      </c>
      <c r="C19" s="194" t="s">
        <v>122</v>
      </c>
      <c r="D19" s="185">
        <v>2100</v>
      </c>
      <c r="E19" s="186">
        <v>6.3299999999999995E-2</v>
      </c>
      <c r="F19" s="187">
        <v>0.2042689</v>
      </c>
      <c r="G19" s="188">
        <v>7.9989999999999998E-4</v>
      </c>
      <c r="H19" s="187">
        <v>0</v>
      </c>
      <c r="I19" s="189">
        <f t="shared" ref="I19:I20" si="11">F19+G19-H19</f>
        <v>0.2050688</v>
      </c>
      <c r="J19" s="190">
        <v>0.11471129299999999</v>
      </c>
      <c r="K19" s="191">
        <v>9.1650619999999999E-3</v>
      </c>
      <c r="L19" s="192"/>
      <c r="M19" s="193">
        <f t="shared" si="8"/>
        <v>0.12387635499999999</v>
      </c>
      <c r="N19" s="189">
        <f t="shared" si="9"/>
        <v>8.9557607000000011E-2</v>
      </c>
      <c r="O19" s="189">
        <f t="shared" si="10"/>
        <v>8.1192445000000002E-2</v>
      </c>
    </row>
    <row r="20" spans="2:17" ht="15">
      <c r="B20" s="183"/>
      <c r="C20" s="194" t="s">
        <v>387</v>
      </c>
      <c r="D20" s="185">
        <v>2200</v>
      </c>
      <c r="E20" s="195">
        <v>0.15</v>
      </c>
      <c r="F20" s="187">
        <v>1.4529800000000001E-2</v>
      </c>
      <c r="G20" s="188">
        <v>0</v>
      </c>
      <c r="H20" s="196">
        <v>0</v>
      </c>
      <c r="I20" s="189">
        <f t="shared" si="11"/>
        <v>1.4529800000000001E-2</v>
      </c>
      <c r="J20" s="190">
        <v>1.4529800000000001E-2</v>
      </c>
      <c r="K20" s="191">
        <v>0</v>
      </c>
      <c r="L20" s="192"/>
      <c r="M20" s="193">
        <f t="shared" si="8"/>
        <v>1.4529800000000001E-2</v>
      </c>
      <c r="N20" s="189">
        <f t="shared" si="9"/>
        <v>0</v>
      </c>
      <c r="O20" s="189">
        <f t="shared" si="10"/>
        <v>0</v>
      </c>
    </row>
    <row r="21" spans="2:17" ht="15.75" thickBot="1">
      <c r="B21" s="197"/>
      <c r="C21" s="198" t="s">
        <v>126</v>
      </c>
      <c r="D21" s="198"/>
      <c r="E21" s="199">
        <f>IFERROR((K21-L21)/AVERAGE(F21,I21),0)</f>
        <v>5.0020446416327566E-2</v>
      </c>
      <c r="F21" s="200">
        <f>SUM(F9:F20)</f>
        <v>1627.47</v>
      </c>
      <c r="G21" s="200">
        <f t="shared" ref="G21:L21" si="12">SUM(G9:G20)</f>
        <v>4.1126128400000006</v>
      </c>
      <c r="H21" s="200">
        <f t="shared" si="12"/>
        <v>0</v>
      </c>
      <c r="I21" s="200">
        <f t="shared" si="12"/>
        <v>1631.5826128400001</v>
      </c>
      <c r="J21" s="201">
        <f t="shared" si="12"/>
        <v>457.78932324499999</v>
      </c>
      <c r="K21" s="200">
        <f t="shared" si="12"/>
        <v>81.509633294277791</v>
      </c>
      <c r="L21" s="202">
        <f t="shared" si="12"/>
        <v>0</v>
      </c>
      <c r="M21" s="203">
        <f>J21+K21-L21</f>
        <v>539.29895653927781</v>
      </c>
      <c r="N21" s="200">
        <f>F21-J21</f>
        <v>1169.6806767550001</v>
      </c>
      <c r="O21" s="200">
        <f>I21-M21</f>
        <v>1092.2836563007222</v>
      </c>
      <c r="Q21" s="204"/>
    </row>
    <row r="22" spans="2:17" ht="15" thickBot="1"/>
    <row r="23" spans="2:17" ht="15">
      <c r="B23" s="253" t="s">
        <v>392</v>
      </c>
      <c r="C23" s="254"/>
      <c r="D23" s="254"/>
      <c r="E23" s="254"/>
      <c r="F23" s="254"/>
      <c r="G23" s="254"/>
      <c r="H23" s="254"/>
      <c r="I23" s="254"/>
      <c r="J23" s="254"/>
      <c r="K23" s="254"/>
      <c r="L23" s="254"/>
      <c r="M23" s="254"/>
      <c r="N23" s="254"/>
      <c r="O23" s="255"/>
    </row>
    <row r="24" spans="2:17" ht="14.25" customHeight="1">
      <c r="B24" s="256" t="s">
        <v>2</v>
      </c>
      <c r="C24" s="258" t="s">
        <v>368</v>
      </c>
      <c r="D24" s="260" t="s">
        <v>369</v>
      </c>
      <c r="E24" s="260" t="s">
        <v>370</v>
      </c>
      <c r="F24" s="260" t="s">
        <v>371</v>
      </c>
      <c r="G24" s="260"/>
      <c r="H24" s="260"/>
      <c r="I24" s="260"/>
      <c r="J24" s="260" t="s">
        <v>372</v>
      </c>
      <c r="K24" s="260"/>
      <c r="L24" s="260"/>
      <c r="M24" s="260"/>
      <c r="N24" s="260" t="s">
        <v>373</v>
      </c>
      <c r="O24" s="262"/>
    </row>
    <row r="25" spans="2:17" ht="60.75" thickBot="1">
      <c r="B25" s="257"/>
      <c r="C25" s="259"/>
      <c r="D25" s="261"/>
      <c r="E25" s="261"/>
      <c r="F25" s="169" t="s">
        <v>374</v>
      </c>
      <c r="G25" s="169" t="s">
        <v>375</v>
      </c>
      <c r="H25" s="169" t="s">
        <v>376</v>
      </c>
      <c r="I25" s="169" t="s">
        <v>377</v>
      </c>
      <c r="J25" s="169" t="s">
        <v>378</v>
      </c>
      <c r="K25" s="169" t="s">
        <v>375</v>
      </c>
      <c r="L25" s="169" t="s">
        <v>379</v>
      </c>
      <c r="M25" s="169" t="s">
        <v>380</v>
      </c>
      <c r="N25" s="169" t="s">
        <v>374</v>
      </c>
      <c r="O25" s="170" t="s">
        <v>377</v>
      </c>
    </row>
    <row r="26" spans="2:17" ht="15">
      <c r="B26" s="171">
        <v>1</v>
      </c>
      <c r="C26" s="172" t="s">
        <v>381</v>
      </c>
      <c r="D26" s="173">
        <v>1000</v>
      </c>
      <c r="E26" s="174">
        <v>0</v>
      </c>
      <c r="F26" s="177">
        <f t="shared" ref="F26:F37" si="13">I9</f>
        <v>8.3945904999999996</v>
      </c>
      <c r="G26" s="176">
        <v>7.75</v>
      </c>
      <c r="H26" s="175"/>
      <c r="I26" s="177">
        <f>F26+G26-H26</f>
        <v>16.1445905</v>
      </c>
      <c r="J26" s="178">
        <f>M9</f>
        <v>0</v>
      </c>
      <c r="K26" s="179">
        <v>0</v>
      </c>
      <c r="L26" s="180">
        <v>0</v>
      </c>
      <c r="M26" s="181">
        <f>J26+K26-L26</f>
        <v>0</v>
      </c>
      <c r="N26" s="182">
        <f>F26-J26</f>
        <v>8.3945904999999996</v>
      </c>
      <c r="O26" s="182">
        <f>I26-M26</f>
        <v>16.1445905</v>
      </c>
    </row>
    <row r="27" spans="2:17" ht="15">
      <c r="B27" s="183">
        <v>2</v>
      </c>
      <c r="C27" s="184" t="s">
        <v>116</v>
      </c>
      <c r="D27" s="185">
        <v>1100</v>
      </c>
      <c r="E27" s="186">
        <v>3.3399999999999999E-2</v>
      </c>
      <c r="F27" s="189">
        <f t="shared" si="13"/>
        <v>27.547710608999999</v>
      </c>
      <c r="G27" s="188">
        <v>0.05</v>
      </c>
      <c r="H27" s="187">
        <v>0</v>
      </c>
      <c r="I27" s="189">
        <f>F27+G27-H27</f>
        <v>27.597710609</v>
      </c>
      <c r="J27" s="190">
        <f t="shared" ref="J27:J37" si="14">M10</f>
        <v>5.7538788709999995</v>
      </c>
      <c r="K27" s="179">
        <v>0.92</v>
      </c>
      <c r="L27" s="192">
        <v>0</v>
      </c>
      <c r="M27" s="193">
        <f t="shared" ref="M27:M29" si="15">J27+K27-L27</f>
        <v>6.6738788709999994</v>
      </c>
      <c r="N27" s="189">
        <f t="shared" ref="N27:N29" si="16">F27-J27</f>
        <v>21.793831738000002</v>
      </c>
      <c r="O27" s="189">
        <f t="shared" ref="O27:O29" si="17">I27-M27</f>
        <v>20.923831738000001</v>
      </c>
    </row>
    <row r="28" spans="2:17" ht="15">
      <c r="B28" s="183">
        <v>3</v>
      </c>
      <c r="C28" s="194" t="s">
        <v>388</v>
      </c>
      <c r="D28" s="185">
        <v>1200</v>
      </c>
      <c r="E28" s="186">
        <v>5.28E-2</v>
      </c>
      <c r="F28" s="189">
        <f t="shared" si="13"/>
        <v>21.550102880000001</v>
      </c>
      <c r="G28" s="188">
        <v>0.02</v>
      </c>
      <c r="H28" s="187">
        <v>0</v>
      </c>
      <c r="I28" s="189">
        <f t="shared" ref="I28:I29" si="18">F28+G28-H28</f>
        <v>21.57010288</v>
      </c>
      <c r="J28" s="190">
        <f t="shared" si="14"/>
        <v>7.8804065580000007</v>
      </c>
      <c r="K28" s="179">
        <v>1.1399999999999999</v>
      </c>
      <c r="L28" s="192">
        <v>0</v>
      </c>
      <c r="M28" s="193">
        <f t="shared" si="15"/>
        <v>9.0204065580000012</v>
      </c>
      <c r="N28" s="189">
        <f t="shared" si="16"/>
        <v>13.669696322</v>
      </c>
      <c r="O28" s="189">
        <f t="shared" si="17"/>
        <v>12.549696321999999</v>
      </c>
    </row>
    <row r="29" spans="2:17" ht="15.75" thickBot="1">
      <c r="B29" s="183">
        <v>4</v>
      </c>
      <c r="C29" s="194" t="s">
        <v>115</v>
      </c>
      <c r="D29" s="185">
        <v>1300</v>
      </c>
      <c r="E29" s="195">
        <v>5.28E-2</v>
      </c>
      <c r="F29" s="189">
        <f t="shared" si="13"/>
        <v>592.88655121500017</v>
      </c>
      <c r="G29" s="188">
        <v>0.59</v>
      </c>
      <c r="H29" s="196">
        <v>0</v>
      </c>
      <c r="I29" s="189">
        <f t="shared" si="18"/>
        <v>593.4765512150002</v>
      </c>
      <c r="J29" s="190">
        <f t="shared" si="14"/>
        <v>265.09683232927779</v>
      </c>
      <c r="K29" s="179">
        <v>42.07</v>
      </c>
      <c r="L29" s="192">
        <v>2.0332799999999997E-3</v>
      </c>
      <c r="M29" s="193">
        <f t="shared" si="15"/>
        <v>307.1647990492778</v>
      </c>
      <c r="N29" s="189">
        <f t="shared" si="16"/>
        <v>327.78971888572238</v>
      </c>
      <c r="O29" s="189">
        <f t="shared" si="17"/>
        <v>286.3117521657224</v>
      </c>
    </row>
    <row r="30" spans="2:17" ht="15">
      <c r="B30" s="171">
        <v>5</v>
      </c>
      <c r="C30" s="172" t="s">
        <v>383</v>
      </c>
      <c r="D30" s="173">
        <v>1400</v>
      </c>
      <c r="E30" s="174">
        <v>5.28E-2</v>
      </c>
      <c r="F30" s="177">
        <f t="shared" si="13"/>
        <v>0</v>
      </c>
      <c r="G30" s="176">
        <v>0</v>
      </c>
      <c r="H30" s="175">
        <v>0</v>
      </c>
      <c r="I30" s="177">
        <f>F30+G30-H30</f>
        <v>0</v>
      </c>
      <c r="J30" s="178">
        <f t="shared" si="14"/>
        <v>0</v>
      </c>
      <c r="K30" s="179">
        <v>0</v>
      </c>
      <c r="L30" s="180">
        <v>0</v>
      </c>
      <c r="M30" s="181">
        <f>J30+K30-L30</f>
        <v>0</v>
      </c>
      <c r="N30" s="182">
        <f>F30-J30</f>
        <v>0</v>
      </c>
      <c r="O30" s="182">
        <f>I30-M30</f>
        <v>0</v>
      </c>
    </row>
    <row r="31" spans="2:17" ht="15">
      <c r="B31" s="183">
        <v>6</v>
      </c>
      <c r="C31" s="184" t="s">
        <v>384</v>
      </c>
      <c r="D31" s="185">
        <v>1500</v>
      </c>
      <c r="E31" s="186">
        <v>5.28E-2</v>
      </c>
      <c r="F31" s="189">
        <f t="shared" si="13"/>
        <v>239.82272132899999</v>
      </c>
      <c r="G31" s="188">
        <v>0</v>
      </c>
      <c r="H31" s="187">
        <v>0</v>
      </c>
      <c r="I31" s="189">
        <f>F31+G31-H31</f>
        <v>239.82272132899999</v>
      </c>
      <c r="J31" s="190">
        <f t="shared" si="14"/>
        <v>67.602443973999996</v>
      </c>
      <c r="K31" s="179">
        <v>12.66</v>
      </c>
      <c r="L31" s="192">
        <v>0</v>
      </c>
      <c r="M31" s="193">
        <f t="shared" ref="M31:M33" si="19">J31+K31-L31</f>
        <v>80.262443973999993</v>
      </c>
      <c r="N31" s="189">
        <f t="shared" ref="N31:N33" si="20">F31-J31</f>
        <v>172.22027735500001</v>
      </c>
      <c r="O31" s="189">
        <f t="shared" ref="O31:O33" si="21">I31-M31</f>
        <v>159.56027735499998</v>
      </c>
    </row>
    <row r="32" spans="2:17" ht="15">
      <c r="B32" s="183">
        <v>7</v>
      </c>
      <c r="C32" s="194" t="s">
        <v>355</v>
      </c>
      <c r="D32" s="185">
        <v>1600</v>
      </c>
      <c r="E32" s="186">
        <v>3.3399999999999999E-2</v>
      </c>
      <c r="F32" s="189">
        <f t="shared" si="13"/>
        <v>740.59133907899991</v>
      </c>
      <c r="G32" s="188">
        <v>0.14000000000000001</v>
      </c>
      <c r="H32" s="187"/>
      <c r="I32" s="189">
        <f t="shared" ref="I32:I33" si="22">F32+G32-H32</f>
        <v>740.73133907899989</v>
      </c>
      <c r="J32" s="190">
        <f t="shared" si="14"/>
        <v>192.388026376</v>
      </c>
      <c r="K32" s="179">
        <v>24.74</v>
      </c>
      <c r="L32" s="192">
        <v>0</v>
      </c>
      <c r="M32" s="193">
        <f t="shared" si="19"/>
        <v>217.12802637600001</v>
      </c>
      <c r="N32" s="189">
        <f t="shared" si="20"/>
        <v>548.20331270299994</v>
      </c>
      <c r="O32" s="189">
        <f t="shared" si="21"/>
        <v>523.60331270299992</v>
      </c>
    </row>
    <row r="33" spans="2:15" ht="15.75" thickBot="1">
      <c r="B33" s="183">
        <v>8</v>
      </c>
      <c r="C33" s="194" t="s">
        <v>120</v>
      </c>
      <c r="D33" s="185">
        <v>1700</v>
      </c>
      <c r="E33" s="195">
        <v>9.5000000000000001E-2</v>
      </c>
      <c r="F33" s="189">
        <f t="shared" si="13"/>
        <v>7.6712600000000006E-2</v>
      </c>
      <c r="G33" s="188">
        <v>0</v>
      </c>
      <c r="H33" s="196">
        <v>0</v>
      </c>
      <c r="I33" s="189">
        <f t="shared" si="22"/>
        <v>7.6712600000000006E-2</v>
      </c>
      <c r="J33" s="190">
        <f t="shared" si="14"/>
        <v>6.9041340000000007E-2</v>
      </c>
      <c r="K33" s="179">
        <v>0</v>
      </c>
      <c r="L33" s="192">
        <v>0</v>
      </c>
      <c r="M33" s="193">
        <f t="shared" si="19"/>
        <v>6.9041340000000007E-2</v>
      </c>
      <c r="N33" s="189">
        <f t="shared" si="20"/>
        <v>7.6712599999999992E-3</v>
      </c>
      <c r="O33" s="189">
        <f t="shared" si="21"/>
        <v>7.6712599999999992E-3</v>
      </c>
    </row>
    <row r="34" spans="2:15" ht="15">
      <c r="B34" s="171">
        <v>9</v>
      </c>
      <c r="C34" s="172" t="s">
        <v>385</v>
      </c>
      <c r="D34" s="173">
        <v>1800</v>
      </c>
      <c r="E34" s="174">
        <v>6.3299999999999995E-2</v>
      </c>
      <c r="F34" s="177">
        <f t="shared" si="13"/>
        <v>0.29877994400000002</v>
      </c>
      <c r="G34" s="176">
        <v>0</v>
      </c>
      <c r="H34" s="175">
        <v>0</v>
      </c>
      <c r="I34" s="177">
        <f>F34+G34-H34</f>
        <v>0.29877994400000002</v>
      </c>
      <c r="J34" s="178">
        <f t="shared" si="14"/>
        <v>0.20619411100000001</v>
      </c>
      <c r="K34" s="179">
        <v>0.01</v>
      </c>
      <c r="L34" s="180">
        <v>0</v>
      </c>
      <c r="M34" s="181">
        <f>J34+K34-L34</f>
        <v>0.21619411100000002</v>
      </c>
      <c r="N34" s="182">
        <f>F34-J34</f>
        <v>9.2585833000000006E-2</v>
      </c>
      <c r="O34" s="182">
        <f>I34-M34</f>
        <v>8.2585832999999997E-2</v>
      </c>
    </row>
    <row r="35" spans="2:15" ht="15">
      <c r="B35" s="183">
        <v>10</v>
      </c>
      <c r="C35" s="184" t="s">
        <v>386</v>
      </c>
      <c r="D35" s="185">
        <v>1900</v>
      </c>
      <c r="E35" s="186">
        <v>0.15</v>
      </c>
      <c r="F35" s="189">
        <f t="shared" si="13"/>
        <v>0.194506084</v>
      </c>
      <c r="G35" s="188">
        <v>0</v>
      </c>
      <c r="H35" s="187">
        <v>0</v>
      </c>
      <c r="I35" s="189">
        <f>F35+G35-H35</f>
        <v>0.194506084</v>
      </c>
      <c r="J35" s="190">
        <f t="shared" si="14"/>
        <v>0.16372682499999999</v>
      </c>
      <c r="K35" s="179">
        <v>0</v>
      </c>
      <c r="L35" s="192">
        <v>0</v>
      </c>
      <c r="M35" s="193">
        <f t="shared" ref="M35:M37" si="23">J35+K35-L35</f>
        <v>0.16372682499999999</v>
      </c>
      <c r="N35" s="189">
        <f t="shared" ref="N35:N37" si="24">F35-J35</f>
        <v>3.0779259000000003E-2</v>
      </c>
      <c r="O35" s="189">
        <f t="shared" ref="O35:O37" si="25">I35-M35</f>
        <v>3.0779259000000003E-2</v>
      </c>
    </row>
    <row r="36" spans="2:15" ht="15">
      <c r="B36" s="183">
        <v>11</v>
      </c>
      <c r="C36" s="194" t="s">
        <v>122</v>
      </c>
      <c r="D36" s="185">
        <v>2100</v>
      </c>
      <c r="E36" s="186">
        <v>6.3299999999999995E-2</v>
      </c>
      <c r="F36" s="189">
        <f t="shared" si="13"/>
        <v>0.2050688</v>
      </c>
      <c r="G36" s="188">
        <v>0</v>
      </c>
      <c r="H36" s="187">
        <v>0</v>
      </c>
      <c r="I36" s="189">
        <f t="shared" ref="I36:I37" si="26">F36+G36-H36</f>
        <v>0.2050688</v>
      </c>
      <c r="J36" s="190">
        <f t="shared" si="14"/>
        <v>0.12387635499999999</v>
      </c>
      <c r="K36" s="179">
        <v>0.01</v>
      </c>
      <c r="L36" s="192">
        <v>0</v>
      </c>
      <c r="M36" s="193">
        <f t="shared" si="23"/>
        <v>0.133876355</v>
      </c>
      <c r="N36" s="189">
        <f t="shared" si="24"/>
        <v>8.1192445000000002E-2</v>
      </c>
      <c r="O36" s="189">
        <f t="shared" si="25"/>
        <v>7.1192444999999993E-2</v>
      </c>
    </row>
    <row r="37" spans="2:15" ht="15">
      <c r="B37" s="183">
        <v>12</v>
      </c>
      <c r="C37" s="194" t="s">
        <v>387</v>
      </c>
      <c r="D37" s="185">
        <v>2200</v>
      </c>
      <c r="E37" s="195">
        <v>0.15</v>
      </c>
      <c r="F37" s="189">
        <f t="shared" si="13"/>
        <v>1.4529800000000001E-2</v>
      </c>
      <c r="G37" s="188">
        <v>0</v>
      </c>
      <c r="H37" s="196">
        <v>0</v>
      </c>
      <c r="I37" s="189">
        <f t="shared" si="26"/>
        <v>1.4529800000000001E-2</v>
      </c>
      <c r="J37" s="190">
        <f t="shared" si="14"/>
        <v>1.4529800000000001E-2</v>
      </c>
      <c r="K37" s="179">
        <v>0</v>
      </c>
      <c r="L37" s="192">
        <v>0</v>
      </c>
      <c r="M37" s="193">
        <f t="shared" si="23"/>
        <v>1.4529800000000001E-2</v>
      </c>
      <c r="N37" s="189">
        <f t="shared" si="24"/>
        <v>0</v>
      </c>
      <c r="O37" s="189">
        <f t="shared" si="25"/>
        <v>0</v>
      </c>
    </row>
    <row r="38" spans="2:15" ht="15.75" thickBot="1">
      <c r="B38" s="197"/>
      <c r="C38" s="198" t="s">
        <v>126</v>
      </c>
      <c r="D38" s="198"/>
      <c r="E38" s="199">
        <f>IFERROR((K38-L38)/AVERAGE(F38,I38),0)</f>
        <v>4.9916193840938539E-2</v>
      </c>
      <c r="F38" s="200">
        <f>SUM(F26:F37)</f>
        <v>1631.5826128400001</v>
      </c>
      <c r="G38" s="200">
        <f>'F3'!H12</f>
        <v>4.2300000000000004</v>
      </c>
      <c r="H38" s="200">
        <f t="shared" ref="H38:L38" si="27">SUM(H26:H37)</f>
        <v>0</v>
      </c>
      <c r="I38" s="200">
        <f>F38+G38</f>
        <v>1635.8126128400002</v>
      </c>
      <c r="J38" s="203">
        <f t="shared" si="27"/>
        <v>539.2989565392777</v>
      </c>
      <c r="K38" s="200">
        <f t="shared" si="27"/>
        <v>81.550000000000011</v>
      </c>
      <c r="L38" s="202">
        <f t="shared" si="27"/>
        <v>2.0332799999999997E-3</v>
      </c>
      <c r="M38" s="203">
        <f>J38+K38-L38</f>
        <v>620.84692325927767</v>
      </c>
      <c r="N38" s="200">
        <f>F38-J38</f>
        <v>1092.2836563007224</v>
      </c>
      <c r="O38" s="200">
        <f>I38-M38</f>
        <v>1014.9656895807225</v>
      </c>
    </row>
    <row r="39" spans="2:15" ht="15" thickBot="1"/>
    <row r="40" spans="2:15" ht="15">
      <c r="B40" s="253" t="s">
        <v>393</v>
      </c>
      <c r="C40" s="254"/>
      <c r="D40" s="254"/>
      <c r="E40" s="254"/>
      <c r="F40" s="254"/>
      <c r="G40" s="254"/>
      <c r="H40" s="254"/>
      <c r="I40" s="254"/>
      <c r="J40" s="254"/>
      <c r="K40" s="254"/>
      <c r="L40" s="254"/>
      <c r="M40" s="254"/>
      <c r="N40" s="254"/>
      <c r="O40" s="255"/>
    </row>
    <row r="41" spans="2:15" ht="15" customHeight="1">
      <c r="B41" s="256" t="s">
        <v>2</v>
      </c>
      <c r="C41" s="258" t="s">
        <v>368</v>
      </c>
      <c r="D41" s="260" t="s">
        <v>369</v>
      </c>
      <c r="E41" s="260" t="s">
        <v>370</v>
      </c>
      <c r="F41" s="260" t="s">
        <v>371</v>
      </c>
      <c r="G41" s="260"/>
      <c r="H41" s="260"/>
      <c r="I41" s="260"/>
      <c r="J41" s="260" t="s">
        <v>372</v>
      </c>
      <c r="K41" s="260"/>
      <c r="L41" s="260"/>
      <c r="M41" s="260"/>
      <c r="N41" s="260" t="s">
        <v>373</v>
      </c>
      <c r="O41" s="262"/>
    </row>
    <row r="42" spans="2:15" ht="60.75" thickBot="1">
      <c r="B42" s="257"/>
      <c r="C42" s="259"/>
      <c r="D42" s="261"/>
      <c r="E42" s="261"/>
      <c r="F42" s="169" t="s">
        <v>374</v>
      </c>
      <c r="G42" s="169" t="s">
        <v>375</v>
      </c>
      <c r="H42" s="169" t="s">
        <v>376</v>
      </c>
      <c r="I42" s="169" t="s">
        <v>377</v>
      </c>
      <c r="J42" s="169" t="s">
        <v>378</v>
      </c>
      <c r="K42" s="169" t="s">
        <v>375</v>
      </c>
      <c r="L42" s="169" t="s">
        <v>379</v>
      </c>
      <c r="M42" s="169" t="s">
        <v>380</v>
      </c>
      <c r="N42" s="169" t="s">
        <v>374</v>
      </c>
      <c r="O42" s="170" t="s">
        <v>377</v>
      </c>
    </row>
    <row r="43" spans="2:15" ht="15">
      <c r="B43" s="171">
        <v>1</v>
      </c>
      <c r="C43" s="172" t="s">
        <v>389</v>
      </c>
      <c r="D43" s="173"/>
      <c r="E43" s="174"/>
      <c r="F43" s="177">
        <f>I34</f>
        <v>0.29877994400000002</v>
      </c>
      <c r="G43" s="176"/>
      <c r="H43" s="175"/>
      <c r="I43" s="177">
        <f>F43+G43-H43</f>
        <v>0.29877994400000002</v>
      </c>
      <c r="J43" s="178"/>
      <c r="K43" s="179">
        <f>AVERAGE(F43,I43)*E43</f>
        <v>0</v>
      </c>
      <c r="L43" s="180"/>
      <c r="M43" s="181">
        <f>J43+K43-L43</f>
        <v>0</v>
      </c>
      <c r="N43" s="182">
        <f>F43-J43</f>
        <v>0.29877994400000002</v>
      </c>
      <c r="O43" s="182">
        <f>I43-M43</f>
        <v>0.29877994400000002</v>
      </c>
    </row>
    <row r="44" spans="2:15" ht="15">
      <c r="B44" s="183">
        <v>2</v>
      </c>
      <c r="C44" s="184" t="s">
        <v>116</v>
      </c>
      <c r="D44" s="185"/>
      <c r="E44" s="186"/>
      <c r="F44" s="189">
        <f>I35</f>
        <v>0.194506084</v>
      </c>
      <c r="G44" s="188">
        <v>10</v>
      </c>
      <c r="H44" s="187"/>
      <c r="I44" s="189">
        <f>F44+G44-H44</f>
        <v>10.194506084</v>
      </c>
      <c r="J44" s="190"/>
      <c r="K44" s="191">
        <f t="shared" ref="K44:K46" si="28">AVERAGE(F44,I44)*E44</f>
        <v>0</v>
      </c>
      <c r="L44" s="192"/>
      <c r="M44" s="193">
        <f t="shared" ref="M44:M46" si="29">J44+K44-L44</f>
        <v>0</v>
      </c>
      <c r="N44" s="189">
        <f t="shared" ref="N44:N46" si="30">F44-J44</f>
        <v>0.194506084</v>
      </c>
      <c r="O44" s="189">
        <f t="shared" ref="O44:O46" si="31">I44-M44</f>
        <v>10.194506084</v>
      </c>
    </row>
    <row r="45" spans="2:15" ht="15">
      <c r="B45" s="183">
        <v>3</v>
      </c>
      <c r="C45" s="194" t="s">
        <v>390</v>
      </c>
      <c r="D45" s="185"/>
      <c r="E45" s="186"/>
      <c r="F45" s="189">
        <f>I36</f>
        <v>0.2050688</v>
      </c>
      <c r="G45" s="188">
        <v>14.5</v>
      </c>
      <c r="H45" s="187"/>
      <c r="I45" s="189">
        <f t="shared" ref="I45:I46" si="32">F45+G45-H45</f>
        <v>14.705068799999999</v>
      </c>
      <c r="J45" s="190"/>
      <c r="K45" s="191">
        <f t="shared" si="28"/>
        <v>0</v>
      </c>
      <c r="L45" s="192"/>
      <c r="M45" s="193">
        <f t="shared" si="29"/>
        <v>0</v>
      </c>
      <c r="N45" s="189">
        <f t="shared" si="30"/>
        <v>0.2050688</v>
      </c>
      <c r="O45" s="189">
        <f t="shared" si="31"/>
        <v>14.705068799999999</v>
      </c>
    </row>
    <row r="46" spans="2:15" ht="15">
      <c r="B46" s="183"/>
      <c r="C46" s="194" t="s">
        <v>9</v>
      </c>
      <c r="D46" s="185"/>
      <c r="E46" s="195"/>
      <c r="F46" s="189">
        <f>I37</f>
        <v>1.4529800000000001E-2</v>
      </c>
      <c r="G46" s="188">
        <v>1.1200000000000001</v>
      </c>
      <c r="H46" s="196"/>
      <c r="I46" s="189">
        <f t="shared" si="32"/>
        <v>1.1345298000000001</v>
      </c>
      <c r="J46" s="190"/>
      <c r="K46" s="191">
        <f t="shared" si="28"/>
        <v>0</v>
      </c>
      <c r="L46" s="192"/>
      <c r="M46" s="193">
        <f t="shared" si="29"/>
        <v>0</v>
      </c>
      <c r="N46" s="189">
        <f t="shared" si="30"/>
        <v>1.4529800000000001E-2</v>
      </c>
      <c r="O46" s="189">
        <f t="shared" si="31"/>
        <v>1.1345298000000001</v>
      </c>
    </row>
    <row r="47" spans="2:15" ht="15.75" thickBot="1">
      <c r="B47" s="197"/>
      <c r="C47" s="198" t="s">
        <v>126</v>
      </c>
      <c r="D47" s="198"/>
      <c r="E47" s="199">
        <f>IFERROR((K47-L47)/AVERAGE(F47,I47),0)</f>
        <v>1.6132743466956943E-2</v>
      </c>
      <c r="F47" s="200">
        <f>I38</f>
        <v>1635.8126128400002</v>
      </c>
      <c r="G47" s="200">
        <v>26.72</v>
      </c>
      <c r="H47" s="200">
        <f t="shared" ref="H47" si="33">SUM(H35:H46)</f>
        <v>0</v>
      </c>
      <c r="I47" s="200">
        <f>F47+G47-H47</f>
        <v>1662.5326128400002</v>
      </c>
      <c r="J47" s="203">
        <f>M38</f>
        <v>620.84692325927767</v>
      </c>
      <c r="K47" s="200">
        <v>26.605678695678826</v>
      </c>
      <c r="L47" s="202"/>
      <c r="M47" s="203">
        <f>J47+K47-L47</f>
        <v>647.45260195495655</v>
      </c>
      <c r="N47" s="200">
        <f>F47-J47</f>
        <v>1014.9656895807225</v>
      </c>
      <c r="O47" s="200">
        <f>I47-M47</f>
        <v>1015.0800108850436</v>
      </c>
    </row>
    <row r="48" spans="2:15" ht="15" thickBot="1"/>
    <row r="49" spans="2:15" ht="15">
      <c r="B49" s="253" t="s">
        <v>394</v>
      </c>
      <c r="C49" s="254"/>
      <c r="D49" s="254"/>
      <c r="E49" s="254"/>
      <c r="F49" s="254"/>
      <c r="G49" s="254"/>
      <c r="H49" s="254"/>
      <c r="I49" s="254"/>
      <c r="J49" s="254"/>
      <c r="K49" s="254"/>
      <c r="L49" s="254"/>
      <c r="M49" s="254"/>
      <c r="N49" s="254"/>
      <c r="O49" s="255"/>
    </row>
    <row r="50" spans="2:15" ht="15" customHeight="1">
      <c r="B50" s="256" t="s">
        <v>2</v>
      </c>
      <c r="C50" s="258" t="s">
        <v>368</v>
      </c>
      <c r="D50" s="260" t="s">
        <v>369</v>
      </c>
      <c r="E50" s="260" t="s">
        <v>370</v>
      </c>
      <c r="F50" s="260" t="s">
        <v>371</v>
      </c>
      <c r="G50" s="260"/>
      <c r="H50" s="260"/>
      <c r="I50" s="260"/>
      <c r="J50" s="260" t="s">
        <v>372</v>
      </c>
      <c r="K50" s="260"/>
      <c r="L50" s="260"/>
      <c r="M50" s="260"/>
      <c r="N50" s="260" t="s">
        <v>373</v>
      </c>
      <c r="O50" s="262"/>
    </row>
    <row r="51" spans="2:15" ht="60.75" thickBot="1">
      <c r="B51" s="257"/>
      <c r="C51" s="259"/>
      <c r="D51" s="261"/>
      <c r="E51" s="261"/>
      <c r="F51" s="169" t="s">
        <v>374</v>
      </c>
      <c r="G51" s="169" t="s">
        <v>375</v>
      </c>
      <c r="H51" s="169" t="s">
        <v>376</v>
      </c>
      <c r="I51" s="169" t="s">
        <v>377</v>
      </c>
      <c r="J51" s="169" t="s">
        <v>378</v>
      </c>
      <c r="K51" s="169" t="s">
        <v>375</v>
      </c>
      <c r="L51" s="169" t="s">
        <v>379</v>
      </c>
      <c r="M51" s="169" t="s">
        <v>380</v>
      </c>
      <c r="N51" s="169" t="s">
        <v>374</v>
      </c>
      <c r="O51" s="170" t="s">
        <v>377</v>
      </c>
    </row>
    <row r="52" spans="2:15" ht="15">
      <c r="B52" s="171">
        <v>1</v>
      </c>
      <c r="C52" s="172" t="s">
        <v>389</v>
      </c>
      <c r="D52" s="173"/>
      <c r="E52" s="174"/>
      <c r="F52" s="177">
        <f>I43</f>
        <v>0.29877994400000002</v>
      </c>
      <c r="G52" s="176"/>
      <c r="H52" s="175"/>
      <c r="I52" s="177">
        <f>F52+G52-H52</f>
        <v>0.29877994400000002</v>
      </c>
      <c r="J52" s="178"/>
      <c r="K52" s="179">
        <f>AVERAGE(F52,I52)*E52</f>
        <v>0</v>
      </c>
      <c r="L52" s="180"/>
      <c r="M52" s="181">
        <f>J52+K52-L52</f>
        <v>0</v>
      </c>
      <c r="N52" s="182">
        <f>F52-J52</f>
        <v>0.29877994400000002</v>
      </c>
      <c r="O52" s="182">
        <f>I52-M52</f>
        <v>0.29877994400000002</v>
      </c>
    </row>
    <row r="53" spans="2:15" ht="15">
      <c r="B53" s="183">
        <v>2</v>
      </c>
      <c r="C53" s="184" t="s">
        <v>116</v>
      </c>
      <c r="D53" s="185"/>
      <c r="E53" s="186"/>
      <c r="F53" s="189">
        <f>I44</f>
        <v>10.194506084</v>
      </c>
      <c r="G53" s="188"/>
      <c r="H53" s="187"/>
      <c r="I53" s="189">
        <f>F53+G53-H53</f>
        <v>10.194506084</v>
      </c>
      <c r="J53" s="190"/>
      <c r="K53" s="191">
        <f t="shared" ref="K53:K55" si="34">AVERAGE(F53,I53)*E53</f>
        <v>0</v>
      </c>
      <c r="L53" s="192"/>
      <c r="M53" s="193">
        <f t="shared" ref="M53:M55" si="35">J53+K53-L53</f>
        <v>0</v>
      </c>
      <c r="N53" s="189">
        <f t="shared" ref="N53:N55" si="36">F53-J53</f>
        <v>10.194506084</v>
      </c>
      <c r="O53" s="189">
        <f t="shared" ref="O53:O55" si="37">I53-M53</f>
        <v>10.194506084</v>
      </c>
    </row>
    <row r="54" spans="2:15" ht="15">
      <c r="B54" s="183">
        <v>3</v>
      </c>
      <c r="C54" s="194" t="s">
        <v>390</v>
      </c>
      <c r="D54" s="185"/>
      <c r="E54" s="186"/>
      <c r="F54" s="189">
        <f>I45</f>
        <v>14.705068799999999</v>
      </c>
      <c r="G54" s="188"/>
      <c r="H54" s="187"/>
      <c r="I54" s="189">
        <f t="shared" ref="I54:I55" si="38">F54+G54-H54</f>
        <v>14.705068799999999</v>
      </c>
      <c r="J54" s="190"/>
      <c r="K54" s="191">
        <f t="shared" si="34"/>
        <v>0</v>
      </c>
      <c r="L54" s="192"/>
      <c r="M54" s="193">
        <f t="shared" si="35"/>
        <v>0</v>
      </c>
      <c r="N54" s="189">
        <f t="shared" si="36"/>
        <v>14.705068799999999</v>
      </c>
      <c r="O54" s="189">
        <f t="shared" si="37"/>
        <v>14.705068799999999</v>
      </c>
    </row>
    <row r="55" spans="2:15" ht="15">
      <c r="B55" s="183"/>
      <c r="C55" s="194" t="s">
        <v>9</v>
      </c>
      <c r="D55" s="185"/>
      <c r="E55" s="195"/>
      <c r="F55" s="189">
        <f>I46</f>
        <v>1.1345298000000001</v>
      </c>
      <c r="G55" s="188"/>
      <c r="H55" s="196"/>
      <c r="I55" s="189">
        <f t="shared" si="38"/>
        <v>1.1345298000000001</v>
      </c>
      <c r="J55" s="190"/>
      <c r="K55" s="191">
        <f t="shared" si="34"/>
        <v>0</v>
      </c>
      <c r="L55" s="192"/>
      <c r="M55" s="193">
        <f t="shared" si="35"/>
        <v>0</v>
      </c>
      <c r="N55" s="189">
        <f t="shared" si="36"/>
        <v>1.1345298000000001</v>
      </c>
      <c r="O55" s="189">
        <f t="shared" si="37"/>
        <v>1.1345298000000001</v>
      </c>
    </row>
    <row r="56" spans="2:15" ht="15.75" thickBot="1">
      <c r="B56" s="197"/>
      <c r="C56" s="198" t="s">
        <v>126</v>
      </c>
      <c r="D56" s="198"/>
      <c r="E56" s="199">
        <f>IFERROR((K56-L56)/AVERAGE(F56,I56),0)</f>
        <v>1.6420320910263325E-2</v>
      </c>
      <c r="F56" s="200">
        <f>I47</f>
        <v>1662.5326128400002</v>
      </c>
      <c r="G56" s="200">
        <f>'F3'!J12</f>
        <v>10</v>
      </c>
      <c r="H56" s="200">
        <f t="shared" ref="H56:L56" si="39">SUM(H52:H55)</f>
        <v>0</v>
      </c>
      <c r="I56" s="200">
        <f>F56+G56</f>
        <v>1672.5326128400002</v>
      </c>
      <c r="J56" s="203">
        <f>M47</f>
        <v>647.45260195495655</v>
      </c>
      <c r="K56" s="200">
        <v>27.381420631162694</v>
      </c>
      <c r="L56" s="202">
        <f t="shared" si="39"/>
        <v>0</v>
      </c>
      <c r="M56" s="203">
        <f>J56+K56-L56</f>
        <v>674.8340225861192</v>
      </c>
      <c r="N56" s="200">
        <f>F56-J56</f>
        <v>1015.0800108850436</v>
      </c>
      <c r="O56" s="200">
        <f>I56-M56</f>
        <v>997.69859025388098</v>
      </c>
    </row>
    <row r="57" spans="2:15" ht="15" thickBot="1"/>
    <row r="58" spans="2:15" ht="15">
      <c r="B58" s="253" t="s">
        <v>395</v>
      </c>
      <c r="C58" s="254"/>
      <c r="D58" s="254"/>
      <c r="E58" s="254"/>
      <c r="F58" s="254"/>
      <c r="G58" s="254"/>
      <c r="H58" s="254"/>
      <c r="I58" s="254"/>
      <c r="J58" s="254"/>
      <c r="K58" s="254"/>
      <c r="L58" s="254"/>
      <c r="M58" s="254"/>
      <c r="N58" s="254"/>
      <c r="O58" s="255"/>
    </row>
    <row r="59" spans="2:15" ht="15" customHeight="1">
      <c r="B59" s="256" t="s">
        <v>2</v>
      </c>
      <c r="C59" s="258" t="s">
        <v>368</v>
      </c>
      <c r="D59" s="260" t="s">
        <v>369</v>
      </c>
      <c r="E59" s="260" t="s">
        <v>370</v>
      </c>
      <c r="F59" s="260" t="s">
        <v>371</v>
      </c>
      <c r="G59" s="260"/>
      <c r="H59" s="260"/>
      <c r="I59" s="260"/>
      <c r="J59" s="260" t="s">
        <v>372</v>
      </c>
      <c r="K59" s="260"/>
      <c r="L59" s="260"/>
      <c r="M59" s="260"/>
      <c r="N59" s="260" t="s">
        <v>373</v>
      </c>
      <c r="O59" s="262"/>
    </row>
    <row r="60" spans="2:15" ht="60.75" thickBot="1">
      <c r="B60" s="257"/>
      <c r="C60" s="259"/>
      <c r="D60" s="261"/>
      <c r="E60" s="261"/>
      <c r="F60" s="169" t="s">
        <v>374</v>
      </c>
      <c r="G60" s="169" t="s">
        <v>375</v>
      </c>
      <c r="H60" s="169" t="s">
        <v>376</v>
      </c>
      <c r="I60" s="169" t="s">
        <v>377</v>
      </c>
      <c r="J60" s="169" t="s">
        <v>378</v>
      </c>
      <c r="K60" s="169" t="s">
        <v>375</v>
      </c>
      <c r="L60" s="169" t="s">
        <v>379</v>
      </c>
      <c r="M60" s="169" t="s">
        <v>380</v>
      </c>
      <c r="N60" s="169" t="s">
        <v>374</v>
      </c>
      <c r="O60" s="170" t="s">
        <v>377</v>
      </c>
    </row>
    <row r="61" spans="2:15" ht="15">
      <c r="B61" s="171">
        <v>1</v>
      </c>
      <c r="C61" s="172" t="s">
        <v>389</v>
      </c>
      <c r="D61" s="173"/>
      <c r="E61" s="174"/>
      <c r="F61" s="177">
        <f>I52</f>
        <v>0.29877994400000002</v>
      </c>
      <c r="G61" s="176"/>
      <c r="H61" s="175"/>
      <c r="I61" s="177">
        <f>F61+G61-H61</f>
        <v>0.29877994400000002</v>
      </c>
      <c r="J61" s="178"/>
      <c r="K61" s="179">
        <f>AVERAGE(F61,I61)*E61</f>
        <v>0</v>
      </c>
      <c r="L61" s="180"/>
      <c r="M61" s="181">
        <f>J61+K61-L61</f>
        <v>0</v>
      </c>
      <c r="N61" s="182">
        <f>F61-J61</f>
        <v>0.29877994400000002</v>
      </c>
      <c r="O61" s="182">
        <f>I61-M61</f>
        <v>0.29877994400000002</v>
      </c>
    </row>
    <row r="62" spans="2:15" ht="15">
      <c r="B62" s="183">
        <v>2</v>
      </c>
      <c r="C62" s="184" t="s">
        <v>116</v>
      </c>
      <c r="D62" s="185"/>
      <c r="E62" s="186"/>
      <c r="F62" s="189">
        <f>I53</f>
        <v>10.194506084</v>
      </c>
      <c r="G62" s="188"/>
      <c r="H62" s="187"/>
      <c r="I62" s="189">
        <f>F62+G62-H62</f>
        <v>10.194506084</v>
      </c>
      <c r="J62" s="190"/>
      <c r="K62" s="191">
        <f t="shared" ref="K62:K64" si="40">AVERAGE(F62,I62)*E62</f>
        <v>0</v>
      </c>
      <c r="L62" s="192"/>
      <c r="M62" s="193">
        <f t="shared" ref="M62:M64" si="41">J62+K62-L62</f>
        <v>0</v>
      </c>
      <c r="N62" s="189">
        <f t="shared" ref="N62:N64" si="42">F62-J62</f>
        <v>10.194506084</v>
      </c>
      <c r="O62" s="189">
        <f t="shared" ref="O62:O64" si="43">I62-M62</f>
        <v>10.194506084</v>
      </c>
    </row>
    <row r="63" spans="2:15" ht="15">
      <c r="B63" s="183">
        <v>3</v>
      </c>
      <c r="C63" s="194" t="s">
        <v>390</v>
      </c>
      <c r="D63" s="185"/>
      <c r="E63" s="186"/>
      <c r="F63" s="189">
        <f>I54</f>
        <v>14.705068799999999</v>
      </c>
      <c r="G63" s="188"/>
      <c r="H63" s="187"/>
      <c r="I63" s="189">
        <f t="shared" ref="I63:I64" si="44">F63+G63-H63</f>
        <v>14.705068799999999</v>
      </c>
      <c r="J63" s="190"/>
      <c r="K63" s="191">
        <f t="shared" si="40"/>
        <v>0</v>
      </c>
      <c r="L63" s="192"/>
      <c r="M63" s="193">
        <f t="shared" si="41"/>
        <v>0</v>
      </c>
      <c r="N63" s="189">
        <f t="shared" si="42"/>
        <v>14.705068799999999</v>
      </c>
      <c r="O63" s="189">
        <f t="shared" si="43"/>
        <v>14.705068799999999</v>
      </c>
    </row>
    <row r="64" spans="2:15" ht="15">
      <c r="B64" s="183"/>
      <c r="C64" s="194" t="s">
        <v>9</v>
      </c>
      <c r="D64" s="185"/>
      <c r="E64" s="195"/>
      <c r="F64" s="189">
        <f>I55</f>
        <v>1.1345298000000001</v>
      </c>
      <c r="G64" s="188"/>
      <c r="H64" s="196"/>
      <c r="I64" s="189">
        <f t="shared" si="44"/>
        <v>1.1345298000000001</v>
      </c>
      <c r="J64" s="190"/>
      <c r="K64" s="191">
        <f t="shared" si="40"/>
        <v>0</v>
      </c>
      <c r="L64" s="192"/>
      <c r="M64" s="193">
        <f t="shared" si="41"/>
        <v>0</v>
      </c>
      <c r="N64" s="189">
        <f t="shared" si="42"/>
        <v>1.1345298000000001</v>
      </c>
      <c r="O64" s="189">
        <f t="shared" si="43"/>
        <v>1.1345298000000001</v>
      </c>
    </row>
    <row r="65" spans="2:15" ht="15.75" thickBot="1">
      <c r="B65" s="197"/>
      <c r="C65" s="198" t="s">
        <v>126</v>
      </c>
      <c r="D65" s="198"/>
      <c r="E65" s="199">
        <f>IFERROR((K65-L65)/AVERAGE(F65,I65),0)</f>
        <v>1.6550601416470433E-2</v>
      </c>
      <c r="F65" s="200">
        <f>I56</f>
        <v>1672.5326128400002</v>
      </c>
      <c r="G65" s="200">
        <f t="shared" ref="G65:L65" si="45">SUM(G61:G64)</f>
        <v>0</v>
      </c>
      <c r="H65" s="200">
        <f t="shared" si="45"/>
        <v>0</v>
      </c>
      <c r="I65" s="200">
        <f>F65+G65</f>
        <v>1672.5326128400002</v>
      </c>
      <c r="J65" s="203">
        <f>M56</f>
        <v>674.8340225861192</v>
      </c>
      <c r="K65" s="200">
        <v>27.681420631162698</v>
      </c>
      <c r="L65" s="202">
        <f t="shared" si="45"/>
        <v>0</v>
      </c>
      <c r="M65" s="203">
        <f>J65+K65-L65</f>
        <v>702.51544321728193</v>
      </c>
      <c r="N65" s="200">
        <f>F65-J65</f>
        <v>997.69859025388098</v>
      </c>
      <c r="O65" s="200">
        <f>I65-M65</f>
        <v>970.01716962271826</v>
      </c>
    </row>
    <row r="66" spans="2:15" ht="15" thickBot="1"/>
    <row r="67" spans="2:15" ht="15">
      <c r="B67" s="253" t="s">
        <v>396</v>
      </c>
      <c r="C67" s="254"/>
      <c r="D67" s="254"/>
      <c r="E67" s="254"/>
      <c r="F67" s="254"/>
      <c r="G67" s="254"/>
      <c r="H67" s="254"/>
      <c r="I67" s="254"/>
      <c r="J67" s="254"/>
      <c r="K67" s="254"/>
      <c r="L67" s="254"/>
      <c r="M67" s="254"/>
      <c r="N67" s="254"/>
      <c r="O67" s="255"/>
    </row>
    <row r="68" spans="2:15" ht="15" customHeight="1">
      <c r="B68" s="256" t="s">
        <v>2</v>
      </c>
      <c r="C68" s="258" t="s">
        <v>368</v>
      </c>
      <c r="D68" s="260" t="s">
        <v>369</v>
      </c>
      <c r="E68" s="260" t="s">
        <v>370</v>
      </c>
      <c r="F68" s="260" t="s">
        <v>371</v>
      </c>
      <c r="G68" s="260"/>
      <c r="H68" s="260"/>
      <c r="I68" s="260"/>
      <c r="J68" s="260" t="s">
        <v>372</v>
      </c>
      <c r="K68" s="260"/>
      <c r="L68" s="260"/>
      <c r="M68" s="260"/>
      <c r="N68" s="260" t="s">
        <v>373</v>
      </c>
      <c r="O68" s="262"/>
    </row>
    <row r="69" spans="2:15" ht="60.75" thickBot="1">
      <c r="B69" s="257"/>
      <c r="C69" s="259"/>
      <c r="D69" s="261"/>
      <c r="E69" s="261"/>
      <c r="F69" s="169" t="s">
        <v>374</v>
      </c>
      <c r="G69" s="169" t="s">
        <v>375</v>
      </c>
      <c r="H69" s="169" t="s">
        <v>376</v>
      </c>
      <c r="I69" s="169" t="s">
        <v>377</v>
      </c>
      <c r="J69" s="169" t="s">
        <v>378</v>
      </c>
      <c r="K69" s="169" t="s">
        <v>375</v>
      </c>
      <c r="L69" s="169" t="s">
        <v>379</v>
      </c>
      <c r="M69" s="169" t="s">
        <v>380</v>
      </c>
      <c r="N69" s="169" t="s">
        <v>374</v>
      </c>
      <c r="O69" s="170" t="s">
        <v>377</v>
      </c>
    </row>
    <row r="70" spans="2:15" ht="15">
      <c r="B70" s="171">
        <v>1</v>
      </c>
      <c r="C70" s="172" t="s">
        <v>389</v>
      </c>
      <c r="D70" s="173"/>
      <c r="E70" s="174"/>
      <c r="F70" s="177">
        <f>I61</f>
        <v>0.29877994400000002</v>
      </c>
      <c r="G70" s="176"/>
      <c r="H70" s="175"/>
      <c r="I70" s="177">
        <f>F70+G70-H70</f>
        <v>0.29877994400000002</v>
      </c>
      <c r="J70" s="178"/>
      <c r="K70" s="179">
        <f>AVERAGE(F70,I70)*E70</f>
        <v>0</v>
      </c>
      <c r="L70" s="180"/>
      <c r="M70" s="181">
        <f>J70+K70-L70</f>
        <v>0</v>
      </c>
      <c r="N70" s="182">
        <f>F70-J70</f>
        <v>0.29877994400000002</v>
      </c>
      <c r="O70" s="182">
        <f>I70-M70</f>
        <v>0.29877994400000002</v>
      </c>
    </row>
    <row r="71" spans="2:15" ht="15">
      <c r="B71" s="183">
        <v>2</v>
      </c>
      <c r="C71" s="184" t="s">
        <v>116</v>
      </c>
      <c r="D71" s="185"/>
      <c r="E71" s="186"/>
      <c r="F71" s="189">
        <f>I62</f>
        <v>10.194506084</v>
      </c>
      <c r="G71" s="188"/>
      <c r="H71" s="187"/>
      <c r="I71" s="189">
        <f>F71+G71-H71</f>
        <v>10.194506084</v>
      </c>
      <c r="J71" s="190"/>
      <c r="K71" s="191">
        <f t="shared" ref="K71:K73" si="46">AVERAGE(F71,I71)*E71</f>
        <v>0</v>
      </c>
      <c r="L71" s="192"/>
      <c r="M71" s="193">
        <f t="shared" ref="M71:M73" si="47">J71+K71-L71</f>
        <v>0</v>
      </c>
      <c r="N71" s="189">
        <f t="shared" ref="N71:N73" si="48">F71-J71</f>
        <v>10.194506084</v>
      </c>
      <c r="O71" s="189">
        <f t="shared" ref="O71:O73" si="49">I71-M71</f>
        <v>10.194506084</v>
      </c>
    </row>
    <row r="72" spans="2:15" ht="15">
      <c r="B72" s="183">
        <v>3</v>
      </c>
      <c r="C72" s="194" t="s">
        <v>390</v>
      </c>
      <c r="D72" s="185"/>
      <c r="E72" s="186"/>
      <c r="F72" s="189">
        <f>I63</f>
        <v>14.705068799999999</v>
      </c>
      <c r="G72" s="188"/>
      <c r="H72" s="187"/>
      <c r="I72" s="189">
        <f t="shared" ref="I72:I73" si="50">F72+G72-H72</f>
        <v>14.705068799999999</v>
      </c>
      <c r="J72" s="190"/>
      <c r="K72" s="191">
        <f t="shared" si="46"/>
        <v>0</v>
      </c>
      <c r="L72" s="192"/>
      <c r="M72" s="193">
        <f t="shared" si="47"/>
        <v>0</v>
      </c>
      <c r="N72" s="189">
        <f t="shared" si="48"/>
        <v>14.705068799999999</v>
      </c>
      <c r="O72" s="189">
        <f t="shared" si="49"/>
        <v>14.705068799999999</v>
      </c>
    </row>
    <row r="73" spans="2:15" ht="15">
      <c r="B73" s="183"/>
      <c r="C73" s="194" t="s">
        <v>9</v>
      </c>
      <c r="D73" s="185"/>
      <c r="E73" s="195"/>
      <c r="F73" s="189">
        <f>I64</f>
        <v>1.1345298000000001</v>
      </c>
      <c r="G73" s="188"/>
      <c r="H73" s="196"/>
      <c r="I73" s="189">
        <f t="shared" si="50"/>
        <v>1.1345298000000001</v>
      </c>
      <c r="J73" s="190"/>
      <c r="K73" s="191">
        <f t="shared" si="46"/>
        <v>0</v>
      </c>
      <c r="L73" s="192"/>
      <c r="M73" s="193">
        <f t="shared" si="47"/>
        <v>0</v>
      </c>
      <c r="N73" s="189">
        <f t="shared" si="48"/>
        <v>1.1345298000000001</v>
      </c>
      <c r="O73" s="189">
        <f t="shared" si="49"/>
        <v>1.1345298000000001</v>
      </c>
    </row>
    <row r="74" spans="2:15" ht="15.75" thickBot="1">
      <c r="B74" s="197"/>
      <c r="C74" s="198" t="s">
        <v>126</v>
      </c>
      <c r="D74" s="198"/>
      <c r="E74" s="199">
        <f>IFERROR((K74-L74)/AVERAGE(F74,I74),0)</f>
        <v>1.6550601416470429E-2</v>
      </c>
      <c r="F74" s="200">
        <f>I65</f>
        <v>1672.5326128400002</v>
      </c>
      <c r="G74" s="200">
        <f t="shared" ref="G74:L74" si="51">SUM(G70:G73)</f>
        <v>0</v>
      </c>
      <c r="H74" s="200">
        <f t="shared" si="51"/>
        <v>0</v>
      </c>
      <c r="I74" s="200">
        <f>F74+G74</f>
        <v>1672.5326128400002</v>
      </c>
      <c r="J74" s="203">
        <f>M65</f>
        <v>702.51544321728193</v>
      </c>
      <c r="K74" s="200">
        <v>27.681420631162695</v>
      </c>
      <c r="L74" s="202">
        <f t="shared" si="51"/>
        <v>0</v>
      </c>
      <c r="M74" s="203">
        <f>J74+K74-L74</f>
        <v>730.19686384844465</v>
      </c>
      <c r="N74" s="200">
        <f>F74-J74</f>
        <v>970.01716962271826</v>
      </c>
      <c r="O74" s="200">
        <f>I74-M74</f>
        <v>942.33574899155553</v>
      </c>
    </row>
    <row r="75" spans="2:15" ht="15" thickBot="1"/>
    <row r="76" spans="2:15" ht="15">
      <c r="B76" s="253" t="s">
        <v>397</v>
      </c>
      <c r="C76" s="254"/>
      <c r="D76" s="254"/>
      <c r="E76" s="254"/>
      <c r="F76" s="254"/>
      <c r="G76" s="254"/>
      <c r="H76" s="254"/>
      <c r="I76" s="254"/>
      <c r="J76" s="254"/>
      <c r="K76" s="254"/>
      <c r="L76" s="254"/>
      <c r="M76" s="254"/>
      <c r="N76" s="254"/>
      <c r="O76" s="255"/>
    </row>
    <row r="77" spans="2:15" ht="15" customHeight="1">
      <c r="B77" s="256" t="s">
        <v>2</v>
      </c>
      <c r="C77" s="258" t="s">
        <v>368</v>
      </c>
      <c r="D77" s="260" t="s">
        <v>369</v>
      </c>
      <c r="E77" s="260" t="s">
        <v>370</v>
      </c>
      <c r="F77" s="260" t="s">
        <v>371</v>
      </c>
      <c r="G77" s="260"/>
      <c r="H77" s="260"/>
      <c r="I77" s="260"/>
      <c r="J77" s="260" t="s">
        <v>372</v>
      </c>
      <c r="K77" s="260"/>
      <c r="L77" s="260"/>
      <c r="M77" s="260"/>
      <c r="N77" s="260" t="s">
        <v>373</v>
      </c>
      <c r="O77" s="262"/>
    </row>
    <row r="78" spans="2:15" ht="60.75" thickBot="1">
      <c r="B78" s="257"/>
      <c r="C78" s="259"/>
      <c r="D78" s="261"/>
      <c r="E78" s="261"/>
      <c r="F78" s="169" t="s">
        <v>374</v>
      </c>
      <c r="G78" s="169" t="s">
        <v>375</v>
      </c>
      <c r="H78" s="169" t="s">
        <v>376</v>
      </c>
      <c r="I78" s="169" t="s">
        <v>377</v>
      </c>
      <c r="J78" s="169" t="s">
        <v>378</v>
      </c>
      <c r="K78" s="169" t="s">
        <v>375</v>
      </c>
      <c r="L78" s="169" t="s">
        <v>379</v>
      </c>
      <c r="M78" s="169" t="s">
        <v>380</v>
      </c>
      <c r="N78" s="169" t="s">
        <v>374</v>
      </c>
      <c r="O78" s="170" t="s">
        <v>377</v>
      </c>
    </row>
    <row r="79" spans="2:15" ht="15">
      <c r="B79" s="171">
        <v>1</v>
      </c>
      <c r="C79" s="172" t="s">
        <v>389</v>
      </c>
      <c r="D79" s="173"/>
      <c r="E79" s="174"/>
      <c r="F79" s="177">
        <f>I70</f>
        <v>0.29877994400000002</v>
      </c>
      <c r="G79" s="176"/>
      <c r="H79" s="175"/>
      <c r="I79" s="177">
        <f>F79+G79-H79</f>
        <v>0.29877994400000002</v>
      </c>
      <c r="J79" s="178"/>
      <c r="K79" s="179">
        <f>AVERAGE(F79,I79)*E79</f>
        <v>0</v>
      </c>
      <c r="L79" s="180"/>
      <c r="M79" s="181">
        <f>J79+K79-L79</f>
        <v>0</v>
      </c>
      <c r="N79" s="182">
        <f>F79-J79</f>
        <v>0.29877994400000002</v>
      </c>
      <c r="O79" s="182">
        <f>I79-M79</f>
        <v>0.29877994400000002</v>
      </c>
    </row>
    <row r="80" spans="2:15" ht="15">
      <c r="B80" s="183">
        <v>2</v>
      </c>
      <c r="C80" s="184" t="s">
        <v>116</v>
      </c>
      <c r="D80" s="185"/>
      <c r="E80" s="186"/>
      <c r="F80" s="189">
        <f>I71</f>
        <v>10.194506084</v>
      </c>
      <c r="G80" s="188"/>
      <c r="H80" s="187"/>
      <c r="I80" s="189">
        <f>F80+G80-H80</f>
        <v>10.194506084</v>
      </c>
      <c r="J80" s="190"/>
      <c r="K80" s="191">
        <f t="shared" ref="K80:K82" si="52">AVERAGE(F80,I80)*E80</f>
        <v>0</v>
      </c>
      <c r="L80" s="192"/>
      <c r="M80" s="193">
        <f t="shared" ref="M80:M82" si="53">J80+K80-L80</f>
        <v>0</v>
      </c>
      <c r="N80" s="189">
        <f t="shared" ref="N80:N82" si="54">F80-J80</f>
        <v>10.194506084</v>
      </c>
      <c r="O80" s="189">
        <f t="shared" ref="O80:O82" si="55">I80-M80</f>
        <v>10.194506084</v>
      </c>
    </row>
    <row r="81" spans="2:15" ht="15">
      <c r="B81" s="183">
        <v>3</v>
      </c>
      <c r="C81" s="194" t="s">
        <v>390</v>
      </c>
      <c r="D81" s="185"/>
      <c r="E81" s="186"/>
      <c r="F81" s="189">
        <f>I72</f>
        <v>14.705068799999999</v>
      </c>
      <c r="G81" s="188"/>
      <c r="H81" s="187"/>
      <c r="I81" s="189">
        <f t="shared" ref="I81:I82" si="56">F81+G81-H81</f>
        <v>14.705068799999999</v>
      </c>
      <c r="J81" s="190"/>
      <c r="K81" s="191">
        <f t="shared" si="52"/>
        <v>0</v>
      </c>
      <c r="L81" s="192"/>
      <c r="M81" s="193">
        <f t="shared" si="53"/>
        <v>0</v>
      </c>
      <c r="N81" s="189">
        <f t="shared" si="54"/>
        <v>14.705068799999999</v>
      </c>
      <c r="O81" s="189">
        <f t="shared" si="55"/>
        <v>14.705068799999999</v>
      </c>
    </row>
    <row r="82" spans="2:15" ht="15">
      <c r="B82" s="183"/>
      <c r="C82" s="194" t="s">
        <v>9</v>
      </c>
      <c r="D82" s="185"/>
      <c r="E82" s="195"/>
      <c r="F82" s="189">
        <f>I73</f>
        <v>1.1345298000000001</v>
      </c>
      <c r="G82" s="188"/>
      <c r="H82" s="196"/>
      <c r="I82" s="189">
        <f t="shared" si="56"/>
        <v>1.1345298000000001</v>
      </c>
      <c r="J82" s="190"/>
      <c r="K82" s="191">
        <f t="shared" si="52"/>
        <v>0</v>
      </c>
      <c r="L82" s="192"/>
      <c r="M82" s="193">
        <f t="shared" si="53"/>
        <v>0</v>
      </c>
      <c r="N82" s="189">
        <f t="shared" si="54"/>
        <v>1.1345298000000001</v>
      </c>
      <c r="O82" s="189">
        <f t="shared" si="55"/>
        <v>1.1345298000000001</v>
      </c>
    </row>
    <row r="83" spans="2:15" ht="15.75" thickBot="1">
      <c r="B83" s="197"/>
      <c r="C83" s="198" t="s">
        <v>126</v>
      </c>
      <c r="D83" s="198"/>
      <c r="E83" s="199">
        <f>IFERROR((K83-L83)/AVERAGE(F83,I83),0)</f>
        <v>1.6550601416470429E-2</v>
      </c>
      <c r="F83" s="200">
        <f>I74</f>
        <v>1672.5326128400002</v>
      </c>
      <c r="G83" s="200">
        <f t="shared" ref="G83:O83" si="57">SUM(G79:G82)</f>
        <v>0</v>
      </c>
      <c r="H83" s="200">
        <f t="shared" si="57"/>
        <v>0</v>
      </c>
      <c r="I83" s="200">
        <f>F83+G83</f>
        <v>1672.5326128400002</v>
      </c>
      <c r="J83" s="203">
        <f>M74</f>
        <v>730.19686384844465</v>
      </c>
      <c r="K83" s="200">
        <v>27.681420631162695</v>
      </c>
      <c r="L83" s="202">
        <f t="shared" si="57"/>
        <v>0</v>
      </c>
      <c r="M83" s="203">
        <f>J83+K83</f>
        <v>757.87828447960737</v>
      </c>
      <c r="N83" s="200">
        <f t="shared" si="57"/>
        <v>26.332884627999999</v>
      </c>
      <c r="O83" s="200">
        <f t="shared" si="57"/>
        <v>26.332884627999999</v>
      </c>
    </row>
  </sheetData>
  <mergeCells count="59">
    <mergeCell ref="B2:O2"/>
    <mergeCell ref="B3:O3"/>
    <mergeCell ref="B4:O4"/>
    <mergeCell ref="B76:O76"/>
    <mergeCell ref="B77:B78"/>
    <mergeCell ref="C77:C78"/>
    <mergeCell ref="D77:D78"/>
    <mergeCell ref="E77:E78"/>
    <mergeCell ref="F77:I77"/>
    <mergeCell ref="J77:M77"/>
    <mergeCell ref="N77:O77"/>
    <mergeCell ref="B67:O67"/>
    <mergeCell ref="B68:B69"/>
    <mergeCell ref="C68:C69"/>
    <mergeCell ref="D68:D69"/>
    <mergeCell ref="E68:E69"/>
    <mergeCell ref="F68:I68"/>
    <mergeCell ref="J68:M68"/>
    <mergeCell ref="N68:O68"/>
    <mergeCell ref="B58:O58"/>
    <mergeCell ref="B59:B60"/>
    <mergeCell ref="C59:C60"/>
    <mergeCell ref="D59:D60"/>
    <mergeCell ref="E59:E60"/>
    <mergeCell ref="F59:I59"/>
    <mergeCell ref="J59:M59"/>
    <mergeCell ref="N59:O59"/>
    <mergeCell ref="B49:O49"/>
    <mergeCell ref="B50:B51"/>
    <mergeCell ref="C50:C51"/>
    <mergeCell ref="D50:D51"/>
    <mergeCell ref="E50:E51"/>
    <mergeCell ref="F50:I50"/>
    <mergeCell ref="J50:M50"/>
    <mergeCell ref="N50:O50"/>
    <mergeCell ref="B40:O40"/>
    <mergeCell ref="B41:B42"/>
    <mergeCell ref="C41:C42"/>
    <mergeCell ref="D41:D42"/>
    <mergeCell ref="E41:E42"/>
    <mergeCell ref="F41:I41"/>
    <mergeCell ref="J41:M41"/>
    <mergeCell ref="N41:O41"/>
    <mergeCell ref="B23:O23"/>
    <mergeCell ref="B24:B25"/>
    <mergeCell ref="C24:C25"/>
    <mergeCell ref="D24:D25"/>
    <mergeCell ref="E24:E25"/>
    <mergeCell ref="F24:I24"/>
    <mergeCell ref="J24:M24"/>
    <mergeCell ref="N24:O24"/>
    <mergeCell ref="B6:O6"/>
    <mergeCell ref="B7:B8"/>
    <mergeCell ref="C7:C8"/>
    <mergeCell ref="D7:D8"/>
    <mergeCell ref="E7:E8"/>
    <mergeCell ref="F7:I7"/>
    <mergeCell ref="J7:M7"/>
    <mergeCell ref="N7:O7"/>
  </mergeCells>
  <pageMargins left="0.54" right="0.23622047244094491" top="0.47" bottom="0.65" header="0.23622047244094491" footer="0.23622047244094491"/>
  <pageSetup paperSize="9" scale="49" orientation="portrait" r:id="rId1"/>
  <headerFooter alignWithMargins="0">
    <oddHeader>&amp;F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B1:O51"/>
  <sheetViews>
    <sheetView showGridLines="0" zoomScale="80" zoomScaleNormal="80" zoomScaleSheetLayoutView="90" workbookViewId="0">
      <selection activeCell="H31" sqref="H31"/>
    </sheetView>
  </sheetViews>
  <sheetFormatPr defaultColWidth="9.28515625" defaultRowHeight="14.25"/>
  <cols>
    <col min="1" max="1" width="2.7109375" style="5" customWidth="1"/>
    <col min="2" max="2" width="6.28515625" style="5" customWidth="1"/>
    <col min="3" max="3" width="56.7109375" style="5" customWidth="1"/>
    <col min="4" max="4" width="13.7109375" style="5" bestFit="1" customWidth="1"/>
    <col min="5" max="5" width="12.5703125" style="5" bestFit="1" customWidth="1"/>
    <col min="6" max="6" width="13.42578125" style="5" bestFit="1" customWidth="1"/>
    <col min="7" max="7" width="13.7109375" style="5" bestFit="1" customWidth="1"/>
    <col min="8" max="8" width="12.5703125" style="5" bestFit="1" customWidth="1"/>
    <col min="9" max="9" width="13.28515625" style="5" bestFit="1" customWidth="1"/>
    <col min="10" max="10" width="12.5703125" style="5" customWidth="1"/>
    <col min="11" max="11" width="11.7109375" style="5" bestFit="1" customWidth="1"/>
    <col min="12" max="12" width="13.7109375" style="5" bestFit="1" customWidth="1"/>
    <col min="13" max="18" width="11.7109375" style="5" bestFit="1" customWidth="1"/>
    <col min="19" max="16384" width="9.28515625" style="5"/>
  </cols>
  <sheetData>
    <row r="1" spans="2:15" ht="15">
      <c r="B1" s="30"/>
    </row>
    <row r="2" spans="2:15" ht="15">
      <c r="B2" s="240" t="s">
        <v>409</v>
      </c>
      <c r="C2" s="240"/>
      <c r="D2" s="240"/>
      <c r="E2" s="240"/>
      <c r="F2" s="240"/>
      <c r="G2" s="240"/>
      <c r="H2" s="240"/>
      <c r="I2" s="240"/>
      <c r="J2" s="240"/>
      <c r="K2" s="240"/>
      <c r="L2" s="240"/>
      <c r="M2" s="240"/>
      <c r="N2" s="240"/>
      <c r="O2" s="240"/>
    </row>
    <row r="3" spans="2:15" ht="15">
      <c r="B3" s="240" t="s">
        <v>414</v>
      </c>
      <c r="C3" s="240"/>
      <c r="D3" s="240"/>
      <c r="E3" s="240"/>
      <c r="F3" s="240"/>
      <c r="G3" s="240"/>
      <c r="H3" s="240"/>
      <c r="I3" s="240"/>
      <c r="J3" s="240"/>
      <c r="K3" s="240"/>
      <c r="L3" s="240"/>
      <c r="M3" s="240"/>
      <c r="N3" s="240"/>
      <c r="O3" s="240"/>
    </row>
    <row r="4" spans="2:15" ht="14.25" customHeight="1">
      <c r="B4" s="241" t="s">
        <v>261</v>
      </c>
      <c r="C4" s="241"/>
      <c r="D4" s="241"/>
      <c r="E4" s="241"/>
      <c r="F4" s="241"/>
      <c r="G4" s="241"/>
      <c r="H4" s="241"/>
      <c r="I4" s="241"/>
      <c r="J4" s="241"/>
      <c r="K4" s="241"/>
      <c r="L4" s="241"/>
      <c r="M4" s="241"/>
      <c r="N4" s="241"/>
      <c r="O4" s="241"/>
    </row>
    <row r="5" spans="2:15" ht="15">
      <c r="B5" s="40" t="s">
        <v>45</v>
      </c>
      <c r="C5" s="30" t="s">
        <v>262</v>
      </c>
      <c r="D5" s="31"/>
      <c r="E5" s="31"/>
      <c r="F5" s="31"/>
      <c r="G5" s="31"/>
      <c r="H5" s="31"/>
      <c r="I5" s="31"/>
      <c r="J5" s="31"/>
      <c r="K5" s="31"/>
      <c r="L5" s="31"/>
    </row>
    <row r="6" spans="2:15" ht="15">
      <c r="O6" s="32" t="s">
        <v>4</v>
      </c>
    </row>
    <row r="7" spans="2:15" s="19" customFormat="1" ht="15" customHeight="1">
      <c r="B7" s="230" t="s">
        <v>182</v>
      </c>
      <c r="C7" s="233" t="s">
        <v>18</v>
      </c>
      <c r="D7" s="237" t="s">
        <v>227</v>
      </c>
      <c r="E7" s="238"/>
      <c r="F7" s="239"/>
      <c r="G7" s="237" t="s">
        <v>226</v>
      </c>
      <c r="H7" s="238"/>
      <c r="I7" s="238"/>
      <c r="J7" s="238"/>
      <c r="K7" s="244" t="s">
        <v>220</v>
      </c>
      <c r="L7" s="244"/>
      <c r="M7" s="244"/>
      <c r="N7" s="244"/>
      <c r="O7" s="244"/>
    </row>
    <row r="8" spans="2:15" s="19" customFormat="1" ht="45">
      <c r="B8" s="231"/>
      <c r="C8" s="233"/>
      <c r="D8" s="21" t="s">
        <v>302</v>
      </c>
      <c r="E8" s="21" t="s">
        <v>240</v>
      </c>
      <c r="F8" s="21" t="s">
        <v>197</v>
      </c>
      <c r="G8" s="21" t="s">
        <v>302</v>
      </c>
      <c r="H8" s="21" t="s">
        <v>230</v>
      </c>
      <c r="I8" s="21" t="s">
        <v>231</v>
      </c>
      <c r="J8" s="21" t="s">
        <v>239</v>
      </c>
      <c r="K8" s="21" t="s">
        <v>345</v>
      </c>
      <c r="L8" s="21" t="s">
        <v>346</v>
      </c>
      <c r="M8" s="21" t="s">
        <v>347</v>
      </c>
      <c r="N8" s="21" t="s">
        <v>348</v>
      </c>
      <c r="O8" s="21" t="s">
        <v>349</v>
      </c>
    </row>
    <row r="9" spans="2:15" s="19" customFormat="1" ht="15">
      <c r="B9" s="232"/>
      <c r="C9" s="234"/>
      <c r="D9" s="21" t="s">
        <v>10</v>
      </c>
      <c r="E9" s="21" t="s">
        <v>12</v>
      </c>
      <c r="F9" s="21" t="s">
        <v>229</v>
      </c>
      <c r="G9" s="21" t="s">
        <v>10</v>
      </c>
      <c r="H9" s="21" t="s">
        <v>3</v>
      </c>
      <c r="I9" s="21" t="s">
        <v>5</v>
      </c>
      <c r="J9" s="21" t="s">
        <v>5</v>
      </c>
      <c r="K9" s="21" t="s">
        <v>8</v>
      </c>
      <c r="L9" s="21" t="s">
        <v>8</v>
      </c>
      <c r="M9" s="21" t="s">
        <v>8</v>
      </c>
      <c r="N9" s="21" t="s">
        <v>8</v>
      </c>
      <c r="O9" s="21" t="s">
        <v>8</v>
      </c>
    </row>
    <row r="10" spans="2:15">
      <c r="B10" s="65">
        <v>1</v>
      </c>
      <c r="C10" s="33" t="s">
        <v>161</v>
      </c>
      <c r="D10" s="123">
        <f>'F4'!F21*70%</f>
        <v>1139.229</v>
      </c>
      <c r="E10" s="33">
        <f>'F4'!F21*70%</f>
        <v>1139.229</v>
      </c>
      <c r="F10" s="33">
        <f>E10</f>
        <v>1139.229</v>
      </c>
      <c r="G10" s="113">
        <f>'F4'!F38*70%</f>
        <v>1142.1078289879999</v>
      </c>
      <c r="H10" s="27"/>
      <c r="I10" s="27"/>
      <c r="J10" s="113">
        <f>'F4'!F38*70%</f>
        <v>1142.1078289879999</v>
      </c>
      <c r="K10" s="113">
        <f>'F4'!F47*0.7</f>
        <v>1145.068828988</v>
      </c>
      <c r="L10" s="113">
        <f>K10+K14</f>
        <v>1163.7728289879999</v>
      </c>
      <c r="M10" s="113">
        <f t="shared" ref="M10:O10" si="0">L10+L14</f>
        <v>1170.7728289879999</v>
      </c>
      <c r="N10" s="113">
        <f t="shared" si="0"/>
        <v>1170.7728289879999</v>
      </c>
      <c r="O10" s="113">
        <f t="shared" si="0"/>
        <v>1170.7728289879999</v>
      </c>
    </row>
    <row r="11" spans="2:15">
      <c r="B11" s="26">
        <f>B10+1</f>
        <v>2</v>
      </c>
      <c r="C11" s="33" t="s">
        <v>162</v>
      </c>
      <c r="D11" s="123">
        <f>'F4'!J21</f>
        <v>457.78932324499999</v>
      </c>
      <c r="E11" s="122">
        <f>'F4'!J21</f>
        <v>457.78932324499999</v>
      </c>
      <c r="F11" s="122">
        <f>E11</f>
        <v>457.78932324499999</v>
      </c>
      <c r="G11" s="113">
        <f>F11+F15</f>
        <v>539.29895653927781</v>
      </c>
      <c r="H11" s="27"/>
      <c r="I11" s="27"/>
      <c r="J11" s="113">
        <f>'F4'!J38</f>
        <v>539.2989565392777</v>
      </c>
      <c r="K11" s="113">
        <f>'F4'!J47</f>
        <v>620.84692325927767</v>
      </c>
      <c r="L11" s="113">
        <f>'F4'!J56</f>
        <v>647.45260195495655</v>
      </c>
      <c r="M11" s="113">
        <f>'F4'!J65</f>
        <v>674.8340225861192</v>
      </c>
      <c r="N11" s="113">
        <f>'F4'!J74</f>
        <v>702.51544321728193</v>
      </c>
      <c r="O11" s="113">
        <f>'F4'!J83</f>
        <v>730.19686384844465</v>
      </c>
    </row>
    <row r="12" spans="2:15" ht="15">
      <c r="B12" s="26">
        <f t="shared" ref="B12:B22" si="1">B11+1</f>
        <v>3</v>
      </c>
      <c r="C12" s="35" t="s">
        <v>163</v>
      </c>
      <c r="D12" s="119">
        <f>D10-D11</f>
        <v>681.43967675500005</v>
      </c>
      <c r="E12" s="119">
        <f t="shared" ref="E12:O12" si="2">E10-E11</f>
        <v>681.43967675500005</v>
      </c>
      <c r="F12" s="119">
        <f t="shared" si="2"/>
        <v>681.43967675500005</v>
      </c>
      <c r="G12" s="119">
        <f>G10-G11</f>
        <v>602.80887244872213</v>
      </c>
      <c r="H12" s="119">
        <f>H10-H11</f>
        <v>0</v>
      </c>
      <c r="I12" s="119">
        <f t="shared" si="2"/>
        <v>0</v>
      </c>
      <c r="J12" s="119">
        <f t="shared" si="2"/>
        <v>602.80887244872224</v>
      </c>
      <c r="K12" s="119">
        <f>K10-K11</f>
        <v>524.22190572872228</v>
      </c>
      <c r="L12" s="119">
        <f t="shared" si="2"/>
        <v>516.32022703304335</v>
      </c>
      <c r="M12" s="119">
        <f t="shared" si="2"/>
        <v>495.9388064018807</v>
      </c>
      <c r="N12" s="119">
        <f t="shared" si="2"/>
        <v>468.25738577071797</v>
      </c>
      <c r="O12" s="119">
        <f t="shared" si="2"/>
        <v>440.57596513955525</v>
      </c>
    </row>
    <row r="13" spans="2:15" ht="28.5">
      <c r="B13" s="26">
        <f t="shared" si="1"/>
        <v>4</v>
      </c>
      <c r="C13" s="71" t="s">
        <v>164</v>
      </c>
      <c r="D13" s="121"/>
      <c r="E13" s="121"/>
      <c r="F13" s="121"/>
      <c r="G13" s="121"/>
      <c r="H13" s="121"/>
      <c r="I13" s="121"/>
      <c r="J13" s="121"/>
      <c r="K13" s="121"/>
      <c r="L13" s="121"/>
      <c r="M13" s="121"/>
      <c r="N13" s="121"/>
      <c r="O13" s="121"/>
    </row>
    <row r="14" spans="2:15" s="39" customFormat="1" ht="28.5">
      <c r="B14" s="26">
        <f t="shared" si="1"/>
        <v>5</v>
      </c>
      <c r="C14" s="43" t="s">
        <v>341</v>
      </c>
      <c r="D14" s="121"/>
      <c r="E14" s="131">
        <f>F3.1!H20*70%</f>
        <v>2.8804390832000002</v>
      </c>
      <c r="F14" s="131">
        <f>E14</f>
        <v>2.8804390832000002</v>
      </c>
      <c r="G14" s="137"/>
      <c r="H14" s="137"/>
      <c r="I14" s="137"/>
      <c r="J14" s="138">
        <f>'F4'!G38*70%</f>
        <v>2.9610000000000003</v>
      </c>
      <c r="K14" s="138">
        <f>'F4'!G47*70%</f>
        <v>18.703999999999997</v>
      </c>
      <c r="L14" s="138">
        <f>F3.1!H46*70%</f>
        <v>7</v>
      </c>
      <c r="M14" s="138">
        <f>F3.1!H49*70%</f>
        <v>0</v>
      </c>
      <c r="N14" s="138">
        <f>F3.1!H55*70%</f>
        <v>0</v>
      </c>
      <c r="O14" s="138">
        <f>F3.1!H61*70%</f>
        <v>0</v>
      </c>
    </row>
    <row r="15" spans="2:15">
      <c r="B15" s="26">
        <f t="shared" si="1"/>
        <v>6</v>
      </c>
      <c r="C15" s="71" t="s">
        <v>169</v>
      </c>
      <c r="D15" s="140">
        <f>'F1'!F12</f>
        <v>81.489999999999995</v>
      </c>
      <c r="E15" s="140">
        <f>'F4'!K21</f>
        <v>81.509633294277791</v>
      </c>
      <c r="F15" s="140">
        <f>'F1'!H12</f>
        <v>81.509633294277791</v>
      </c>
      <c r="G15" s="140">
        <f>'F1'!I12</f>
        <v>79.59</v>
      </c>
      <c r="H15" s="221"/>
      <c r="I15" s="221"/>
      <c r="J15" s="140">
        <f>'F1'!J12</f>
        <v>81.547966720000005</v>
      </c>
      <c r="K15" s="140">
        <f>'F1'!K12</f>
        <v>26.605678695678826</v>
      </c>
      <c r="L15" s="140">
        <f>'F1'!L12</f>
        <v>27.381420631162694</v>
      </c>
      <c r="M15" s="140">
        <f>'F1'!M12</f>
        <v>27.681420631162698</v>
      </c>
      <c r="N15" s="140">
        <f>'F1'!N12</f>
        <v>27.681420631162695</v>
      </c>
      <c r="O15" s="140">
        <f>'F1'!O12</f>
        <v>27.681420631162695</v>
      </c>
    </row>
    <row r="16" spans="2:15" ht="15">
      <c r="B16" s="26">
        <f t="shared" si="1"/>
        <v>7</v>
      </c>
      <c r="C16" s="33" t="s">
        <v>165</v>
      </c>
      <c r="D16" s="119">
        <f>D12-D13+D14-D15</f>
        <v>599.94967675500004</v>
      </c>
      <c r="E16" s="119">
        <f t="shared" ref="E16:O16" si="3">E12-E13+E14-E15</f>
        <v>602.81048254392226</v>
      </c>
      <c r="F16" s="119">
        <f t="shared" si="3"/>
        <v>602.81048254392226</v>
      </c>
      <c r="G16" s="119">
        <f t="shared" si="3"/>
        <v>523.2188724487221</v>
      </c>
      <c r="H16" s="222"/>
      <c r="I16" s="222"/>
      <c r="J16" s="119">
        <f t="shared" si="3"/>
        <v>524.22190572872228</v>
      </c>
      <c r="K16" s="119">
        <f t="shared" si="3"/>
        <v>516.32022703304335</v>
      </c>
      <c r="L16" s="119">
        <f t="shared" si="3"/>
        <v>495.93880640188064</v>
      </c>
      <c r="M16" s="119">
        <f t="shared" si="3"/>
        <v>468.25738577071797</v>
      </c>
      <c r="N16" s="119">
        <f t="shared" si="3"/>
        <v>440.57596513955525</v>
      </c>
      <c r="O16" s="119">
        <f t="shared" si="3"/>
        <v>412.89454450839253</v>
      </c>
    </row>
    <row r="17" spans="2:15" ht="15">
      <c r="B17" s="26">
        <f t="shared" si="1"/>
        <v>8</v>
      </c>
      <c r="C17" s="33" t="s">
        <v>166</v>
      </c>
      <c r="D17" s="119">
        <f>D10-D13+D14-D15</f>
        <v>1057.739</v>
      </c>
      <c r="E17" s="119">
        <f t="shared" ref="E17:O17" si="4">E10-E13+E14-E15</f>
        <v>1060.5998057889221</v>
      </c>
      <c r="F17" s="119">
        <f t="shared" si="4"/>
        <v>1060.5998057889221</v>
      </c>
      <c r="G17" s="119">
        <f t="shared" si="4"/>
        <v>1062.517828988</v>
      </c>
      <c r="H17" s="222"/>
      <c r="I17" s="222"/>
      <c r="J17" s="119">
        <f t="shared" si="4"/>
        <v>1063.520862268</v>
      </c>
      <c r="K17" s="119">
        <f t="shared" si="4"/>
        <v>1137.1671502923211</v>
      </c>
      <c r="L17" s="119">
        <f t="shared" si="4"/>
        <v>1143.3914083568372</v>
      </c>
      <c r="M17" s="119">
        <f t="shared" si="4"/>
        <v>1143.0914083568373</v>
      </c>
      <c r="N17" s="119">
        <f t="shared" si="4"/>
        <v>1143.0914083568373</v>
      </c>
      <c r="O17" s="119">
        <f t="shared" si="4"/>
        <v>1143.0914083568373</v>
      </c>
    </row>
    <row r="18" spans="2:15" ht="15">
      <c r="B18" s="26">
        <f t="shared" si="1"/>
        <v>9</v>
      </c>
      <c r="C18" s="33" t="s">
        <v>201</v>
      </c>
      <c r="D18" s="119">
        <f>AVERAGE(D12,D16)</f>
        <v>640.69467675500005</v>
      </c>
      <c r="E18" s="119">
        <f t="shared" ref="E18:O18" si="5">AVERAGE(E12,E16)</f>
        <v>642.12507964946121</v>
      </c>
      <c r="F18" s="119">
        <f t="shared" si="5"/>
        <v>642.12507964946121</v>
      </c>
      <c r="G18" s="119">
        <f t="shared" si="5"/>
        <v>563.01387244872217</v>
      </c>
      <c r="H18" s="222"/>
      <c r="I18" s="222"/>
      <c r="J18" s="119">
        <f t="shared" si="5"/>
        <v>563.51538908872226</v>
      </c>
      <c r="K18" s="119">
        <f t="shared" si="5"/>
        <v>520.27106638088276</v>
      </c>
      <c r="L18" s="119">
        <f t="shared" si="5"/>
        <v>506.12951671746202</v>
      </c>
      <c r="M18" s="119">
        <f t="shared" si="5"/>
        <v>482.09809608629934</v>
      </c>
      <c r="N18" s="119">
        <f t="shared" si="5"/>
        <v>454.41667545513661</v>
      </c>
      <c r="O18" s="119">
        <f t="shared" si="5"/>
        <v>426.73525482397389</v>
      </c>
    </row>
    <row r="19" spans="2:15">
      <c r="B19" s="26">
        <f t="shared" si="1"/>
        <v>10</v>
      </c>
      <c r="C19" s="71" t="s">
        <v>200</v>
      </c>
      <c r="D19" s="120">
        <v>0.10290000000000001</v>
      </c>
      <c r="E19" s="120">
        <v>0.10290000000000001</v>
      </c>
      <c r="F19" s="120">
        <v>0.10290000000000001</v>
      </c>
      <c r="G19" s="120">
        <v>0.10290000000000001</v>
      </c>
      <c r="H19" s="120">
        <v>0.10199999999999999</v>
      </c>
      <c r="I19" s="120">
        <v>0.10199999999999999</v>
      </c>
      <c r="J19" s="120">
        <v>0.10199999999999999</v>
      </c>
      <c r="K19" s="120">
        <v>0.10199999999999999</v>
      </c>
      <c r="L19" s="120">
        <v>0.10199999999999999</v>
      </c>
      <c r="M19" s="120">
        <v>0.10199999999999999</v>
      </c>
      <c r="N19" s="120">
        <v>0.10199999999999999</v>
      </c>
      <c r="O19" s="120">
        <v>0.10199999999999999</v>
      </c>
    </row>
    <row r="20" spans="2:15" ht="15">
      <c r="B20" s="26">
        <f t="shared" si="1"/>
        <v>11</v>
      </c>
      <c r="C20" s="33" t="s">
        <v>263</v>
      </c>
      <c r="D20" s="119">
        <f>D18*D19</f>
        <v>65.92748223808951</v>
      </c>
      <c r="E20" s="119">
        <f>E18*E19</f>
        <v>66.074670695929569</v>
      </c>
      <c r="F20" s="119">
        <f t="shared" ref="F20:O20" si="6">F18*F19</f>
        <v>66.074670695929569</v>
      </c>
      <c r="G20" s="119">
        <f t="shared" si="6"/>
        <v>57.934127474973515</v>
      </c>
      <c r="H20" s="119">
        <f t="shared" si="6"/>
        <v>0</v>
      </c>
      <c r="I20" s="119">
        <f t="shared" si="6"/>
        <v>0</v>
      </c>
      <c r="J20" s="119">
        <f t="shared" si="6"/>
        <v>57.478569687049664</v>
      </c>
      <c r="K20" s="119">
        <f t="shared" si="6"/>
        <v>53.067648770850035</v>
      </c>
      <c r="L20" s="119">
        <f t="shared" si="6"/>
        <v>51.625210705181125</v>
      </c>
      <c r="M20" s="119">
        <f t="shared" si="6"/>
        <v>49.174005800802526</v>
      </c>
      <c r="N20" s="119">
        <f t="shared" si="6"/>
        <v>46.350500896423931</v>
      </c>
      <c r="O20" s="119">
        <f t="shared" si="6"/>
        <v>43.526995992045336</v>
      </c>
    </row>
    <row r="21" spans="2:15">
      <c r="B21" s="26">
        <f t="shared" si="1"/>
        <v>12</v>
      </c>
      <c r="C21" s="33" t="s">
        <v>265</v>
      </c>
      <c r="D21" s="72"/>
      <c r="E21" s="72"/>
      <c r="F21" s="72"/>
      <c r="G21" s="72"/>
      <c r="H21" s="72"/>
      <c r="I21" s="72"/>
      <c r="J21" s="72"/>
      <c r="K21" s="72"/>
      <c r="L21" s="72"/>
      <c r="M21" s="72"/>
      <c r="N21" s="72"/>
      <c r="O21" s="72"/>
    </row>
    <row r="22" spans="2:15" ht="15">
      <c r="B22" s="26">
        <f t="shared" si="1"/>
        <v>13</v>
      </c>
      <c r="C22" s="33" t="s">
        <v>266</v>
      </c>
      <c r="D22" s="119">
        <v>61.4</v>
      </c>
      <c r="E22" s="119">
        <f t="shared" ref="E22:O22" si="7">E20+E21</f>
        <v>66.074670695929569</v>
      </c>
      <c r="F22" s="119">
        <f t="shared" si="7"/>
        <v>66.074670695929569</v>
      </c>
      <c r="G22" s="119">
        <v>54.07</v>
      </c>
      <c r="H22" s="119">
        <f t="shared" si="7"/>
        <v>0</v>
      </c>
      <c r="I22" s="119">
        <f t="shared" si="7"/>
        <v>0</v>
      </c>
      <c r="J22" s="119">
        <f t="shared" si="7"/>
        <v>57.478569687049664</v>
      </c>
      <c r="K22" s="119">
        <f t="shared" si="7"/>
        <v>53.067648770850035</v>
      </c>
      <c r="L22" s="119">
        <f t="shared" si="7"/>
        <v>51.625210705181125</v>
      </c>
      <c r="M22" s="119">
        <f t="shared" si="7"/>
        <v>49.174005800802526</v>
      </c>
      <c r="N22" s="119">
        <f t="shared" si="7"/>
        <v>46.350500896423931</v>
      </c>
      <c r="O22" s="119">
        <f t="shared" si="7"/>
        <v>43.526995992045336</v>
      </c>
    </row>
    <row r="23" spans="2:15">
      <c r="B23" s="141"/>
    </row>
    <row r="24" spans="2:15">
      <c r="B24" s="141"/>
      <c r="C24" s="5" t="s">
        <v>242</v>
      </c>
    </row>
    <row r="25" spans="2:15">
      <c r="C25" s="5" t="s">
        <v>342</v>
      </c>
    </row>
    <row r="27" spans="2:15" ht="15">
      <c r="B27" s="40" t="s">
        <v>50</v>
      </c>
      <c r="C27" s="30" t="s">
        <v>264</v>
      </c>
    </row>
    <row r="28" spans="2:15" ht="15">
      <c r="L28" s="32" t="s">
        <v>4</v>
      </c>
    </row>
    <row r="29" spans="2:15" ht="15" customHeight="1">
      <c r="B29" s="230" t="s">
        <v>182</v>
      </c>
      <c r="C29" s="233" t="s">
        <v>18</v>
      </c>
      <c r="D29" s="69" t="s">
        <v>227</v>
      </c>
      <c r="E29" s="237" t="s">
        <v>226</v>
      </c>
      <c r="F29" s="238"/>
      <c r="G29" s="239"/>
      <c r="H29" s="263" t="s">
        <v>220</v>
      </c>
      <c r="I29" s="264"/>
      <c r="J29" s="264"/>
      <c r="K29" s="264"/>
      <c r="L29" s="265"/>
    </row>
    <row r="30" spans="2:15" ht="15">
      <c r="B30" s="231"/>
      <c r="C30" s="233"/>
      <c r="D30" s="21" t="s">
        <v>240</v>
      </c>
      <c r="E30" s="21" t="s">
        <v>230</v>
      </c>
      <c r="F30" s="21" t="s">
        <v>231</v>
      </c>
      <c r="G30" s="21" t="s">
        <v>239</v>
      </c>
      <c r="H30" s="21" t="s">
        <v>221</v>
      </c>
      <c r="I30" s="21" t="s">
        <v>222</v>
      </c>
      <c r="J30" s="21" t="s">
        <v>223</v>
      </c>
      <c r="K30" s="21" t="s">
        <v>224</v>
      </c>
      <c r="L30" s="21" t="s">
        <v>225</v>
      </c>
    </row>
    <row r="31" spans="2:15" ht="15">
      <c r="B31" s="232"/>
      <c r="C31" s="234"/>
      <c r="D31" s="21" t="s">
        <v>12</v>
      </c>
      <c r="E31" s="21" t="s">
        <v>3</v>
      </c>
      <c r="F31" s="21" t="s">
        <v>5</v>
      </c>
      <c r="G31" s="21" t="s">
        <v>5</v>
      </c>
      <c r="H31" s="21" t="s">
        <v>8</v>
      </c>
      <c r="I31" s="21" t="s">
        <v>8</v>
      </c>
      <c r="J31" s="21" t="s">
        <v>8</v>
      </c>
      <c r="K31" s="21" t="s">
        <v>8</v>
      </c>
      <c r="L31" s="21" t="s">
        <v>8</v>
      </c>
    </row>
    <row r="32" spans="2:15" ht="15">
      <c r="B32" s="26">
        <v>1</v>
      </c>
      <c r="C32" s="44" t="s">
        <v>425</v>
      </c>
      <c r="D32" s="33"/>
      <c r="E32" s="33"/>
      <c r="F32" s="33"/>
      <c r="G32" s="33"/>
      <c r="H32" s="33"/>
      <c r="I32" s="33"/>
      <c r="J32" s="33"/>
      <c r="K32" s="33"/>
      <c r="L32" s="33"/>
    </row>
    <row r="33" spans="2:12">
      <c r="B33" s="33"/>
      <c r="C33" s="33" t="s">
        <v>13</v>
      </c>
      <c r="D33" s="122">
        <v>879.59</v>
      </c>
      <c r="E33" s="122"/>
      <c r="F33" s="122"/>
      <c r="G33" s="122">
        <v>820.95</v>
      </c>
      <c r="H33" s="122">
        <v>762.31000000000006</v>
      </c>
      <c r="I33" s="122">
        <v>703.67000000000007</v>
      </c>
      <c r="J33" s="122">
        <v>645.03000000000009</v>
      </c>
      <c r="K33" s="122">
        <v>586.3900000000001</v>
      </c>
      <c r="L33" s="122">
        <v>527.75000000000011</v>
      </c>
    </row>
    <row r="34" spans="2:12">
      <c r="B34" s="33"/>
      <c r="C34" s="33" t="s">
        <v>154</v>
      </c>
      <c r="D34" s="122">
        <v>0</v>
      </c>
      <c r="E34" s="122"/>
      <c r="F34" s="122"/>
      <c r="G34" s="122">
        <v>0</v>
      </c>
      <c r="H34" s="122">
        <v>0</v>
      </c>
      <c r="I34" s="122">
        <v>0</v>
      </c>
      <c r="J34" s="122">
        <v>0</v>
      </c>
      <c r="K34" s="122">
        <v>0</v>
      </c>
      <c r="L34" s="122">
        <v>0</v>
      </c>
    </row>
    <row r="35" spans="2:12">
      <c r="B35" s="33"/>
      <c r="C35" s="33" t="s">
        <v>14</v>
      </c>
      <c r="D35" s="122">
        <v>58.64</v>
      </c>
      <c r="E35" s="122"/>
      <c r="F35" s="122"/>
      <c r="G35" s="122">
        <v>58.64</v>
      </c>
      <c r="H35" s="122">
        <v>58.64</v>
      </c>
      <c r="I35" s="122">
        <v>58.64</v>
      </c>
      <c r="J35" s="122">
        <v>58.64</v>
      </c>
      <c r="K35" s="122">
        <v>58.64</v>
      </c>
      <c r="L35" s="122">
        <v>58.64</v>
      </c>
    </row>
    <row r="36" spans="2:12" ht="15">
      <c r="B36" s="33"/>
      <c r="C36" s="33" t="s">
        <v>15</v>
      </c>
      <c r="D36" s="117">
        <v>820.95</v>
      </c>
      <c r="E36" s="117">
        <f t="shared" ref="E36:F36" si="8">E33+E34-E35</f>
        <v>0</v>
      </c>
      <c r="F36" s="117">
        <f t="shared" si="8"/>
        <v>0</v>
      </c>
      <c r="G36" s="117">
        <v>762.31000000000006</v>
      </c>
      <c r="H36" s="117">
        <v>703.67000000000007</v>
      </c>
      <c r="I36" s="117">
        <v>645.03000000000009</v>
      </c>
      <c r="J36" s="117">
        <v>586.3900000000001</v>
      </c>
      <c r="K36" s="117">
        <v>527.75000000000011</v>
      </c>
      <c r="L36" s="117">
        <v>469.11000000000013</v>
      </c>
    </row>
    <row r="37" spans="2:12" ht="15">
      <c r="B37" s="33"/>
      <c r="C37" s="33" t="s">
        <v>202</v>
      </c>
      <c r="D37" s="117">
        <v>850.21</v>
      </c>
      <c r="E37" s="117">
        <f t="shared" ref="E37:F37" si="9">AVERAGE(E33,E36)</f>
        <v>0</v>
      </c>
      <c r="F37" s="117">
        <f t="shared" si="9"/>
        <v>0</v>
      </c>
      <c r="G37" s="117">
        <v>801.17647058823525</v>
      </c>
      <c r="H37" s="117">
        <v>770.1960784313726</v>
      </c>
      <c r="I37" s="117">
        <v>708.82352941176475</v>
      </c>
      <c r="J37" s="117">
        <v>647.45098039215691</v>
      </c>
      <c r="K37" s="117">
        <v>587.54901960784321</v>
      </c>
      <c r="L37" s="117">
        <v>524.60784313725492</v>
      </c>
    </row>
    <row r="38" spans="2:12">
      <c r="B38" s="33"/>
      <c r="C38" s="33" t="s">
        <v>16</v>
      </c>
      <c r="D38" s="122">
        <v>10.29</v>
      </c>
      <c r="E38" s="122"/>
      <c r="F38" s="122"/>
      <c r="G38" s="122">
        <v>10.199999999999999</v>
      </c>
      <c r="H38" s="122">
        <v>10.199999999999999</v>
      </c>
      <c r="I38" s="122">
        <v>10.199999999999999</v>
      </c>
      <c r="J38" s="122">
        <v>10.199999999999999</v>
      </c>
      <c r="K38" s="122">
        <v>10.199999999999999</v>
      </c>
      <c r="L38" s="122">
        <v>10.199999999999999</v>
      </c>
    </row>
    <row r="39" spans="2:12" ht="15">
      <c r="B39" s="33"/>
      <c r="C39" s="33" t="s">
        <v>263</v>
      </c>
      <c r="D39" s="117">
        <v>87.51</v>
      </c>
      <c r="E39" s="117">
        <f t="shared" ref="E39:F39" si="10">E37*E38</f>
        <v>0</v>
      </c>
      <c r="F39" s="117">
        <f t="shared" si="10"/>
        <v>0</v>
      </c>
      <c r="G39" s="117">
        <v>81.72</v>
      </c>
      <c r="H39" s="117">
        <v>78.56</v>
      </c>
      <c r="I39" s="117">
        <v>72.3</v>
      </c>
      <c r="J39" s="117">
        <v>66.040000000000006</v>
      </c>
      <c r="K39" s="117">
        <v>59.93</v>
      </c>
      <c r="L39" s="117">
        <v>53.51</v>
      </c>
    </row>
    <row r="40" spans="2:12">
      <c r="B40" s="33"/>
      <c r="C40" s="33" t="s">
        <v>265</v>
      </c>
      <c r="D40" s="122">
        <v>0</v>
      </c>
      <c r="E40" s="122"/>
      <c r="F40" s="122"/>
      <c r="G40" s="122">
        <v>0</v>
      </c>
      <c r="H40" s="122">
        <v>0</v>
      </c>
      <c r="I40" s="122">
        <v>0</v>
      </c>
      <c r="J40" s="122">
        <v>0</v>
      </c>
      <c r="K40" s="122">
        <v>0</v>
      </c>
      <c r="L40" s="122">
        <v>0</v>
      </c>
    </row>
    <row r="41" spans="2:12" ht="15">
      <c r="B41" s="33"/>
      <c r="C41" s="33" t="s">
        <v>266</v>
      </c>
      <c r="D41" s="117">
        <v>87.51</v>
      </c>
      <c r="E41" s="117">
        <f t="shared" ref="E41:F41" si="11">E39+E40</f>
        <v>0</v>
      </c>
      <c r="F41" s="117">
        <f t="shared" si="11"/>
        <v>0</v>
      </c>
      <c r="G41" s="117">
        <v>81.72</v>
      </c>
      <c r="H41" s="117">
        <v>78.56</v>
      </c>
      <c r="I41" s="117">
        <v>72.3</v>
      </c>
      <c r="J41" s="117">
        <v>66.040000000000006</v>
      </c>
      <c r="K41" s="117">
        <v>59.93</v>
      </c>
      <c r="L41" s="117">
        <v>53.51</v>
      </c>
    </row>
    <row r="42" spans="2:12" ht="15">
      <c r="B42" s="26">
        <v>2</v>
      </c>
      <c r="C42" s="44" t="s">
        <v>126</v>
      </c>
      <c r="D42" s="122"/>
      <c r="E42" s="122"/>
      <c r="F42" s="122"/>
      <c r="G42" s="122"/>
      <c r="H42" s="122"/>
      <c r="I42" s="122"/>
      <c r="J42" s="122"/>
      <c r="K42" s="122"/>
      <c r="L42" s="122"/>
    </row>
    <row r="43" spans="2:12">
      <c r="B43" s="33"/>
      <c r="C43" s="33" t="s">
        <v>13</v>
      </c>
      <c r="D43" s="122">
        <v>879.59</v>
      </c>
      <c r="E43" s="122"/>
      <c r="F43" s="122"/>
      <c r="G43" s="122">
        <v>820.95</v>
      </c>
      <c r="H43" s="122">
        <v>762.31000000000006</v>
      </c>
      <c r="I43" s="122">
        <v>703.67000000000007</v>
      </c>
      <c r="J43" s="122">
        <v>645.03000000000009</v>
      </c>
      <c r="K43" s="122">
        <v>586.3900000000001</v>
      </c>
      <c r="L43" s="122">
        <v>527.75000000000011</v>
      </c>
    </row>
    <row r="44" spans="2:12">
      <c r="B44" s="33"/>
      <c r="C44" s="33" t="s">
        <v>154</v>
      </c>
      <c r="D44" s="122">
        <v>0</v>
      </c>
      <c r="E44" s="122"/>
      <c r="F44" s="122"/>
      <c r="G44" s="122">
        <v>0</v>
      </c>
      <c r="H44" s="122">
        <v>0</v>
      </c>
      <c r="I44" s="122">
        <v>0</v>
      </c>
      <c r="J44" s="122">
        <v>0</v>
      </c>
      <c r="K44" s="122">
        <v>0</v>
      </c>
      <c r="L44" s="122">
        <v>0</v>
      </c>
    </row>
    <row r="45" spans="2:12">
      <c r="B45" s="33"/>
      <c r="C45" s="33" t="s">
        <v>14</v>
      </c>
      <c r="D45" s="122">
        <v>58.64</v>
      </c>
      <c r="E45" s="122"/>
      <c r="F45" s="122"/>
      <c r="G45" s="122">
        <v>58.64</v>
      </c>
      <c r="H45" s="122">
        <v>58.64</v>
      </c>
      <c r="I45" s="122">
        <v>58.64</v>
      </c>
      <c r="J45" s="122">
        <v>58.64</v>
      </c>
      <c r="K45" s="122">
        <v>58.64</v>
      </c>
      <c r="L45" s="122">
        <v>58.64</v>
      </c>
    </row>
    <row r="46" spans="2:12" ht="15">
      <c r="B46" s="33"/>
      <c r="C46" s="33" t="s">
        <v>15</v>
      </c>
      <c r="D46" s="117">
        <v>820.95</v>
      </c>
      <c r="E46" s="117">
        <f t="shared" ref="E46:F46" si="12">E43+E44-E45</f>
        <v>0</v>
      </c>
      <c r="F46" s="117">
        <f t="shared" si="12"/>
        <v>0</v>
      </c>
      <c r="G46" s="117">
        <v>762.31000000000006</v>
      </c>
      <c r="H46" s="117">
        <v>703.67000000000007</v>
      </c>
      <c r="I46" s="117">
        <v>645.03000000000009</v>
      </c>
      <c r="J46" s="117">
        <v>586.3900000000001</v>
      </c>
      <c r="K46" s="117">
        <v>527.75000000000011</v>
      </c>
      <c r="L46" s="117">
        <v>469.11000000000013</v>
      </c>
    </row>
    <row r="47" spans="2:12" ht="15">
      <c r="B47" s="33"/>
      <c r="C47" s="33" t="s">
        <v>202</v>
      </c>
      <c r="D47" s="117">
        <v>850.21</v>
      </c>
      <c r="E47" s="117">
        <f t="shared" ref="E47:F47" si="13">AVERAGE(E43,E46)</f>
        <v>0</v>
      </c>
      <c r="F47" s="117">
        <f t="shared" si="13"/>
        <v>0</v>
      </c>
      <c r="G47" s="117">
        <v>801.17647058823525</v>
      </c>
      <c r="H47" s="117">
        <v>770.1960784313726</v>
      </c>
      <c r="I47" s="117">
        <v>708.82352941176475</v>
      </c>
      <c r="J47" s="117">
        <v>647.45098039215691</v>
      </c>
      <c r="K47" s="117">
        <v>587.54901960784321</v>
      </c>
      <c r="L47" s="117">
        <v>524.60784313725492</v>
      </c>
    </row>
    <row r="48" spans="2:12">
      <c r="B48" s="33"/>
      <c r="C48" s="33" t="s">
        <v>16</v>
      </c>
      <c r="D48" s="122">
        <v>10.29</v>
      </c>
      <c r="E48" s="122"/>
      <c r="F48" s="122"/>
      <c r="G48" s="122">
        <v>10.199999999999999</v>
      </c>
      <c r="H48" s="122">
        <v>10.199999999999999</v>
      </c>
      <c r="I48" s="122">
        <v>10.199999999999999</v>
      </c>
      <c r="J48" s="122">
        <v>10.199999999999999</v>
      </c>
      <c r="K48" s="122">
        <v>10.199999999999999</v>
      </c>
      <c r="L48" s="122">
        <v>10.199999999999999</v>
      </c>
    </row>
    <row r="49" spans="2:12" ht="15">
      <c r="B49" s="33"/>
      <c r="C49" s="33" t="s">
        <v>263</v>
      </c>
      <c r="D49" s="117">
        <v>87.51</v>
      </c>
      <c r="E49" s="117">
        <f t="shared" ref="E49:F49" si="14">E47*E48</f>
        <v>0</v>
      </c>
      <c r="F49" s="117">
        <f t="shared" si="14"/>
        <v>0</v>
      </c>
      <c r="G49" s="117">
        <v>81.72</v>
      </c>
      <c r="H49" s="117">
        <v>78.56</v>
      </c>
      <c r="I49" s="117">
        <v>72.3</v>
      </c>
      <c r="J49" s="117">
        <v>66.040000000000006</v>
      </c>
      <c r="K49" s="117">
        <v>59.93</v>
      </c>
      <c r="L49" s="117">
        <v>53.51</v>
      </c>
    </row>
    <row r="50" spans="2:12">
      <c r="B50" s="33"/>
      <c r="C50" s="33" t="s">
        <v>265</v>
      </c>
      <c r="D50" s="122">
        <v>0</v>
      </c>
      <c r="E50" s="122"/>
      <c r="F50" s="122"/>
      <c r="G50" s="122">
        <v>0</v>
      </c>
      <c r="H50" s="122">
        <v>0</v>
      </c>
      <c r="I50" s="122">
        <v>0</v>
      </c>
      <c r="J50" s="122">
        <v>0</v>
      </c>
      <c r="K50" s="122">
        <v>0</v>
      </c>
      <c r="L50" s="122">
        <v>0</v>
      </c>
    </row>
    <row r="51" spans="2:12" ht="15">
      <c r="B51" s="33"/>
      <c r="C51" s="33" t="s">
        <v>266</v>
      </c>
      <c r="D51" s="117">
        <v>87.51</v>
      </c>
      <c r="E51" s="117">
        <f t="shared" ref="E51:F51" si="15">E49+E50</f>
        <v>0</v>
      </c>
      <c r="F51" s="117">
        <f t="shared" si="15"/>
        <v>0</v>
      </c>
      <c r="G51" s="117">
        <v>81.72</v>
      </c>
      <c r="H51" s="117">
        <v>78.56</v>
      </c>
      <c r="I51" s="117">
        <v>72.3</v>
      </c>
      <c r="J51" s="117">
        <v>66.040000000000006</v>
      </c>
      <c r="K51" s="117">
        <v>59.93</v>
      </c>
      <c r="L51" s="117">
        <v>53.51</v>
      </c>
    </row>
  </sheetData>
  <mergeCells count="12">
    <mergeCell ref="B2:O2"/>
    <mergeCell ref="B3:O3"/>
    <mergeCell ref="B4:O4"/>
    <mergeCell ref="E29:G29"/>
    <mergeCell ref="H29:L29"/>
    <mergeCell ref="B7:B9"/>
    <mergeCell ref="C7:C9"/>
    <mergeCell ref="D7:F7"/>
    <mergeCell ref="G7:J7"/>
    <mergeCell ref="K7:O7"/>
    <mergeCell ref="B29:B31"/>
    <mergeCell ref="C29:C31"/>
  </mergeCells>
  <pageMargins left="1.02" right="0.25" top="1" bottom="1" header="0.25" footer="0.25"/>
  <pageSetup paperSize="9" scale="57" orientation="landscape" r:id="rId1"/>
  <headerFooter alignWithMargins="0">
    <oddHeader>&amp;F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>
  <sheetPr>
    <pageSetUpPr fitToPage="1"/>
  </sheetPr>
  <dimension ref="B1:P23"/>
  <sheetViews>
    <sheetView showGridLines="0" zoomScale="80" zoomScaleNormal="80" zoomScaleSheetLayoutView="90" workbookViewId="0">
      <selection activeCell="H31" sqref="H31"/>
    </sheetView>
  </sheetViews>
  <sheetFormatPr defaultColWidth="9.28515625" defaultRowHeight="14.25"/>
  <cols>
    <col min="1" max="1" width="4.28515625" style="5" customWidth="1"/>
    <col min="2" max="2" width="6.28515625" style="5" customWidth="1"/>
    <col min="3" max="3" width="35.5703125" style="5" customWidth="1"/>
    <col min="4" max="4" width="13.7109375" style="5" bestFit="1" customWidth="1"/>
    <col min="5" max="5" width="12.5703125" style="5" bestFit="1" customWidth="1"/>
    <col min="6" max="6" width="13.42578125" style="5" bestFit="1" customWidth="1"/>
    <col min="7" max="7" width="13.7109375" style="5" bestFit="1" customWidth="1"/>
    <col min="8" max="8" width="12.5703125" style="5" customWidth="1"/>
    <col min="9" max="9" width="11.7109375" style="5" bestFit="1" customWidth="1"/>
    <col min="10" max="10" width="13.7109375" style="5" bestFit="1" customWidth="1"/>
    <col min="11" max="16" width="11.7109375" style="5" bestFit="1" customWidth="1"/>
    <col min="17" max="16384" width="9.28515625" style="5"/>
  </cols>
  <sheetData>
    <row r="1" spans="2:16" ht="15">
      <c r="B1" s="30"/>
    </row>
    <row r="3" spans="2:16" ht="15.75">
      <c r="B3" s="223" t="s">
        <v>409</v>
      </c>
      <c r="C3" s="223"/>
      <c r="D3" s="223"/>
      <c r="E3" s="223"/>
      <c r="F3" s="223"/>
      <c r="G3" s="223"/>
      <c r="H3" s="223"/>
      <c r="I3" s="223"/>
      <c r="J3" s="223"/>
      <c r="K3" s="223"/>
      <c r="L3" s="223"/>
      <c r="M3" s="223"/>
    </row>
    <row r="4" spans="2:16" ht="15.75">
      <c r="B4" s="223" t="s">
        <v>414</v>
      </c>
      <c r="C4" s="223"/>
      <c r="D4" s="223"/>
      <c r="E4" s="223"/>
      <c r="F4" s="223"/>
      <c r="G4" s="223"/>
      <c r="H4" s="223"/>
      <c r="I4" s="223"/>
      <c r="J4" s="223"/>
      <c r="K4" s="223"/>
      <c r="L4" s="223"/>
      <c r="M4" s="223"/>
    </row>
    <row r="5" spans="2:16" ht="15.75">
      <c r="B5" s="266" t="s">
        <v>431</v>
      </c>
      <c r="C5" s="266"/>
      <c r="D5" s="266"/>
      <c r="E5" s="266"/>
      <c r="F5" s="266"/>
      <c r="G5" s="266"/>
      <c r="H5" s="266"/>
      <c r="I5" s="266"/>
      <c r="J5" s="266"/>
      <c r="K5" s="266"/>
      <c r="L5" s="266"/>
      <c r="M5" s="266"/>
    </row>
    <row r="6" spans="2:16" ht="15">
      <c r="M6" s="32" t="s">
        <v>4</v>
      </c>
    </row>
    <row r="7" spans="2:16" s="19" customFormat="1" ht="15" customHeight="1">
      <c r="B7" s="230" t="s">
        <v>182</v>
      </c>
      <c r="C7" s="233" t="s">
        <v>18</v>
      </c>
      <c r="D7" s="237" t="s">
        <v>227</v>
      </c>
      <c r="E7" s="238"/>
      <c r="F7" s="239"/>
      <c r="G7" s="237" t="s">
        <v>226</v>
      </c>
      <c r="H7" s="238"/>
      <c r="I7" s="244" t="s">
        <v>220</v>
      </c>
      <c r="J7" s="244"/>
      <c r="K7" s="244"/>
      <c r="L7" s="244"/>
      <c r="M7" s="244"/>
    </row>
    <row r="8" spans="2:16" s="19" customFormat="1" ht="45">
      <c r="B8" s="231"/>
      <c r="C8" s="233"/>
      <c r="D8" s="21" t="s">
        <v>302</v>
      </c>
      <c r="E8" s="21" t="s">
        <v>240</v>
      </c>
      <c r="F8" s="21" t="s">
        <v>197</v>
      </c>
      <c r="G8" s="21" t="s">
        <v>302</v>
      </c>
      <c r="H8" s="21" t="s">
        <v>239</v>
      </c>
      <c r="I8" s="21" t="s">
        <v>345</v>
      </c>
      <c r="J8" s="21" t="s">
        <v>346</v>
      </c>
      <c r="K8" s="21" t="s">
        <v>347</v>
      </c>
      <c r="L8" s="21" t="s">
        <v>348</v>
      </c>
      <c r="M8" s="21" t="s">
        <v>349</v>
      </c>
    </row>
    <row r="9" spans="2:16" s="19" customFormat="1" ht="15">
      <c r="B9" s="232"/>
      <c r="C9" s="234"/>
      <c r="D9" s="21" t="s">
        <v>10</v>
      </c>
      <c r="E9" s="21" t="s">
        <v>12</v>
      </c>
      <c r="F9" s="21" t="s">
        <v>229</v>
      </c>
      <c r="G9" s="21" t="s">
        <v>10</v>
      </c>
      <c r="H9" s="21" t="s">
        <v>5</v>
      </c>
      <c r="I9" s="21" t="s">
        <v>8</v>
      </c>
      <c r="J9" s="21" t="s">
        <v>8</v>
      </c>
      <c r="K9" s="21" t="s">
        <v>8</v>
      </c>
      <c r="L9" s="21" t="s">
        <v>8</v>
      </c>
      <c r="M9" s="21" t="s">
        <v>8</v>
      </c>
    </row>
    <row r="10" spans="2:16">
      <c r="B10" s="65">
        <v>1</v>
      </c>
      <c r="C10" s="33" t="s">
        <v>267</v>
      </c>
      <c r="D10" s="2"/>
      <c r="E10" s="33"/>
      <c r="F10" s="33"/>
      <c r="G10" s="27"/>
      <c r="H10" s="27"/>
      <c r="I10" s="27"/>
      <c r="J10" s="27"/>
      <c r="K10" s="27"/>
      <c r="L10" s="27"/>
      <c r="M10" s="27"/>
    </row>
    <row r="11" spans="2:16">
      <c r="B11" s="26">
        <f>B10+1</f>
        <v>2</v>
      </c>
      <c r="C11" s="33" t="s">
        <v>268</v>
      </c>
      <c r="D11" s="2"/>
      <c r="E11" s="33"/>
      <c r="F11" s="33"/>
      <c r="G11" s="27"/>
      <c r="H11" s="27"/>
      <c r="I11" s="27"/>
      <c r="J11" s="27"/>
      <c r="K11" s="27"/>
      <c r="L11" s="27"/>
      <c r="M11" s="27"/>
    </row>
    <row r="12" spans="2:16">
      <c r="B12" s="26">
        <f t="shared" ref="B12:B20" si="0">B11+1</f>
        <v>3</v>
      </c>
      <c r="C12" s="35" t="s">
        <v>269</v>
      </c>
      <c r="D12" s="2"/>
      <c r="E12" s="33"/>
      <c r="F12" s="33"/>
      <c r="G12" s="27"/>
      <c r="H12" s="27"/>
      <c r="I12" s="27"/>
      <c r="J12" s="27"/>
      <c r="K12" s="27"/>
      <c r="L12" s="27"/>
      <c r="M12" s="27"/>
    </row>
    <row r="13" spans="2:16">
      <c r="B13" s="26">
        <f t="shared" si="0"/>
        <v>4</v>
      </c>
      <c r="C13" s="71" t="s">
        <v>270</v>
      </c>
      <c r="D13" s="121">
        <f>'F2'!E14/12</f>
        <v>2.5088249999999999</v>
      </c>
      <c r="E13" s="121">
        <f>'F2'!F14/12</f>
        <v>4.1446739744292254</v>
      </c>
      <c r="F13" s="121">
        <f>'F2'!G14/12</f>
        <v>4.1446739744292254</v>
      </c>
      <c r="G13" s="121">
        <f>'F2'!H14/12</f>
        <v>2.6495700000000002</v>
      </c>
      <c r="H13" s="121">
        <f>'F2'!I14/12</f>
        <v>4.3049644329865435</v>
      </c>
      <c r="I13" s="121">
        <f>'F2'!J14/12</f>
        <v>3.6893344633528611</v>
      </c>
      <c r="J13" s="121">
        <f>'F2'!K14/12</f>
        <v>3.8880498325245072</v>
      </c>
      <c r="K13" s="121">
        <f>'F2'!L14/12</f>
        <v>4.0945481456913981</v>
      </c>
      <c r="L13" s="121">
        <f>'F2'!M14/12</f>
        <v>4.3108193119539422</v>
      </c>
      <c r="M13" s="121">
        <f>'F2'!N14/12</f>
        <v>4.5395481608419548</v>
      </c>
    </row>
    <row r="14" spans="2:16" s="39" customFormat="1" ht="15">
      <c r="B14" s="26">
        <f t="shared" si="0"/>
        <v>5</v>
      </c>
      <c r="C14" s="43" t="s">
        <v>271</v>
      </c>
      <c r="D14" s="121">
        <f>'F2'!E14*15%</f>
        <v>4.5158849999999999</v>
      </c>
      <c r="E14" s="131">
        <f>'F1'!G11*15%</f>
        <v>7.4604131539726062</v>
      </c>
      <c r="F14" s="136">
        <f>'F1'!H11*15%</f>
        <v>7.4604131539726062</v>
      </c>
      <c r="G14" s="131">
        <f>'F1'!I11*15%</f>
        <v>4.7692259999999997</v>
      </c>
      <c r="H14" s="131">
        <f>'F1'!J11*15%</f>
        <v>7.7489359793757782</v>
      </c>
      <c r="I14" s="131">
        <f>'F4'!F47*1%</f>
        <v>16.358126128400002</v>
      </c>
      <c r="J14" s="131">
        <f>'F4'!F56*1%</f>
        <v>16.625326128400001</v>
      </c>
      <c r="K14" s="131">
        <f>'F4'!F65*1%</f>
        <v>16.725326128400003</v>
      </c>
      <c r="L14" s="131">
        <f>'F4'!F74*1%</f>
        <v>16.725326128400003</v>
      </c>
      <c r="M14" s="131">
        <f>'F4'!F83*1%</f>
        <v>16.725326128400003</v>
      </c>
      <c r="N14" s="220"/>
      <c r="O14" s="220"/>
      <c r="P14" s="220"/>
    </row>
    <row r="15" spans="2:16">
      <c r="B15" s="26">
        <f t="shared" si="0"/>
        <v>6</v>
      </c>
      <c r="C15" s="71" t="s">
        <v>338</v>
      </c>
      <c r="D15" s="121">
        <f>('F1'!F22+'F1'!F16)*2/12</f>
        <v>44.975983333333339</v>
      </c>
      <c r="E15" s="121">
        <f ca="1">('F1'!G22+'F1'!G16)*2/12</f>
        <v>50.743943215493822</v>
      </c>
      <c r="F15" s="121">
        <f ca="1">('F1'!H22+'F1'!H16)*2/12</f>
        <v>50.743943215493822</v>
      </c>
      <c r="G15" s="121">
        <f>('F1'!I22+'F1'!I16)*2/12</f>
        <v>43.887473333333332</v>
      </c>
      <c r="H15" s="121">
        <f ca="1">('F1'!J22+'F1'!J16)*2/12</f>
        <v>49.7385733751941</v>
      </c>
      <c r="I15" s="121">
        <f ca="1">('F1'!K22+'F1'!K16)*45/365</f>
        <v>28.523034188680949</v>
      </c>
      <c r="J15" s="121">
        <f ca="1">('F1'!L22+'F1'!L16)*45/365</f>
        <v>28.88585508357702</v>
      </c>
      <c r="K15" s="121">
        <f ca="1">('F1'!M22+'F1'!M16)*45/365</f>
        <v>28.969327349843617</v>
      </c>
      <c r="L15" s="121">
        <f ca="1">('F1'!N22+'F1'!N16)*45/365</f>
        <v>28.943570870160578</v>
      </c>
      <c r="M15" s="121">
        <f ca="1">('F1'!O22+'F1'!O16)*45/365</f>
        <v>28.936636358760481</v>
      </c>
    </row>
    <row r="16" spans="2:16">
      <c r="B16" s="26"/>
      <c r="C16" s="71" t="s">
        <v>272</v>
      </c>
      <c r="D16" s="72"/>
      <c r="E16" s="35"/>
      <c r="F16" s="3"/>
      <c r="G16" s="35"/>
      <c r="H16" s="35"/>
      <c r="I16" s="35"/>
      <c r="J16" s="35"/>
      <c r="K16" s="35"/>
      <c r="L16" s="35"/>
      <c r="M16" s="35"/>
    </row>
    <row r="17" spans="2:13">
      <c r="B17" s="26">
        <f>B15+1</f>
        <v>7</v>
      </c>
      <c r="C17" s="33" t="s">
        <v>339</v>
      </c>
      <c r="D17" s="121">
        <f>'F1'!F21/12</f>
        <v>0</v>
      </c>
      <c r="E17" s="121">
        <f>'F1'!G21/12</f>
        <v>0</v>
      </c>
      <c r="F17" s="121">
        <f>'F1'!H21/12</f>
        <v>0</v>
      </c>
      <c r="G17" s="121">
        <f>'F1'!I21/12</f>
        <v>0</v>
      </c>
      <c r="H17" s="121">
        <f>'F1'!J21/12</f>
        <v>0</v>
      </c>
      <c r="I17" s="121">
        <f>'F1'!K21/12</f>
        <v>0</v>
      </c>
      <c r="J17" s="121">
        <f>'F1'!L21/12</f>
        <v>0</v>
      </c>
      <c r="K17" s="121">
        <f>'F1'!M21/12</f>
        <v>0</v>
      </c>
      <c r="L17" s="121">
        <f>'F1'!N21/12</f>
        <v>0</v>
      </c>
      <c r="M17" s="121">
        <f>'F1'!O21/12</f>
        <v>0</v>
      </c>
    </row>
    <row r="18" spans="2:13" ht="15">
      <c r="B18" s="26">
        <f t="shared" si="0"/>
        <v>8</v>
      </c>
      <c r="C18" s="33" t="s">
        <v>44</v>
      </c>
      <c r="D18" s="119">
        <f>SUM(D10:D15)-D17</f>
        <v>52.000693333333338</v>
      </c>
      <c r="E18" s="119">
        <f t="shared" ref="E18:M18" ca="1" si="1">SUM(E10:E15)-E17</f>
        <v>62.349030343895649</v>
      </c>
      <c r="F18" s="119">
        <f t="shared" ca="1" si="1"/>
        <v>62.349030343895649</v>
      </c>
      <c r="G18" s="119">
        <f t="shared" si="1"/>
        <v>51.306269333333333</v>
      </c>
      <c r="H18" s="119">
        <f t="shared" ca="1" si="1"/>
        <v>61.792473787556418</v>
      </c>
      <c r="I18" s="119">
        <f t="shared" ca="1" si="1"/>
        <v>48.570494780433812</v>
      </c>
      <c r="J18" s="119">
        <f t="shared" ca="1" si="1"/>
        <v>49.399231044501533</v>
      </c>
      <c r="K18" s="119">
        <f t="shared" ca="1" si="1"/>
        <v>49.789201623935014</v>
      </c>
      <c r="L18" s="119">
        <f t="shared" ca="1" si="1"/>
        <v>49.979716310514519</v>
      </c>
      <c r="M18" s="119">
        <f t="shared" ca="1" si="1"/>
        <v>50.20151064800244</v>
      </c>
    </row>
    <row r="19" spans="2:13">
      <c r="B19" s="26">
        <f t="shared" si="0"/>
        <v>9</v>
      </c>
      <c r="C19" s="33" t="s">
        <v>273</v>
      </c>
      <c r="D19" s="120">
        <v>8.5500000000000007E-2</v>
      </c>
      <c r="E19" s="120">
        <v>9.4399999999999998E-2</v>
      </c>
      <c r="F19" s="120">
        <v>9.4399999999999998E-2</v>
      </c>
      <c r="G19" s="120">
        <v>8.5500000000000007E-2</v>
      </c>
      <c r="H19" s="120">
        <v>0.1008</v>
      </c>
      <c r="I19" s="120">
        <v>0.10150000000000001</v>
      </c>
      <c r="J19" s="120">
        <v>0.10150000000000001</v>
      </c>
      <c r="K19" s="120">
        <v>0.10150000000000001</v>
      </c>
      <c r="L19" s="120">
        <v>0.10150000000000001</v>
      </c>
      <c r="M19" s="120">
        <v>0.10150000000000001</v>
      </c>
    </row>
    <row r="20" spans="2:13" ht="15">
      <c r="B20" s="26">
        <f t="shared" si="0"/>
        <v>10</v>
      </c>
      <c r="C20" s="71" t="s">
        <v>274</v>
      </c>
      <c r="D20" s="119">
        <v>4.66</v>
      </c>
      <c r="E20" s="119">
        <f t="shared" ref="E20:M20" ca="1" si="2">E18*E19</f>
        <v>5.8857484644637488</v>
      </c>
      <c r="F20" s="119">
        <f t="shared" ca="1" si="2"/>
        <v>5.8857484644637488</v>
      </c>
      <c r="G20" s="119">
        <v>4.72</v>
      </c>
      <c r="H20" s="119">
        <f t="shared" ca="1" si="2"/>
        <v>6.2286813577856872</v>
      </c>
      <c r="I20" s="119">
        <f t="shared" ca="1" si="2"/>
        <v>4.9299052202140325</v>
      </c>
      <c r="J20" s="119">
        <f t="shared" ca="1" si="2"/>
        <v>5.0140219510169057</v>
      </c>
      <c r="K20" s="119">
        <f t="shared" ca="1" si="2"/>
        <v>5.0536039648294047</v>
      </c>
      <c r="L20" s="119">
        <f t="shared" ca="1" si="2"/>
        <v>5.0729412055172238</v>
      </c>
      <c r="M20" s="119">
        <f t="shared" ca="1" si="2"/>
        <v>5.0954533307722478</v>
      </c>
    </row>
    <row r="22" spans="2:13">
      <c r="C22" s="5" t="s">
        <v>242</v>
      </c>
    </row>
    <row r="23" spans="2:13">
      <c r="C23" s="5" t="s">
        <v>340</v>
      </c>
    </row>
  </sheetData>
  <mergeCells count="8">
    <mergeCell ref="B3:M3"/>
    <mergeCell ref="B4:M4"/>
    <mergeCell ref="B5:M5"/>
    <mergeCell ref="B7:B9"/>
    <mergeCell ref="C7:C9"/>
    <mergeCell ref="D7:F7"/>
    <mergeCell ref="G7:H7"/>
    <mergeCell ref="I7:M7"/>
  </mergeCells>
  <pageMargins left="1.02" right="0.25" top="1" bottom="1" header="0.25" footer="0.25"/>
  <pageSetup paperSize="9" scale="78" orientation="landscape" r:id="rId1"/>
  <headerFooter alignWithMargins="0">
    <oddHeader>&amp;F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>
  <sheetPr>
    <pageSetUpPr fitToPage="1"/>
  </sheetPr>
  <dimension ref="B1:M24"/>
  <sheetViews>
    <sheetView showGridLines="0" zoomScale="80" zoomScaleNormal="80" zoomScaleSheetLayoutView="90" workbookViewId="0">
      <selection activeCell="H31" sqref="H31"/>
    </sheetView>
  </sheetViews>
  <sheetFormatPr defaultColWidth="9.28515625" defaultRowHeight="14.25"/>
  <cols>
    <col min="1" max="1" width="3.28515625" style="5" customWidth="1"/>
    <col min="2" max="2" width="6.28515625" style="5" customWidth="1"/>
    <col min="3" max="3" width="60.28515625" style="5" customWidth="1"/>
    <col min="4" max="4" width="12.42578125" style="5" customWidth="1"/>
    <col min="5" max="5" width="11" style="5" customWidth="1"/>
    <col min="6" max="6" width="13.42578125" style="5" bestFit="1" customWidth="1"/>
    <col min="7" max="8" width="12.140625" style="5" customWidth="1"/>
    <col min="9" max="13" width="11.28515625" style="5" customWidth="1"/>
    <col min="14" max="16" width="11.7109375" style="5" bestFit="1" customWidth="1"/>
    <col min="17" max="16384" width="9.28515625" style="5"/>
  </cols>
  <sheetData>
    <row r="1" spans="2:13" ht="15">
      <c r="B1" s="30"/>
    </row>
    <row r="2" spans="2:13" ht="15.75">
      <c r="B2" s="223" t="s">
        <v>409</v>
      </c>
      <c r="C2" s="223"/>
      <c r="D2" s="223"/>
      <c r="E2" s="223"/>
      <c r="F2" s="223"/>
      <c r="G2" s="223"/>
      <c r="H2" s="223"/>
      <c r="I2" s="223"/>
      <c r="J2" s="223"/>
      <c r="K2" s="223"/>
      <c r="L2" s="223"/>
      <c r="M2" s="223"/>
    </row>
    <row r="3" spans="2:13" ht="15.75">
      <c r="B3" s="223" t="s">
        <v>414</v>
      </c>
      <c r="C3" s="223"/>
      <c r="D3" s="223"/>
      <c r="E3" s="223"/>
      <c r="F3" s="223"/>
      <c r="G3" s="223"/>
      <c r="H3" s="223"/>
      <c r="I3" s="223"/>
      <c r="J3" s="223"/>
      <c r="K3" s="223"/>
      <c r="L3" s="223"/>
      <c r="M3" s="223"/>
    </row>
    <row r="4" spans="2:13" ht="15.75">
      <c r="B4" s="266" t="s">
        <v>432</v>
      </c>
      <c r="C4" s="266"/>
      <c r="D4" s="266"/>
      <c r="E4" s="266"/>
      <c r="F4" s="266"/>
      <c r="G4" s="266"/>
      <c r="H4" s="266"/>
      <c r="I4" s="266"/>
      <c r="J4" s="266"/>
      <c r="K4" s="266"/>
      <c r="L4" s="266"/>
      <c r="M4" s="266"/>
    </row>
    <row r="5" spans="2:13" ht="15">
      <c r="B5" s="40"/>
      <c r="C5" s="30"/>
      <c r="D5" s="31"/>
      <c r="E5" s="31"/>
      <c r="F5" s="31"/>
      <c r="G5" s="31"/>
      <c r="H5" s="31"/>
      <c r="I5" s="31"/>
      <c r="J5" s="31"/>
    </row>
    <row r="6" spans="2:13" ht="15">
      <c r="M6" s="32" t="s">
        <v>4</v>
      </c>
    </row>
    <row r="7" spans="2:13" s="19" customFormat="1" ht="15" customHeight="1">
      <c r="B7" s="230" t="s">
        <v>182</v>
      </c>
      <c r="C7" s="233" t="s">
        <v>18</v>
      </c>
      <c r="D7" s="237" t="s">
        <v>227</v>
      </c>
      <c r="E7" s="238"/>
      <c r="F7" s="239"/>
      <c r="G7" s="237" t="s">
        <v>226</v>
      </c>
      <c r="H7" s="238"/>
      <c r="I7" s="244" t="s">
        <v>220</v>
      </c>
      <c r="J7" s="244"/>
      <c r="K7" s="244"/>
      <c r="L7" s="244"/>
      <c r="M7" s="244"/>
    </row>
    <row r="8" spans="2:13" s="19" customFormat="1" ht="45">
      <c r="B8" s="231"/>
      <c r="C8" s="233"/>
      <c r="D8" s="21" t="s">
        <v>302</v>
      </c>
      <c r="E8" s="21" t="s">
        <v>240</v>
      </c>
      <c r="F8" s="21" t="s">
        <v>197</v>
      </c>
      <c r="G8" s="21" t="s">
        <v>302</v>
      </c>
      <c r="H8" s="21" t="s">
        <v>239</v>
      </c>
      <c r="I8" s="21" t="s">
        <v>345</v>
      </c>
      <c r="J8" s="21" t="s">
        <v>346</v>
      </c>
      <c r="K8" s="21" t="s">
        <v>347</v>
      </c>
      <c r="L8" s="21" t="s">
        <v>348</v>
      </c>
      <c r="M8" s="21" t="s">
        <v>349</v>
      </c>
    </row>
    <row r="9" spans="2:13" s="19" customFormat="1" ht="15">
      <c r="B9" s="232"/>
      <c r="C9" s="234"/>
      <c r="D9" s="21" t="s">
        <v>10</v>
      </c>
      <c r="E9" s="21" t="s">
        <v>12</v>
      </c>
      <c r="F9" s="21" t="s">
        <v>229</v>
      </c>
      <c r="G9" s="21" t="s">
        <v>10</v>
      </c>
      <c r="H9" s="21" t="s">
        <v>5</v>
      </c>
      <c r="I9" s="21" t="s">
        <v>8</v>
      </c>
      <c r="J9" s="21" t="s">
        <v>8</v>
      </c>
      <c r="K9" s="21" t="s">
        <v>8</v>
      </c>
      <c r="L9" s="21" t="s">
        <v>8</v>
      </c>
      <c r="M9" s="21" t="s">
        <v>8</v>
      </c>
    </row>
    <row r="10" spans="2:13">
      <c r="B10" s="65">
        <v>1</v>
      </c>
      <c r="C10" s="33" t="s">
        <v>210</v>
      </c>
      <c r="D10" s="136">
        <f>'F4'!F21*30%</f>
        <v>488.24099999999999</v>
      </c>
      <c r="E10" s="131">
        <f>'F4'!F21*30%</f>
        <v>488.24099999999999</v>
      </c>
      <c r="F10" s="131">
        <f>E10</f>
        <v>488.24099999999999</v>
      </c>
      <c r="G10" s="138">
        <f>'F4'!F38*30%</f>
        <v>489.47478385200003</v>
      </c>
      <c r="H10" s="138">
        <f>'F4'!F38*30%</f>
        <v>489.47478385200003</v>
      </c>
      <c r="I10" s="138">
        <f>'F4'!F47*30%</f>
        <v>490.74378385200004</v>
      </c>
      <c r="J10" s="138">
        <f>I14</f>
        <v>498.75978385200006</v>
      </c>
      <c r="K10" s="138">
        <f>J14</f>
        <v>501.75978385200006</v>
      </c>
      <c r="L10" s="138">
        <f t="shared" ref="L10:M10" si="0">K14</f>
        <v>501.75978385200006</v>
      </c>
      <c r="M10" s="138">
        <f t="shared" si="0"/>
        <v>501.75978385200006</v>
      </c>
    </row>
    <row r="11" spans="2:13">
      <c r="B11" s="26">
        <f>B10+1</f>
        <v>2</v>
      </c>
      <c r="C11" s="33" t="s">
        <v>211</v>
      </c>
      <c r="D11" s="136"/>
      <c r="E11" s="131">
        <f>F3.1!H20</f>
        <v>4.1149129760000003</v>
      </c>
      <c r="F11" s="131">
        <f>E11</f>
        <v>4.1149129760000003</v>
      </c>
      <c r="G11" s="138">
        <f>'F4'!G38</f>
        <v>4.2300000000000004</v>
      </c>
      <c r="H11" s="138">
        <f>'F3'!H12</f>
        <v>4.2300000000000004</v>
      </c>
      <c r="I11" s="138">
        <f>'F3'!I12</f>
        <v>26.72</v>
      </c>
      <c r="J11" s="138">
        <f>'F3'!J12</f>
        <v>10</v>
      </c>
      <c r="K11" s="138">
        <f>'F3'!K12</f>
        <v>0</v>
      </c>
      <c r="L11" s="138">
        <f>'F3'!L12</f>
        <v>0</v>
      </c>
      <c r="M11" s="138">
        <f>F3.1!H61</f>
        <v>0</v>
      </c>
    </row>
    <row r="12" spans="2:13">
      <c r="B12" s="26">
        <f t="shared" ref="B12:B22" si="1">B11+1</f>
        <v>3</v>
      </c>
      <c r="C12" s="35" t="s">
        <v>19</v>
      </c>
      <c r="D12" s="136">
        <f>D11*25%</f>
        <v>0</v>
      </c>
      <c r="E12" s="136">
        <f>E11*30%</f>
        <v>1.2344738928000001</v>
      </c>
      <c r="F12" s="136">
        <f>F11*30%</f>
        <v>1.2344738928000001</v>
      </c>
      <c r="G12" s="136">
        <f>G11*30%</f>
        <v>1.2690000000000001</v>
      </c>
      <c r="H12" s="136">
        <f>H11*30%</f>
        <v>1.2690000000000001</v>
      </c>
      <c r="I12" s="136">
        <f>I11*30%</f>
        <v>8.016</v>
      </c>
      <c r="J12" s="136">
        <f t="shared" ref="J12:M12" si="2">J11*30%</f>
        <v>3</v>
      </c>
      <c r="K12" s="136">
        <f t="shared" si="2"/>
        <v>0</v>
      </c>
      <c r="L12" s="136">
        <f t="shared" si="2"/>
        <v>0</v>
      </c>
      <c r="M12" s="136">
        <f t="shared" si="2"/>
        <v>0</v>
      </c>
    </row>
    <row r="13" spans="2:13" ht="28.5">
      <c r="B13" s="26">
        <f t="shared" si="1"/>
        <v>4</v>
      </c>
      <c r="C13" s="71" t="s">
        <v>20</v>
      </c>
      <c r="D13" s="161"/>
      <c r="E13" s="131"/>
      <c r="F13" s="136"/>
      <c r="G13" s="131"/>
      <c r="H13" s="131"/>
      <c r="I13" s="131"/>
      <c r="J13" s="131"/>
      <c r="K13" s="131"/>
      <c r="L13" s="131"/>
      <c r="M13" s="131"/>
    </row>
    <row r="14" spans="2:13" s="39" customFormat="1" ht="15">
      <c r="B14" s="26">
        <f t="shared" si="1"/>
        <v>5</v>
      </c>
      <c r="C14" s="43" t="s">
        <v>21</v>
      </c>
      <c r="D14" s="139">
        <f>D10+D12-D13</f>
        <v>488.24099999999999</v>
      </c>
      <c r="E14" s="139">
        <f t="shared" ref="E14:M14" si="3">E10+E12-E13</f>
        <v>489.47547389279998</v>
      </c>
      <c r="F14" s="139">
        <f>F10+F12-F13</f>
        <v>489.47547389279998</v>
      </c>
      <c r="G14" s="139">
        <f t="shared" si="3"/>
        <v>490.74378385200004</v>
      </c>
      <c r="H14" s="139">
        <f t="shared" si="3"/>
        <v>490.74378385200004</v>
      </c>
      <c r="I14" s="139">
        <f t="shared" si="3"/>
        <v>498.75978385200006</v>
      </c>
      <c r="J14" s="139">
        <f t="shared" si="3"/>
        <v>501.75978385200006</v>
      </c>
      <c r="K14" s="139">
        <f t="shared" si="3"/>
        <v>501.75978385200006</v>
      </c>
      <c r="L14" s="139">
        <f t="shared" si="3"/>
        <v>501.75978385200006</v>
      </c>
      <c r="M14" s="139">
        <f t="shared" si="3"/>
        <v>501.75978385200006</v>
      </c>
    </row>
    <row r="15" spans="2:13" s="39" customFormat="1" ht="15">
      <c r="B15" s="26"/>
      <c r="C15" s="73" t="s">
        <v>275</v>
      </c>
      <c r="D15" s="121"/>
      <c r="E15" s="130"/>
      <c r="F15" s="126"/>
      <c r="G15" s="130"/>
      <c r="H15" s="130"/>
      <c r="I15" s="130"/>
      <c r="J15" s="130"/>
      <c r="K15" s="130"/>
      <c r="L15" s="130"/>
      <c r="M15" s="130"/>
    </row>
    <row r="16" spans="2:13" s="39" customFormat="1" ht="15">
      <c r="B16" s="26">
        <f>B14+1</f>
        <v>6</v>
      </c>
      <c r="C16" s="43" t="s">
        <v>276</v>
      </c>
      <c r="D16" s="162">
        <v>0.155</v>
      </c>
      <c r="E16" s="162">
        <v>0.155</v>
      </c>
      <c r="F16" s="162">
        <v>0.155</v>
      </c>
      <c r="G16" s="162">
        <v>0.155</v>
      </c>
      <c r="H16" s="162">
        <v>0.155</v>
      </c>
      <c r="I16" s="162">
        <v>0.155</v>
      </c>
      <c r="J16" s="162">
        <v>0.155</v>
      </c>
      <c r="K16" s="162">
        <v>0.155</v>
      </c>
      <c r="L16" s="162">
        <v>0.155</v>
      </c>
      <c r="M16" s="162">
        <v>0.155</v>
      </c>
    </row>
    <row r="17" spans="2:13" s="39" customFormat="1" ht="15">
      <c r="B17" s="26">
        <f>B16+1</f>
        <v>7</v>
      </c>
      <c r="C17" s="43" t="s">
        <v>277</v>
      </c>
      <c r="D17" s="163">
        <v>0.17471999999999999</v>
      </c>
      <c r="E17" s="163">
        <v>0.25168000000000001</v>
      </c>
      <c r="F17" s="163">
        <v>0.25168000000000001</v>
      </c>
      <c r="G17" s="163">
        <v>0.17471999999999999</v>
      </c>
      <c r="H17" s="163">
        <v>0.25168000000000001</v>
      </c>
      <c r="I17" s="163">
        <v>0.25168000000000001</v>
      </c>
      <c r="J17" s="163">
        <v>0.25168000000000001</v>
      </c>
      <c r="K17" s="163">
        <v>0.25168000000000001</v>
      </c>
      <c r="L17" s="163">
        <v>0.25168000000000001</v>
      </c>
      <c r="M17" s="163">
        <v>0.25168000000000001</v>
      </c>
    </row>
    <row r="18" spans="2:13" s="39" customFormat="1" ht="15">
      <c r="B18" s="26">
        <f>B17+1</f>
        <v>8</v>
      </c>
      <c r="C18" s="36" t="s">
        <v>275</v>
      </c>
      <c r="D18" s="164">
        <f>D16/(1-D17)</f>
        <v>0.18781504459092671</v>
      </c>
      <c r="E18" s="164">
        <f t="shared" ref="E18:M18" si="4">E16/(1-E17)</f>
        <v>0.20713063929869574</v>
      </c>
      <c r="F18" s="164">
        <f t="shared" si="4"/>
        <v>0.20713063929869574</v>
      </c>
      <c r="G18" s="164">
        <f t="shared" si="4"/>
        <v>0.18781504459092671</v>
      </c>
      <c r="H18" s="164">
        <f t="shared" si="4"/>
        <v>0.20713063929869574</v>
      </c>
      <c r="I18" s="164">
        <f t="shared" si="4"/>
        <v>0.20713063929869574</v>
      </c>
      <c r="J18" s="164">
        <f t="shared" si="4"/>
        <v>0.20713063929869574</v>
      </c>
      <c r="K18" s="164">
        <f t="shared" si="4"/>
        <v>0.20713063929869574</v>
      </c>
      <c r="L18" s="164">
        <f t="shared" si="4"/>
        <v>0.20713063929869574</v>
      </c>
      <c r="M18" s="164">
        <f t="shared" si="4"/>
        <v>0.20713063929869574</v>
      </c>
    </row>
    <row r="19" spans="2:13" ht="15">
      <c r="B19" s="26"/>
      <c r="C19" s="73" t="s">
        <v>167</v>
      </c>
      <c r="D19" s="118"/>
      <c r="E19" s="35"/>
      <c r="F19" s="3"/>
      <c r="G19" s="35"/>
      <c r="H19" s="35"/>
      <c r="I19" s="35"/>
      <c r="J19" s="35"/>
      <c r="K19" s="35"/>
      <c r="L19" s="35"/>
      <c r="M19" s="35"/>
    </row>
    <row r="20" spans="2:13" ht="17.25" customHeight="1">
      <c r="B20" s="26">
        <f>B18+1</f>
        <v>9</v>
      </c>
      <c r="C20" s="71" t="s">
        <v>212</v>
      </c>
      <c r="D20" s="119">
        <f>D10*D18</f>
        <v>91.69900518611864</v>
      </c>
      <c r="E20" s="119">
        <f t="shared" ref="E20:M20" si="5">E10*E18</f>
        <v>101.12967046183451</v>
      </c>
      <c r="F20" s="119">
        <f t="shared" si="5"/>
        <v>101.12967046183451</v>
      </c>
      <c r="G20" s="119">
        <f t="shared" si="5"/>
        <v>91.930728355297603</v>
      </c>
      <c r="H20" s="119">
        <f t="shared" si="5"/>
        <v>101.38522489985569</v>
      </c>
      <c r="I20" s="119">
        <f t="shared" si="5"/>
        <v>101.64807368112572</v>
      </c>
      <c r="J20" s="119">
        <f t="shared" si="5"/>
        <v>103.30843288574408</v>
      </c>
      <c r="K20" s="119">
        <f t="shared" si="5"/>
        <v>103.92982480364016</v>
      </c>
      <c r="L20" s="119">
        <f t="shared" si="5"/>
        <v>103.92982480364016</v>
      </c>
      <c r="M20" s="119">
        <f t="shared" si="5"/>
        <v>103.92982480364016</v>
      </c>
    </row>
    <row r="21" spans="2:13" ht="18.75" customHeight="1">
      <c r="B21" s="26">
        <f t="shared" si="1"/>
        <v>10</v>
      </c>
      <c r="C21" s="71" t="s">
        <v>213</v>
      </c>
      <c r="D21" s="119">
        <f>AVERAGE(D10,D14)*D18-D20</f>
        <v>0</v>
      </c>
      <c r="E21" s="119">
        <f t="shared" ref="E21:M21" si="6">AVERAGE(E10,E14)*E18-E20</f>
        <v>0.1278486833066097</v>
      </c>
      <c r="F21" s="119">
        <f t="shared" si="6"/>
        <v>0.1278486833066097</v>
      </c>
      <c r="G21" s="119">
        <f t="shared" si="6"/>
        <v>0.11916864579293929</v>
      </c>
      <c r="H21" s="119">
        <f t="shared" si="6"/>
        <v>0.13142439063501854</v>
      </c>
      <c r="I21" s="119">
        <f t="shared" si="6"/>
        <v>0.83017960230917254</v>
      </c>
      <c r="J21" s="119">
        <f t="shared" si="6"/>
        <v>0.31069595894803115</v>
      </c>
      <c r="K21" s="119">
        <f t="shared" si="6"/>
        <v>0</v>
      </c>
      <c r="L21" s="119">
        <f t="shared" si="6"/>
        <v>0</v>
      </c>
      <c r="M21" s="119">
        <f t="shared" si="6"/>
        <v>0</v>
      </c>
    </row>
    <row r="22" spans="2:13" ht="15">
      <c r="B22" s="26">
        <f t="shared" si="1"/>
        <v>11</v>
      </c>
      <c r="C22" s="44" t="s">
        <v>168</v>
      </c>
      <c r="D22" s="119">
        <v>92.2</v>
      </c>
      <c r="E22" s="119">
        <f t="shared" ref="E22:M22" si="7">E20+E21</f>
        <v>101.25751914514112</v>
      </c>
      <c r="F22" s="119">
        <f t="shared" si="7"/>
        <v>101.25751914514112</v>
      </c>
      <c r="G22" s="119">
        <v>93.15</v>
      </c>
      <c r="H22" s="119">
        <f t="shared" si="7"/>
        <v>101.5166492904907</v>
      </c>
      <c r="I22" s="119">
        <f t="shared" si="7"/>
        <v>102.4782532834349</v>
      </c>
      <c r="J22" s="119">
        <f t="shared" si="7"/>
        <v>103.61912884469211</v>
      </c>
      <c r="K22" s="119">
        <f t="shared" si="7"/>
        <v>103.92982480364016</v>
      </c>
      <c r="L22" s="119">
        <f t="shared" si="7"/>
        <v>103.92982480364016</v>
      </c>
      <c r="M22" s="119">
        <f t="shared" si="7"/>
        <v>103.92982480364016</v>
      </c>
    </row>
    <row r="23" spans="2:13">
      <c r="C23" s="5" t="s">
        <v>242</v>
      </c>
    </row>
    <row r="24" spans="2:13">
      <c r="C24" s="5" t="s">
        <v>342</v>
      </c>
    </row>
  </sheetData>
  <mergeCells count="8">
    <mergeCell ref="B2:M2"/>
    <mergeCell ref="B3:M3"/>
    <mergeCell ref="B4:M4"/>
    <mergeCell ref="B7:B9"/>
    <mergeCell ref="C7:C9"/>
    <mergeCell ref="D7:F7"/>
    <mergeCell ref="G7:H7"/>
    <mergeCell ref="I7:M7"/>
  </mergeCells>
  <pageMargins left="1.02" right="0.25" top="1" bottom="1" header="0.25" footer="0.25"/>
  <pageSetup paperSize="9" scale="72" orientation="landscape" r:id="rId1"/>
  <headerFooter alignWithMargins="0">
    <oddHeader>&amp;F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>
  <sheetPr>
    <pageSetUpPr fitToPage="1"/>
  </sheetPr>
  <dimension ref="B1:M22"/>
  <sheetViews>
    <sheetView showGridLines="0" zoomScale="90" zoomScaleNormal="90" zoomScaleSheetLayoutView="90" workbookViewId="0">
      <selection activeCell="H31" sqref="H31"/>
    </sheetView>
  </sheetViews>
  <sheetFormatPr defaultColWidth="9.28515625" defaultRowHeight="14.25"/>
  <cols>
    <col min="1" max="1" width="2.7109375" style="5" customWidth="1"/>
    <col min="2" max="2" width="6.28515625" style="5" customWidth="1"/>
    <col min="3" max="3" width="50.42578125" style="5" customWidth="1"/>
    <col min="4" max="5" width="11.28515625" style="5" customWidth="1"/>
    <col min="6" max="6" width="13.7109375" style="5" customWidth="1"/>
    <col min="7" max="13" width="11.28515625" style="5" customWidth="1"/>
    <col min="14" max="16" width="11.7109375" style="5" bestFit="1" customWidth="1"/>
    <col min="17" max="16384" width="9.28515625" style="5"/>
  </cols>
  <sheetData>
    <row r="1" spans="2:13" ht="15">
      <c r="B1" s="30"/>
    </row>
    <row r="3" spans="2:13" ht="15.75">
      <c r="B3" s="223" t="s">
        <v>409</v>
      </c>
      <c r="C3" s="223"/>
      <c r="D3" s="223"/>
      <c r="E3" s="223"/>
      <c r="F3" s="223"/>
      <c r="G3" s="223"/>
      <c r="H3" s="223"/>
      <c r="I3" s="223"/>
      <c r="J3" s="223"/>
      <c r="K3" s="223"/>
      <c r="L3" s="223"/>
      <c r="M3" s="223"/>
    </row>
    <row r="4" spans="2:13" ht="15.75">
      <c r="B4" s="223" t="s">
        <v>414</v>
      </c>
      <c r="C4" s="223"/>
      <c r="D4" s="223"/>
      <c r="E4" s="223"/>
      <c r="F4" s="223"/>
      <c r="G4" s="223"/>
      <c r="H4" s="223"/>
      <c r="I4" s="223"/>
      <c r="J4" s="223"/>
      <c r="K4" s="223"/>
      <c r="L4" s="223"/>
      <c r="M4" s="223"/>
    </row>
    <row r="5" spans="2:13" ht="15.75">
      <c r="B5" s="266" t="s">
        <v>433</v>
      </c>
      <c r="C5" s="266"/>
      <c r="D5" s="266"/>
      <c r="E5" s="266"/>
      <c r="F5" s="266"/>
      <c r="G5" s="266"/>
      <c r="H5" s="266"/>
      <c r="I5" s="266"/>
      <c r="J5" s="266"/>
      <c r="K5" s="266"/>
      <c r="L5" s="266"/>
      <c r="M5" s="266"/>
    </row>
    <row r="6" spans="2:13" ht="15">
      <c r="M6" s="32" t="s">
        <v>4</v>
      </c>
    </row>
    <row r="7" spans="2:13" s="19" customFormat="1" ht="15" customHeight="1">
      <c r="B7" s="230" t="s">
        <v>182</v>
      </c>
      <c r="C7" s="233" t="s">
        <v>18</v>
      </c>
      <c r="D7" s="237" t="s">
        <v>227</v>
      </c>
      <c r="E7" s="238"/>
      <c r="F7" s="239"/>
      <c r="G7" s="237" t="s">
        <v>226</v>
      </c>
      <c r="H7" s="238"/>
      <c r="I7" s="244" t="s">
        <v>220</v>
      </c>
      <c r="J7" s="244"/>
      <c r="K7" s="244"/>
      <c r="L7" s="244"/>
      <c r="M7" s="244"/>
    </row>
    <row r="8" spans="2:13" s="19" customFormat="1" ht="30">
      <c r="B8" s="231"/>
      <c r="C8" s="233"/>
      <c r="D8" s="21" t="s">
        <v>302</v>
      </c>
      <c r="E8" s="21" t="s">
        <v>240</v>
      </c>
      <c r="F8" s="21" t="s">
        <v>197</v>
      </c>
      <c r="G8" s="21" t="s">
        <v>302</v>
      </c>
      <c r="H8" s="21" t="s">
        <v>239</v>
      </c>
      <c r="I8" s="21" t="s">
        <v>345</v>
      </c>
      <c r="J8" s="21" t="s">
        <v>346</v>
      </c>
      <c r="K8" s="21" t="s">
        <v>347</v>
      </c>
      <c r="L8" s="21" t="s">
        <v>348</v>
      </c>
      <c r="M8" s="21" t="s">
        <v>349</v>
      </c>
    </row>
    <row r="9" spans="2:13" s="19" customFormat="1" ht="15">
      <c r="B9" s="232"/>
      <c r="C9" s="234"/>
      <c r="D9" s="21" t="s">
        <v>10</v>
      </c>
      <c r="E9" s="21" t="s">
        <v>12</v>
      </c>
      <c r="F9" s="21" t="s">
        <v>229</v>
      </c>
      <c r="G9" s="21" t="s">
        <v>10</v>
      </c>
      <c r="H9" s="21" t="s">
        <v>5</v>
      </c>
      <c r="I9" s="21" t="s">
        <v>8</v>
      </c>
      <c r="J9" s="21" t="s">
        <v>8</v>
      </c>
      <c r="K9" s="21" t="s">
        <v>8</v>
      </c>
      <c r="L9" s="21" t="s">
        <v>8</v>
      </c>
      <c r="M9" s="21" t="s">
        <v>8</v>
      </c>
    </row>
    <row r="10" spans="2:13">
      <c r="B10" s="65">
        <v>1</v>
      </c>
      <c r="C10" s="33" t="s">
        <v>278</v>
      </c>
      <c r="D10" s="2"/>
      <c r="E10" s="131">
        <v>3.3584665782616071E-3</v>
      </c>
      <c r="F10" s="131">
        <v>3.3584665782616071E-3</v>
      </c>
      <c r="G10" s="138"/>
      <c r="H10" s="138">
        <v>1.1008626102107844E-2</v>
      </c>
      <c r="I10" s="138">
        <v>3.3584665782616071E-3</v>
      </c>
      <c r="J10" s="138">
        <v>3.4928052413920716E-3</v>
      </c>
      <c r="K10" s="138">
        <v>3.6325174510477547E-3</v>
      </c>
      <c r="L10" s="138">
        <v>3.7778181490896652E-3</v>
      </c>
      <c r="M10" s="138">
        <v>3.9289308750532518E-3</v>
      </c>
    </row>
    <row r="11" spans="2:13">
      <c r="B11" s="65">
        <f>B10+1</f>
        <v>2</v>
      </c>
      <c r="C11" s="33" t="s">
        <v>279</v>
      </c>
      <c r="D11" s="2"/>
      <c r="E11" s="131">
        <v>0</v>
      </c>
      <c r="F11" s="131">
        <v>0</v>
      </c>
      <c r="G11" s="138"/>
      <c r="H11" s="138">
        <v>0</v>
      </c>
      <c r="I11" s="138">
        <v>0</v>
      </c>
      <c r="J11" s="138">
        <v>0</v>
      </c>
      <c r="K11" s="138">
        <v>0</v>
      </c>
      <c r="L11" s="138">
        <v>0</v>
      </c>
      <c r="M11" s="138">
        <v>0</v>
      </c>
    </row>
    <row r="12" spans="2:13">
      <c r="B12" s="65">
        <f>B11+1</f>
        <v>3</v>
      </c>
      <c r="C12" s="33" t="s">
        <v>280</v>
      </c>
      <c r="D12" s="2"/>
      <c r="E12" s="131">
        <v>2.5796960819083154E-3</v>
      </c>
      <c r="F12" s="131">
        <v>2.5796960819083154E-3</v>
      </c>
      <c r="G12" s="138"/>
      <c r="H12" s="138">
        <v>0</v>
      </c>
      <c r="I12" s="138">
        <v>2.5796960819083154E-3</v>
      </c>
      <c r="J12" s="138">
        <v>2.6828839251846481E-3</v>
      </c>
      <c r="K12" s="138">
        <v>2.7901992821920342E-3</v>
      </c>
      <c r="L12" s="138">
        <v>2.9018072534797157E-3</v>
      </c>
      <c r="M12" s="138">
        <v>3.0178795436189045E-3</v>
      </c>
    </row>
    <row r="13" spans="2:13">
      <c r="B13" s="26">
        <f t="shared" ref="B13:B21" si="0">B12+1</f>
        <v>4</v>
      </c>
      <c r="C13" s="35" t="s">
        <v>281</v>
      </c>
      <c r="D13" s="2"/>
      <c r="E13" s="131">
        <v>0</v>
      </c>
      <c r="F13" s="131">
        <v>0</v>
      </c>
      <c r="G13" s="138"/>
      <c r="H13" s="138">
        <v>0</v>
      </c>
      <c r="I13" s="138">
        <v>0</v>
      </c>
      <c r="J13" s="138">
        <v>0</v>
      </c>
      <c r="K13" s="138">
        <v>0</v>
      </c>
      <c r="L13" s="138">
        <v>0</v>
      </c>
      <c r="M13" s="138">
        <v>0</v>
      </c>
    </row>
    <row r="14" spans="2:13" ht="15.75" customHeight="1">
      <c r="B14" s="26">
        <f t="shared" si="0"/>
        <v>5</v>
      </c>
      <c r="C14" s="71" t="s">
        <v>282</v>
      </c>
      <c r="D14" s="72"/>
      <c r="E14" s="131">
        <v>0</v>
      </c>
      <c r="F14" s="136">
        <v>0</v>
      </c>
      <c r="G14" s="131"/>
      <c r="H14" s="131">
        <v>0</v>
      </c>
      <c r="I14" s="131">
        <v>0</v>
      </c>
      <c r="J14" s="131">
        <v>0</v>
      </c>
      <c r="K14" s="131">
        <v>0</v>
      </c>
      <c r="L14" s="131">
        <v>0</v>
      </c>
      <c r="M14" s="131">
        <v>0</v>
      </c>
    </row>
    <row r="15" spans="2:13" s="39" customFormat="1" ht="15">
      <c r="B15" s="26">
        <f t="shared" si="0"/>
        <v>6</v>
      </c>
      <c r="C15" s="43" t="s">
        <v>283</v>
      </c>
      <c r="D15" s="72"/>
      <c r="E15" s="131">
        <v>2.0648838450033151E-3</v>
      </c>
      <c r="F15" s="136">
        <v>2.0648838450033151E-3</v>
      </c>
      <c r="G15" s="131"/>
      <c r="H15" s="131">
        <v>3.1054493824495396E-3</v>
      </c>
      <c r="I15" s="131">
        <v>2.0648838450033151E-3</v>
      </c>
      <c r="J15" s="131">
        <v>2.147479198803448E-3</v>
      </c>
      <c r="K15" s="131">
        <v>2.2333783667555858E-3</v>
      </c>
      <c r="L15" s="131">
        <v>2.3227135014258094E-3</v>
      </c>
      <c r="M15" s="131">
        <v>2.415622041482842E-3</v>
      </c>
    </row>
    <row r="16" spans="2:13" s="39" customFormat="1" ht="15">
      <c r="B16" s="26">
        <f t="shared" si="0"/>
        <v>7</v>
      </c>
      <c r="C16" s="71" t="s">
        <v>284</v>
      </c>
      <c r="D16" s="72"/>
      <c r="E16" s="131">
        <v>0</v>
      </c>
      <c r="F16" s="136">
        <v>0</v>
      </c>
      <c r="G16" s="131"/>
      <c r="H16" s="131">
        <v>0</v>
      </c>
      <c r="I16" s="131">
        <v>0</v>
      </c>
      <c r="J16" s="131">
        <v>0</v>
      </c>
      <c r="K16" s="131">
        <v>0</v>
      </c>
      <c r="L16" s="131">
        <v>0</v>
      </c>
      <c r="M16" s="131">
        <v>0</v>
      </c>
    </row>
    <row r="17" spans="2:13" s="39" customFormat="1" ht="12.75" customHeight="1">
      <c r="B17" s="26">
        <f t="shared" si="0"/>
        <v>8</v>
      </c>
      <c r="C17" s="43" t="s">
        <v>285</v>
      </c>
      <c r="D17" s="72"/>
      <c r="E17" s="131">
        <v>5.9506884801011517E-4</v>
      </c>
      <c r="F17" s="136">
        <v>5.9506884801011517E-4</v>
      </c>
      <c r="G17" s="131"/>
      <c r="H17" s="131">
        <v>1.2348973092994925E-3</v>
      </c>
      <c r="I17" s="131">
        <v>5.9506884801011517E-4</v>
      </c>
      <c r="J17" s="131">
        <v>6.1887160193051976E-4</v>
      </c>
      <c r="K17" s="131">
        <v>6.4362646600774054E-4</v>
      </c>
      <c r="L17" s="131">
        <v>6.6937152464805014E-4</v>
      </c>
      <c r="M17" s="131">
        <v>6.9614638563397216E-4</v>
      </c>
    </row>
    <row r="18" spans="2:13" s="39" customFormat="1" ht="15">
      <c r="B18" s="26">
        <f t="shared" si="0"/>
        <v>9</v>
      </c>
      <c r="C18" s="43" t="s">
        <v>146</v>
      </c>
      <c r="D18" s="72"/>
      <c r="E18" s="131">
        <v>0</v>
      </c>
      <c r="F18" s="136">
        <v>0</v>
      </c>
      <c r="G18" s="131"/>
      <c r="H18" s="131">
        <v>0</v>
      </c>
      <c r="I18" s="131">
        <v>0</v>
      </c>
      <c r="J18" s="131">
        <v>0</v>
      </c>
      <c r="K18" s="131">
        <v>0</v>
      </c>
      <c r="L18" s="131">
        <v>0</v>
      </c>
      <c r="M18" s="131">
        <v>0</v>
      </c>
    </row>
    <row r="19" spans="2:13" s="39" customFormat="1" ht="15">
      <c r="B19" s="26">
        <f t="shared" si="0"/>
        <v>10</v>
      </c>
      <c r="C19" s="43" t="s">
        <v>286</v>
      </c>
      <c r="D19" s="72"/>
      <c r="E19" s="131">
        <v>0</v>
      </c>
      <c r="F19" s="136">
        <v>0</v>
      </c>
      <c r="G19" s="131"/>
      <c r="H19" s="131">
        <v>0</v>
      </c>
      <c r="I19" s="131">
        <v>0</v>
      </c>
      <c r="J19" s="131">
        <v>0</v>
      </c>
      <c r="K19" s="131">
        <v>0</v>
      </c>
      <c r="L19" s="131">
        <v>0</v>
      </c>
      <c r="M19" s="131">
        <v>0</v>
      </c>
    </row>
    <row r="20" spans="2:13">
      <c r="B20" s="26">
        <f t="shared" si="0"/>
        <v>11</v>
      </c>
      <c r="C20" s="71" t="s">
        <v>150</v>
      </c>
      <c r="D20" s="72"/>
      <c r="E20" s="131">
        <v>5.8407217861933909E-3</v>
      </c>
      <c r="F20" s="136">
        <v>5.8407217861933909E-3</v>
      </c>
      <c r="G20" s="131"/>
      <c r="H20" s="131">
        <v>2.9368433225910907E-3</v>
      </c>
      <c r="I20" s="131">
        <v>5.8407217861933909E-3</v>
      </c>
      <c r="J20" s="131">
        <v>6.0743506576411265E-3</v>
      </c>
      <c r="K20" s="131">
        <v>6.3173246839467716E-3</v>
      </c>
      <c r="L20" s="131">
        <v>6.570017671304643E-3</v>
      </c>
      <c r="M20" s="131">
        <v>6.8328183781568288E-3</v>
      </c>
    </row>
    <row r="21" spans="2:13">
      <c r="B21" s="26">
        <f t="shared" si="0"/>
        <v>12</v>
      </c>
      <c r="C21" s="71" t="s">
        <v>9</v>
      </c>
      <c r="D21" s="72">
        <v>7.0000000000000007E-2</v>
      </c>
      <c r="E21" s="131">
        <v>0.53549533613285416</v>
      </c>
      <c r="F21" s="136">
        <v>0.53549533613285416</v>
      </c>
      <c r="G21" s="131"/>
      <c r="H21" s="131">
        <v>7.9245524031794981E-2</v>
      </c>
      <c r="I21" s="131">
        <v>0.16046796931559063</v>
      </c>
      <c r="J21" s="131">
        <v>0.16688668808821425</v>
      </c>
      <c r="K21" s="131">
        <v>0.17356215561174282</v>
      </c>
      <c r="L21" s="131">
        <v>0.18050464183621254</v>
      </c>
      <c r="M21" s="131">
        <v>0.18772482750966105</v>
      </c>
    </row>
    <row r="22" spans="2:13" ht="15">
      <c r="B22" s="26"/>
      <c r="C22" s="37" t="s">
        <v>126</v>
      </c>
      <c r="D22" s="119">
        <f>SUM(D10:D21)</f>
        <v>7.0000000000000007E-2</v>
      </c>
      <c r="E22" s="119">
        <f t="shared" ref="E22:M22" si="1">SUM(E10:E21)</f>
        <v>0.54993417327223093</v>
      </c>
      <c r="F22" s="119">
        <f t="shared" si="1"/>
        <v>0.54993417327223093</v>
      </c>
      <c r="G22" s="119">
        <v>0.6</v>
      </c>
      <c r="H22" s="119">
        <f t="shared" si="1"/>
        <v>9.753134014824294E-2</v>
      </c>
      <c r="I22" s="119">
        <f t="shared" si="1"/>
        <v>0.17490680645496737</v>
      </c>
      <c r="J22" s="119">
        <f t="shared" si="1"/>
        <v>0.18190307871316605</v>
      </c>
      <c r="K22" s="119">
        <f t="shared" si="1"/>
        <v>0.18917920186169271</v>
      </c>
      <c r="L22" s="119">
        <f t="shared" si="1"/>
        <v>0.19674636993616043</v>
      </c>
      <c r="M22" s="119">
        <f t="shared" si="1"/>
        <v>0.20461622473360686</v>
      </c>
    </row>
  </sheetData>
  <mergeCells count="8">
    <mergeCell ref="B3:M3"/>
    <mergeCell ref="B4:M4"/>
    <mergeCell ref="B5:M5"/>
    <mergeCell ref="B7:B9"/>
    <mergeCell ref="C7:C9"/>
    <mergeCell ref="D7:F7"/>
    <mergeCell ref="G7:H7"/>
    <mergeCell ref="I7:M7"/>
  </mergeCells>
  <pageMargins left="1.02" right="0.25" top="1" bottom="1" header="0.25" footer="0.25"/>
  <pageSetup paperSize="9" scale="77" orientation="landscape" r:id="rId1"/>
  <headerFooter alignWithMargins="0">
    <oddHeader>&amp;F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>
  <sheetPr>
    <pageSetUpPr fitToPage="1"/>
  </sheetPr>
  <dimension ref="B2:J31"/>
  <sheetViews>
    <sheetView showGridLines="0" zoomScale="80" zoomScaleNormal="80" zoomScaleSheetLayoutView="70" workbookViewId="0">
      <selection activeCell="H31" sqref="H31"/>
    </sheetView>
  </sheetViews>
  <sheetFormatPr defaultColWidth="9.28515625" defaultRowHeight="14.25"/>
  <cols>
    <col min="1" max="1" width="3.28515625" style="5" customWidth="1"/>
    <col min="2" max="2" width="8.28515625" style="5" customWidth="1"/>
    <col min="3" max="3" width="26.7109375" style="5" customWidth="1"/>
    <col min="4" max="4" width="15.7109375" style="5" customWidth="1"/>
    <col min="5" max="5" width="18" style="5" bestFit="1" customWidth="1"/>
    <col min="6" max="10" width="15.7109375" style="5" customWidth="1"/>
    <col min="11" max="16384" width="9.28515625" style="5"/>
  </cols>
  <sheetData>
    <row r="2" spans="2:10" ht="15">
      <c r="B2" s="240" t="s">
        <v>409</v>
      </c>
      <c r="C2" s="240"/>
      <c r="D2" s="240"/>
      <c r="E2" s="240"/>
      <c r="F2" s="240"/>
      <c r="G2" s="240"/>
      <c r="H2" s="240"/>
      <c r="I2" s="240"/>
      <c r="J2" s="240"/>
    </row>
    <row r="3" spans="2:10" ht="15">
      <c r="B3" s="240" t="s">
        <v>414</v>
      </c>
      <c r="C3" s="240"/>
      <c r="D3" s="240"/>
      <c r="E3" s="240"/>
      <c r="F3" s="240"/>
      <c r="G3" s="240"/>
      <c r="H3" s="240"/>
      <c r="I3" s="240"/>
      <c r="J3" s="240"/>
    </row>
    <row r="4" spans="2:10" ht="15">
      <c r="B4" s="241" t="s">
        <v>288</v>
      </c>
      <c r="C4" s="241"/>
      <c r="D4" s="241"/>
      <c r="E4" s="241"/>
      <c r="F4" s="241"/>
      <c r="G4" s="241"/>
      <c r="H4" s="241"/>
      <c r="I4" s="241"/>
      <c r="J4" s="241"/>
    </row>
    <row r="5" spans="2:10" ht="15">
      <c r="B5" s="30"/>
      <c r="C5" s="75"/>
      <c r="D5" s="76"/>
    </row>
    <row r="6" spans="2:10" ht="15" customHeight="1">
      <c r="B6" s="243" t="s">
        <v>2</v>
      </c>
      <c r="C6" s="244" t="s">
        <v>18</v>
      </c>
      <c r="D6" s="70" t="s">
        <v>227</v>
      </c>
      <c r="E6" s="209" t="s">
        <v>354</v>
      </c>
      <c r="F6" s="244" t="s">
        <v>220</v>
      </c>
      <c r="G6" s="244"/>
      <c r="H6" s="244"/>
      <c r="I6" s="244"/>
      <c r="J6" s="244"/>
    </row>
    <row r="7" spans="2:10" ht="15">
      <c r="B7" s="243"/>
      <c r="C7" s="244"/>
      <c r="D7" s="21" t="s">
        <v>287</v>
      </c>
      <c r="E7" s="21" t="s">
        <v>239</v>
      </c>
      <c r="F7" s="21" t="s">
        <v>345</v>
      </c>
      <c r="G7" s="21" t="s">
        <v>346</v>
      </c>
      <c r="H7" s="21" t="s">
        <v>347</v>
      </c>
      <c r="I7" s="21" t="s">
        <v>348</v>
      </c>
      <c r="J7" s="21" t="s">
        <v>349</v>
      </c>
    </row>
    <row r="8" spans="2:10" ht="24.75" customHeight="1">
      <c r="B8" s="267"/>
      <c r="C8" s="268"/>
      <c r="D8" s="21" t="s">
        <v>3</v>
      </c>
      <c r="E8" s="21" t="s">
        <v>5</v>
      </c>
      <c r="F8" s="21" t="s">
        <v>8</v>
      </c>
      <c r="G8" s="21" t="s">
        <v>8</v>
      </c>
      <c r="H8" s="21" t="s">
        <v>8</v>
      </c>
      <c r="I8" s="21" t="s">
        <v>8</v>
      </c>
      <c r="J8" s="21" t="s">
        <v>8</v>
      </c>
    </row>
    <row r="9" spans="2:10" ht="15">
      <c r="B9" s="77">
        <v>1</v>
      </c>
      <c r="C9" s="78" t="s">
        <v>151</v>
      </c>
      <c r="D9" s="74"/>
      <c r="E9" s="74"/>
      <c r="F9" s="33"/>
      <c r="G9" s="33"/>
      <c r="H9" s="33"/>
      <c r="I9" s="33"/>
      <c r="J9" s="33"/>
    </row>
    <row r="10" spans="2:10" s="39" customFormat="1" ht="15">
      <c r="B10" s="79" t="s">
        <v>45</v>
      </c>
      <c r="C10" s="44" t="s">
        <v>46</v>
      </c>
      <c r="D10" s="80"/>
      <c r="E10" s="44"/>
      <c r="F10" s="44"/>
      <c r="G10" s="44"/>
      <c r="H10" s="44"/>
      <c r="I10" s="44"/>
      <c r="J10" s="44"/>
    </row>
    <row r="11" spans="2:10" s="39" customFormat="1" ht="15">
      <c r="B11" s="81"/>
      <c r="C11" s="35" t="s">
        <v>47</v>
      </c>
      <c r="D11" s="80"/>
      <c r="E11" s="44"/>
      <c r="F11" s="44"/>
      <c r="G11" s="44"/>
      <c r="H11" s="44"/>
      <c r="I11" s="44"/>
      <c r="J11" s="44"/>
    </row>
    <row r="12" spans="2:10" s="39" customFormat="1" ht="15">
      <c r="B12" s="81"/>
      <c r="C12" s="35" t="s">
        <v>48</v>
      </c>
      <c r="D12" s="80"/>
      <c r="E12" s="44"/>
      <c r="F12" s="44"/>
      <c r="G12" s="44"/>
      <c r="H12" s="44"/>
      <c r="I12" s="44"/>
      <c r="J12" s="44"/>
    </row>
    <row r="13" spans="2:10" s="39" customFormat="1" ht="15">
      <c r="B13" s="81"/>
      <c r="C13" s="35" t="s">
        <v>49</v>
      </c>
      <c r="D13" s="80"/>
      <c r="E13" s="44"/>
      <c r="F13" s="44"/>
      <c r="G13" s="44"/>
      <c r="H13" s="44"/>
      <c r="I13" s="44"/>
      <c r="J13" s="44"/>
    </row>
    <row r="14" spans="2:10" s="39" customFormat="1" ht="15">
      <c r="B14" s="81"/>
      <c r="C14" s="82"/>
      <c r="D14" s="80"/>
      <c r="E14" s="44"/>
      <c r="F14" s="44"/>
      <c r="G14" s="44"/>
      <c r="H14" s="44"/>
      <c r="I14" s="44"/>
      <c r="J14" s="44"/>
    </row>
    <row r="15" spans="2:10" s="39" customFormat="1" ht="15">
      <c r="B15" s="79" t="s">
        <v>50</v>
      </c>
      <c r="C15" s="83" t="s">
        <v>51</v>
      </c>
      <c r="D15" s="80"/>
      <c r="E15" s="44"/>
      <c r="F15" s="44"/>
      <c r="G15" s="44"/>
      <c r="H15" s="44"/>
      <c r="I15" s="44"/>
      <c r="J15" s="44"/>
    </row>
    <row r="16" spans="2:10" s="39" customFormat="1" ht="15">
      <c r="B16" s="81"/>
      <c r="C16" s="35" t="s">
        <v>47</v>
      </c>
      <c r="D16" s="80"/>
      <c r="E16" s="44"/>
      <c r="F16" s="44"/>
      <c r="G16" s="44"/>
      <c r="H16" s="44"/>
      <c r="I16" s="44"/>
      <c r="J16" s="44"/>
    </row>
    <row r="17" spans="2:10">
      <c r="B17" s="81"/>
      <c r="C17" s="35" t="s">
        <v>48</v>
      </c>
      <c r="D17" s="80"/>
      <c r="E17" s="33"/>
      <c r="F17" s="33"/>
      <c r="G17" s="33"/>
      <c r="H17" s="33"/>
      <c r="I17" s="33"/>
      <c r="J17" s="33"/>
    </row>
    <row r="18" spans="2:10">
      <c r="B18" s="84"/>
      <c r="C18" s="35" t="s">
        <v>52</v>
      </c>
      <c r="D18" s="80"/>
      <c r="E18" s="33"/>
      <c r="F18" s="33"/>
      <c r="G18" s="33"/>
      <c r="H18" s="33"/>
      <c r="I18" s="33"/>
      <c r="J18" s="33"/>
    </row>
    <row r="19" spans="2:10" ht="15">
      <c r="B19" s="84"/>
      <c r="C19" s="83"/>
      <c r="D19" s="80"/>
      <c r="E19" s="33"/>
      <c r="F19" s="33"/>
      <c r="G19" s="33"/>
      <c r="H19" s="33"/>
      <c r="I19" s="33"/>
      <c r="J19" s="33"/>
    </row>
    <row r="20" spans="2:10" ht="17.25" customHeight="1">
      <c r="B20" s="79">
        <v>2</v>
      </c>
      <c r="C20" s="78" t="s">
        <v>152</v>
      </c>
      <c r="D20" s="80"/>
      <c r="E20" s="33"/>
      <c r="F20" s="33"/>
      <c r="G20" s="33"/>
      <c r="H20" s="33"/>
      <c r="I20" s="33"/>
      <c r="J20" s="33"/>
    </row>
    <row r="21" spans="2:10" ht="17.25" customHeight="1">
      <c r="B21" s="79"/>
      <c r="C21" s="78" t="s">
        <v>53</v>
      </c>
      <c r="D21" s="80"/>
      <c r="E21" s="33"/>
      <c r="F21" s="33"/>
      <c r="G21" s="33"/>
      <c r="H21" s="33"/>
      <c r="I21" s="33"/>
      <c r="J21" s="33"/>
    </row>
    <row r="22" spans="2:10" ht="17.25" customHeight="1">
      <c r="B22" s="79"/>
      <c r="C22" s="78" t="s">
        <v>53</v>
      </c>
      <c r="D22" s="80"/>
      <c r="E22" s="33"/>
      <c r="F22" s="33"/>
      <c r="G22" s="33"/>
      <c r="H22" s="33"/>
      <c r="I22" s="33"/>
      <c r="J22" s="33"/>
    </row>
    <row r="23" spans="2:10" ht="15">
      <c r="B23" s="81"/>
      <c r="C23" s="83" t="s">
        <v>54</v>
      </c>
      <c r="D23" s="80"/>
      <c r="E23" s="33"/>
      <c r="F23" s="33"/>
      <c r="G23" s="33"/>
      <c r="H23" s="33"/>
      <c r="I23" s="33"/>
      <c r="J23" s="33"/>
    </row>
    <row r="25" spans="2:10" ht="15">
      <c r="B25" s="85" t="s">
        <v>43</v>
      </c>
      <c r="C25" s="86"/>
      <c r="D25" s="86"/>
      <c r="E25" s="86"/>
    </row>
    <row r="26" spans="2:10">
      <c r="B26" s="5" t="s">
        <v>198</v>
      </c>
      <c r="D26" s="87"/>
      <c r="E26" s="86"/>
    </row>
    <row r="27" spans="2:10" ht="18" customHeight="1">
      <c r="B27" s="86"/>
      <c r="E27" s="86"/>
    </row>
    <row r="28" spans="2:10">
      <c r="B28" s="86"/>
      <c r="C28" s="86"/>
      <c r="D28" s="86"/>
      <c r="E28" s="86"/>
    </row>
    <row r="29" spans="2:10">
      <c r="B29" s="86"/>
      <c r="C29" s="86"/>
      <c r="D29" s="86"/>
      <c r="E29" s="86"/>
    </row>
    <row r="30" spans="2:10">
      <c r="B30" s="86"/>
      <c r="C30" s="86"/>
      <c r="D30" s="86"/>
      <c r="E30" s="86"/>
    </row>
    <row r="31" spans="2:10">
      <c r="B31" s="86"/>
      <c r="C31" s="86"/>
      <c r="D31" s="86"/>
      <c r="E31" s="86"/>
    </row>
  </sheetData>
  <mergeCells count="6">
    <mergeCell ref="B6:B8"/>
    <mergeCell ref="C6:C8"/>
    <mergeCell ref="F6:J6"/>
    <mergeCell ref="B2:J2"/>
    <mergeCell ref="B3:J3"/>
    <mergeCell ref="B4:J4"/>
  </mergeCells>
  <pageMargins left="0.75" right="0.75" top="1" bottom="1" header="0.5" footer="0.5"/>
  <pageSetup paperSize="9" scale="88" orientation="landscape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>
  <sheetPr>
    <pageSetUpPr fitToPage="1"/>
  </sheetPr>
  <dimension ref="A2:O67"/>
  <sheetViews>
    <sheetView workbookViewId="0">
      <selection activeCell="H31" sqref="H31"/>
    </sheetView>
  </sheetViews>
  <sheetFormatPr defaultRowHeight="12.75"/>
  <cols>
    <col min="1" max="1" width="21.28515625" customWidth="1"/>
  </cols>
  <sheetData>
    <row r="2" spans="1:15" ht="15" customHeight="1">
      <c r="A2" s="269" t="s">
        <v>409</v>
      </c>
      <c r="B2" s="269"/>
      <c r="C2" s="269"/>
      <c r="D2" s="269"/>
      <c r="E2" s="269"/>
      <c r="F2" s="269"/>
      <c r="G2" s="269"/>
      <c r="H2" s="269"/>
      <c r="I2" s="269"/>
      <c r="J2" s="269"/>
      <c r="K2" s="269"/>
      <c r="L2" s="269"/>
      <c r="M2" s="269"/>
      <c r="N2" s="269"/>
      <c r="O2" s="5"/>
    </row>
    <row r="3" spans="1:15" ht="15">
      <c r="A3" s="240" t="s">
        <v>410</v>
      </c>
      <c r="B3" s="240"/>
      <c r="C3" s="240"/>
      <c r="D3" s="240"/>
      <c r="E3" s="240"/>
      <c r="F3" s="240"/>
      <c r="G3" s="240"/>
      <c r="H3" s="240"/>
      <c r="I3" s="240"/>
      <c r="J3" s="240"/>
      <c r="K3" s="240"/>
      <c r="L3" s="240"/>
      <c r="M3" s="240"/>
      <c r="N3" s="240"/>
      <c r="O3" s="5"/>
    </row>
    <row r="4" spans="1:15" ht="15">
      <c r="A4" s="241" t="s">
        <v>398</v>
      </c>
      <c r="B4" s="241"/>
      <c r="C4" s="241"/>
      <c r="D4" s="241"/>
      <c r="E4" s="241"/>
      <c r="F4" s="241"/>
      <c r="G4" s="241"/>
      <c r="H4" s="241"/>
      <c r="I4" s="241"/>
      <c r="J4" s="241"/>
      <c r="K4" s="241"/>
      <c r="L4" s="241"/>
      <c r="M4" s="241"/>
      <c r="N4" s="241"/>
      <c r="O4" s="5"/>
    </row>
    <row r="5" spans="1:15" ht="15">
      <c r="A5" s="30" t="s">
        <v>227</v>
      </c>
      <c r="B5" s="30"/>
      <c r="C5" s="75"/>
      <c r="D5" s="75"/>
      <c r="E5" s="75"/>
      <c r="F5" s="75"/>
      <c r="G5" s="75"/>
      <c r="H5" s="41"/>
      <c r="I5" s="5"/>
      <c r="J5" s="5"/>
      <c r="K5" s="5"/>
      <c r="L5" s="5"/>
      <c r="M5" s="5"/>
      <c r="N5" s="204"/>
      <c r="O5" s="5"/>
    </row>
    <row r="6" spans="1:15" ht="15">
      <c r="A6" s="30" t="s">
        <v>12</v>
      </c>
      <c r="B6" s="31"/>
      <c r="C6" s="31"/>
      <c r="D6" s="5"/>
      <c r="E6" s="5"/>
      <c r="F6" s="5"/>
      <c r="G6" s="5"/>
      <c r="H6" s="5"/>
      <c r="I6" s="5"/>
      <c r="J6" s="5"/>
      <c r="K6" s="5"/>
      <c r="L6" s="5"/>
      <c r="M6" s="5"/>
      <c r="N6" s="215" t="s">
        <v>399</v>
      </c>
      <c r="O6" s="5"/>
    </row>
    <row r="7" spans="1:15" ht="15">
      <c r="A7" s="37" t="s">
        <v>293</v>
      </c>
      <c r="B7" s="37" t="s">
        <v>127</v>
      </c>
      <c r="C7" s="37" t="s">
        <v>128</v>
      </c>
      <c r="D7" s="95" t="s">
        <v>129</v>
      </c>
      <c r="E7" s="95" t="s">
        <v>130</v>
      </c>
      <c r="F7" s="95" t="s">
        <v>131</v>
      </c>
      <c r="G7" s="95" t="s">
        <v>132</v>
      </c>
      <c r="H7" s="95" t="s">
        <v>133</v>
      </c>
      <c r="I7" s="95" t="s">
        <v>134</v>
      </c>
      <c r="J7" s="95" t="s">
        <v>135</v>
      </c>
      <c r="K7" s="95" t="s">
        <v>136</v>
      </c>
      <c r="L7" s="95" t="s">
        <v>137</v>
      </c>
      <c r="M7" s="95" t="s">
        <v>138</v>
      </c>
      <c r="N7" s="134" t="s">
        <v>126</v>
      </c>
      <c r="O7" s="39"/>
    </row>
    <row r="8" spans="1:15" ht="18.75" customHeight="1">
      <c r="A8" s="216" t="s">
        <v>400</v>
      </c>
      <c r="B8" s="135">
        <f>-0.1565138*0.7055</f>
        <v>-0.1104204859</v>
      </c>
      <c r="C8" s="135">
        <f>-0.168847*0.7055</f>
        <v>-0.1191215585</v>
      </c>
      <c r="D8" s="135">
        <f>3.082494*0.7055</f>
        <v>2.1746995170000001</v>
      </c>
      <c r="E8" s="135">
        <f>68.176298*0.7055</f>
        <v>48.098378239000006</v>
      </c>
      <c r="F8" s="135">
        <f>105.715718*0.7055</f>
        <v>74.582439049000001</v>
      </c>
      <c r="G8" s="135">
        <f>93.328135*0.7055</f>
        <v>65.842999242499999</v>
      </c>
      <c r="H8" s="135">
        <f>113.249607*0.7055</f>
        <v>79.897597738499996</v>
      </c>
      <c r="I8" s="135">
        <f>34.3583873*0.7055</f>
        <v>24.239842240149997</v>
      </c>
      <c r="J8" s="135">
        <f>1.154172*0.7055</f>
        <v>0.81426834599999998</v>
      </c>
      <c r="K8" s="135">
        <f>0.407667*0.7055</f>
        <v>0.28760906850000001</v>
      </c>
      <c r="L8" s="135">
        <f>0.182159*0.7055</f>
        <v>0.12851317449999999</v>
      </c>
      <c r="M8" s="135">
        <f>0.206742*0.7055</f>
        <v>0.14585648100000001</v>
      </c>
      <c r="N8" s="135">
        <f>SUM(B8:M8)</f>
        <v>295.98266105174997</v>
      </c>
      <c r="O8" s="39"/>
    </row>
    <row r="9" spans="1:15" ht="10.5" customHeight="1">
      <c r="A9" s="216"/>
      <c r="B9" s="135"/>
      <c r="C9" s="135"/>
      <c r="D9" s="135"/>
      <c r="E9" s="135"/>
      <c r="F9" s="135"/>
      <c r="G9" s="135"/>
      <c r="H9" s="135"/>
      <c r="I9" s="135"/>
      <c r="J9" s="135"/>
      <c r="K9" s="135"/>
      <c r="L9" s="135"/>
      <c r="M9" s="135"/>
      <c r="N9" s="135"/>
      <c r="O9" s="39"/>
    </row>
    <row r="10" spans="1:15" ht="17.25" customHeight="1">
      <c r="A10" s="216" t="s">
        <v>401</v>
      </c>
      <c r="B10" s="135">
        <f>-0.1565138*0.2945</f>
        <v>-4.6093314099999998E-2</v>
      </c>
      <c r="C10" s="135">
        <f>-0.168847*0.2945</f>
        <v>-4.9725441499999995E-2</v>
      </c>
      <c r="D10" s="135">
        <f>3.082494*0.2945</f>
        <v>0.90779448299999999</v>
      </c>
      <c r="E10" s="135">
        <f>68.176298*0.2945</f>
        <v>20.077919761</v>
      </c>
      <c r="F10" s="135">
        <f>105.715718*0.2945</f>
        <v>31.133278950999998</v>
      </c>
      <c r="G10" s="135">
        <f>93.328135*0.2945</f>
        <v>27.4851357575</v>
      </c>
      <c r="H10" s="135">
        <f>113.249607*0.2945</f>
        <v>33.352009261499994</v>
      </c>
      <c r="I10" s="135">
        <f>34.3583873*0.2945</f>
        <v>10.118545059849998</v>
      </c>
      <c r="J10" s="135">
        <f>1.154172*0.2945</f>
        <v>0.339903654</v>
      </c>
      <c r="K10" s="135">
        <f>0.407667*0.2945</f>
        <v>0.12005793149999999</v>
      </c>
      <c r="L10" s="135">
        <f>0.182159*0.2945</f>
        <v>5.3645825499999994E-2</v>
      </c>
      <c r="M10" s="135">
        <f>0.206742*0.2945</f>
        <v>6.0885518999999999E-2</v>
      </c>
      <c r="N10" s="135">
        <f>SUM(B10:M10)</f>
        <v>123.55335744824998</v>
      </c>
      <c r="O10" s="39"/>
    </row>
    <row r="11" spans="1:15" ht="15">
      <c r="A11" s="216"/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135"/>
      <c r="O11" s="39"/>
    </row>
    <row r="12" spans="1:15" ht="15">
      <c r="A12" s="216" t="s">
        <v>126</v>
      </c>
      <c r="B12" s="135">
        <f>B8+B10</f>
        <v>-0.15651380000000001</v>
      </c>
      <c r="C12" s="135">
        <f t="shared" ref="C12:N12" si="0">C8+C10</f>
        <v>-0.168847</v>
      </c>
      <c r="D12" s="135">
        <f>D8+D10</f>
        <v>3.0824940000000001</v>
      </c>
      <c r="E12" s="135">
        <f t="shared" si="0"/>
        <v>68.176298000000003</v>
      </c>
      <c r="F12" s="135">
        <f t="shared" si="0"/>
        <v>105.715718</v>
      </c>
      <c r="G12" s="135">
        <f t="shared" si="0"/>
        <v>93.328135000000003</v>
      </c>
      <c r="H12" s="135">
        <f t="shared" si="0"/>
        <v>113.249607</v>
      </c>
      <c r="I12" s="135">
        <f t="shared" si="0"/>
        <v>34.358387299999997</v>
      </c>
      <c r="J12" s="135">
        <f t="shared" si="0"/>
        <v>1.154172</v>
      </c>
      <c r="K12" s="135">
        <f t="shared" si="0"/>
        <v>0.407667</v>
      </c>
      <c r="L12" s="135">
        <f t="shared" si="0"/>
        <v>0.18215899999999999</v>
      </c>
      <c r="M12" s="135">
        <f t="shared" si="0"/>
        <v>0.20674200000000001</v>
      </c>
      <c r="N12" s="135">
        <f t="shared" si="0"/>
        <v>419.53601849999995</v>
      </c>
      <c r="O12" s="5"/>
    </row>
    <row r="13" spans="1:15" ht="12" customHeight="1">
      <c r="A13" s="71"/>
      <c r="B13" s="44"/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135"/>
      <c r="O13" s="5"/>
    </row>
    <row r="14" spans="1:15" ht="16.5">
      <c r="A14" s="30" t="s">
        <v>226</v>
      </c>
      <c r="B14" s="75"/>
      <c r="C14" s="75"/>
      <c r="D14" s="75"/>
      <c r="E14" s="75"/>
      <c r="F14" s="75"/>
      <c r="G14" s="75"/>
      <c r="H14" s="212"/>
      <c r="I14" s="5"/>
      <c r="J14" s="5"/>
      <c r="K14" s="5"/>
      <c r="L14" s="5"/>
      <c r="M14" s="5"/>
      <c r="N14" s="204"/>
      <c r="O14" s="212"/>
    </row>
    <row r="15" spans="1:15" ht="16.5">
      <c r="A15" s="30" t="s">
        <v>5</v>
      </c>
      <c r="B15" s="30"/>
      <c r="C15" s="75"/>
      <c r="D15" s="75"/>
      <c r="E15" s="75"/>
      <c r="F15" s="75"/>
      <c r="G15" s="75"/>
      <c r="H15" s="75"/>
      <c r="I15" s="75"/>
      <c r="J15" s="75"/>
      <c r="K15" s="75"/>
      <c r="L15" s="75"/>
      <c r="M15" s="75"/>
      <c r="N15" s="217" t="s">
        <v>399</v>
      </c>
      <c r="O15" s="212"/>
    </row>
    <row r="16" spans="1:15" ht="15">
      <c r="A16" s="245" t="s">
        <v>293</v>
      </c>
      <c r="B16" s="263" t="s">
        <v>402</v>
      </c>
      <c r="C16" s="264"/>
      <c r="D16" s="264"/>
      <c r="E16" s="264"/>
      <c r="F16" s="264"/>
      <c r="G16" s="265"/>
      <c r="H16" s="263" t="s">
        <v>5</v>
      </c>
      <c r="I16" s="264"/>
      <c r="J16" s="264"/>
      <c r="K16" s="264"/>
      <c r="L16" s="264"/>
      <c r="M16" s="265"/>
      <c r="N16" s="37" t="s">
        <v>403</v>
      </c>
      <c r="O16" s="5"/>
    </row>
    <row r="17" spans="1:15" ht="15">
      <c r="A17" s="247"/>
      <c r="B17" s="37" t="s">
        <v>127</v>
      </c>
      <c r="C17" s="37" t="s">
        <v>128</v>
      </c>
      <c r="D17" s="95" t="s">
        <v>129</v>
      </c>
      <c r="E17" s="95" t="s">
        <v>130</v>
      </c>
      <c r="F17" s="95" t="s">
        <v>131</v>
      </c>
      <c r="G17" s="95" t="s">
        <v>132</v>
      </c>
      <c r="H17" s="95" t="s">
        <v>133</v>
      </c>
      <c r="I17" s="95" t="s">
        <v>134</v>
      </c>
      <c r="J17" s="95" t="s">
        <v>135</v>
      </c>
      <c r="K17" s="95" t="s">
        <v>136</v>
      </c>
      <c r="L17" s="95" t="s">
        <v>137</v>
      </c>
      <c r="M17" s="95" t="s">
        <v>138</v>
      </c>
      <c r="N17" s="27"/>
      <c r="O17" s="39"/>
    </row>
    <row r="18" spans="1:15" ht="24.75" customHeight="1">
      <c r="A18" s="37" t="s">
        <v>400</v>
      </c>
      <c r="B18" s="211">
        <f>-0.163447*0.7055</f>
        <v>-0.1153118585</v>
      </c>
      <c r="C18" s="211">
        <f>0.161973*0.7055</f>
        <v>0.11427195150000001</v>
      </c>
      <c r="D18" s="211">
        <f>-0.020708*0.7055</f>
        <v>-1.4609494000000001E-2</v>
      </c>
      <c r="E18" s="211">
        <f>23.495277*0.7055</f>
        <v>16.5759179235</v>
      </c>
      <c r="F18" s="211">
        <f>48.93326*0.7055</f>
        <v>34.522414929999997</v>
      </c>
      <c r="G18" s="211">
        <f>29.604164*0.7055</f>
        <v>20.885737702</v>
      </c>
      <c r="H18" s="211">
        <f>64.32*0.7055</f>
        <v>45.377759999999995</v>
      </c>
      <c r="I18" s="211">
        <f>44.71*0.7055</f>
        <v>31.542905000000001</v>
      </c>
      <c r="J18" s="211">
        <f>9.82*0.7055</f>
        <v>6.9280100000000004</v>
      </c>
      <c r="K18" s="211">
        <f>9.85*0.7055</f>
        <v>6.9491750000000003</v>
      </c>
      <c r="L18" s="211">
        <f>-0.15*0.7055</f>
        <v>-0.105825</v>
      </c>
      <c r="M18" s="211">
        <f>-0.16*0.7055</f>
        <v>-0.11288000000000001</v>
      </c>
      <c r="N18" s="211">
        <f>SUM(B18:M18)</f>
        <v>162.54756615449998</v>
      </c>
      <c r="O18" s="39"/>
    </row>
    <row r="19" spans="1:15" ht="15">
      <c r="A19" s="37"/>
      <c r="B19" s="211"/>
      <c r="C19" s="211"/>
      <c r="D19" s="211"/>
      <c r="E19" s="211"/>
      <c r="F19" s="211"/>
      <c r="G19" s="211"/>
      <c r="H19" s="211"/>
      <c r="I19" s="211"/>
      <c r="J19" s="211"/>
      <c r="K19" s="211"/>
      <c r="L19" s="211"/>
      <c r="M19" s="211"/>
      <c r="N19" s="211"/>
      <c r="O19" s="39"/>
    </row>
    <row r="20" spans="1:15" ht="16.5" customHeight="1">
      <c r="A20" s="37" t="s">
        <v>401</v>
      </c>
      <c r="B20" s="211">
        <f>-0.163447*0.2945</f>
        <v>-4.8135141499999999E-2</v>
      </c>
      <c r="C20" s="211">
        <f>0.161973*0.2945</f>
        <v>4.7701048500000003E-2</v>
      </c>
      <c r="D20" s="211">
        <f>-0.020708*0.2945</f>
        <v>-6.0985060000000001E-3</v>
      </c>
      <c r="E20" s="211">
        <f>23.495277*0.2945</f>
        <v>6.9193590765000001</v>
      </c>
      <c r="F20" s="211">
        <f>48.93326*0.2945</f>
        <v>14.410845069999999</v>
      </c>
      <c r="G20" s="211">
        <f>29.604164*0.2945</f>
        <v>8.7184262979999989</v>
      </c>
      <c r="H20" s="211">
        <f>64.32*0.2945</f>
        <v>18.942239999999998</v>
      </c>
      <c r="I20" s="211">
        <f>44.71*0.2945</f>
        <v>13.167095</v>
      </c>
      <c r="J20" s="211">
        <f>9.82*0.2945</f>
        <v>2.8919899999999998</v>
      </c>
      <c r="K20" s="211">
        <f>9.85*0.2945</f>
        <v>2.9008249999999998</v>
      </c>
      <c r="L20" s="211">
        <f>-0.15*0.2945</f>
        <v>-4.4174999999999999E-2</v>
      </c>
      <c r="M20" s="211">
        <f>-0.16*0.2945</f>
        <v>-4.7119999999999995E-2</v>
      </c>
      <c r="N20" s="211">
        <f>SUM(B20:M20)</f>
        <v>67.852952845499999</v>
      </c>
      <c r="O20" s="39"/>
    </row>
    <row r="21" spans="1:15" ht="15">
      <c r="A21" s="27"/>
      <c r="B21" s="211"/>
      <c r="C21" s="211"/>
      <c r="D21" s="211"/>
      <c r="E21" s="211"/>
      <c r="F21" s="211"/>
      <c r="G21" s="211"/>
      <c r="H21" s="211"/>
      <c r="I21" s="211"/>
      <c r="J21" s="211"/>
      <c r="K21" s="211"/>
      <c r="L21" s="211"/>
      <c r="M21" s="211"/>
      <c r="N21" s="211"/>
      <c r="O21" s="5"/>
    </row>
    <row r="22" spans="1:15" ht="15">
      <c r="A22" s="29" t="s">
        <v>126</v>
      </c>
      <c r="B22" s="211">
        <f>B18+B20</f>
        <v>-0.16344700000000001</v>
      </c>
      <c r="C22" s="211">
        <f t="shared" ref="C22:N22" si="1">C18+C20</f>
        <v>0.16197300000000001</v>
      </c>
      <c r="D22" s="211">
        <f t="shared" si="1"/>
        <v>-2.0708000000000001E-2</v>
      </c>
      <c r="E22" s="211">
        <f t="shared" si="1"/>
        <v>23.495277000000002</v>
      </c>
      <c r="F22" s="211">
        <f t="shared" si="1"/>
        <v>48.933259999999997</v>
      </c>
      <c r="G22" s="211">
        <f t="shared" si="1"/>
        <v>29.604163999999997</v>
      </c>
      <c r="H22" s="211">
        <f t="shared" si="1"/>
        <v>64.319999999999993</v>
      </c>
      <c r="I22" s="211">
        <f t="shared" si="1"/>
        <v>44.71</v>
      </c>
      <c r="J22" s="211">
        <f t="shared" si="1"/>
        <v>9.82</v>
      </c>
      <c r="K22" s="211">
        <f t="shared" si="1"/>
        <v>9.85</v>
      </c>
      <c r="L22" s="211">
        <f t="shared" si="1"/>
        <v>-0.15</v>
      </c>
      <c r="M22" s="211">
        <f t="shared" si="1"/>
        <v>-0.16</v>
      </c>
      <c r="N22" s="211">
        <f t="shared" si="1"/>
        <v>230.40051899999997</v>
      </c>
      <c r="O22" s="5"/>
    </row>
    <row r="24" spans="1:15" ht="15">
      <c r="A24" s="30" t="s">
        <v>404</v>
      </c>
      <c r="B24" s="75"/>
      <c r="C24" s="75"/>
      <c r="D24" s="75"/>
      <c r="E24" s="75"/>
      <c r="F24" s="75"/>
      <c r="G24" s="75"/>
      <c r="H24" s="41"/>
      <c r="I24" s="5"/>
      <c r="J24" s="5"/>
      <c r="K24" s="5"/>
      <c r="L24" s="5"/>
      <c r="M24" s="5"/>
      <c r="N24" s="5"/>
    </row>
    <row r="25" spans="1:15" ht="15">
      <c r="A25" s="30" t="s">
        <v>8</v>
      </c>
      <c r="B25" s="31"/>
      <c r="C25" s="31"/>
      <c r="D25" s="5"/>
      <c r="E25" s="5"/>
      <c r="F25" s="5"/>
      <c r="G25" s="5"/>
      <c r="H25" s="5"/>
      <c r="I25" s="5"/>
      <c r="J25" s="5"/>
      <c r="K25" s="5"/>
      <c r="L25" s="5"/>
      <c r="M25" s="5"/>
      <c r="N25" s="31" t="s">
        <v>399</v>
      </c>
    </row>
    <row r="26" spans="1:15" ht="15">
      <c r="A26" s="37" t="s">
        <v>293</v>
      </c>
      <c r="B26" s="37" t="s">
        <v>127</v>
      </c>
      <c r="C26" s="37" t="s">
        <v>128</v>
      </c>
      <c r="D26" s="95" t="s">
        <v>129</v>
      </c>
      <c r="E26" s="95" t="s">
        <v>130</v>
      </c>
      <c r="F26" s="95" t="s">
        <v>131</v>
      </c>
      <c r="G26" s="95" t="s">
        <v>132</v>
      </c>
      <c r="H26" s="95" t="s">
        <v>133</v>
      </c>
      <c r="I26" s="95" t="s">
        <v>134</v>
      </c>
      <c r="J26" s="95" t="s">
        <v>135</v>
      </c>
      <c r="K26" s="95" t="s">
        <v>136</v>
      </c>
      <c r="L26" s="95" t="s">
        <v>137</v>
      </c>
      <c r="M26" s="95" t="s">
        <v>138</v>
      </c>
      <c r="N26" s="95" t="s">
        <v>126</v>
      </c>
    </row>
    <row r="27" spans="1:15" ht="20.25" customHeight="1">
      <c r="A27" s="37" t="s">
        <v>400</v>
      </c>
      <c r="B27" s="211">
        <f>-0.14*0.7055</f>
        <v>-9.8770000000000011E-2</v>
      </c>
      <c r="C27" s="211">
        <f>-0.23*0.7055</f>
        <v>-0.16226500000000002</v>
      </c>
      <c r="D27" s="211">
        <f>3.82*0.7055</f>
        <v>2.6950099999999999</v>
      </c>
      <c r="E27" s="211">
        <f>28.29*0.7055</f>
        <v>19.958594999999999</v>
      </c>
      <c r="F27" s="211">
        <f>52.7*0.7055</f>
        <v>37.179850000000002</v>
      </c>
      <c r="G27" s="211">
        <f>73.45*0.7055</f>
        <v>51.818975000000002</v>
      </c>
      <c r="H27" s="211">
        <f>64.82*0.7055</f>
        <v>45.730509999999995</v>
      </c>
      <c r="I27" s="211">
        <f>18.87*0.7055</f>
        <v>13.312785000000002</v>
      </c>
      <c r="J27" s="211">
        <f>1.24*0.7055</f>
        <v>0.87482000000000004</v>
      </c>
      <c r="K27" s="211">
        <f>0.14*0.7055</f>
        <v>9.8770000000000011E-2</v>
      </c>
      <c r="L27" s="211">
        <f>-0.09*0.7055</f>
        <v>-6.3494999999999996E-2</v>
      </c>
      <c r="M27" s="211">
        <f>0.03*0.7055</f>
        <v>2.1165E-2</v>
      </c>
      <c r="N27" s="211">
        <f>SUM(B27:M27)</f>
        <v>171.36595</v>
      </c>
    </row>
    <row r="28" spans="1:15" ht="15">
      <c r="A28" s="37"/>
      <c r="B28" s="211"/>
      <c r="C28" s="211"/>
      <c r="D28" s="211"/>
      <c r="E28" s="211"/>
      <c r="F28" s="211"/>
      <c r="G28" s="211"/>
      <c r="H28" s="211"/>
      <c r="I28" s="211"/>
      <c r="J28" s="211"/>
      <c r="K28" s="211"/>
      <c r="L28" s="211"/>
      <c r="M28" s="211"/>
      <c r="N28" s="211"/>
    </row>
    <row r="29" spans="1:15" ht="16.5" customHeight="1">
      <c r="A29" s="37" t="s">
        <v>401</v>
      </c>
      <c r="B29" s="211">
        <f>-0.14*0.2945</f>
        <v>-4.1230000000000003E-2</v>
      </c>
      <c r="C29" s="211">
        <f>-0.23*0.2945</f>
        <v>-6.7735000000000004E-2</v>
      </c>
      <c r="D29" s="211">
        <f>3.82*0.2945</f>
        <v>1.1249899999999999</v>
      </c>
      <c r="E29" s="211">
        <f>28.29*0.2945</f>
        <v>8.3314050000000002</v>
      </c>
      <c r="F29" s="211">
        <f>52.7*0.2945</f>
        <v>15.520149999999999</v>
      </c>
      <c r="G29" s="211">
        <f>73.45*0.2945</f>
        <v>21.631025000000001</v>
      </c>
      <c r="H29" s="211">
        <f>64.82*0.2945</f>
        <v>19.089489999999998</v>
      </c>
      <c r="I29" s="211">
        <f>18.87*0.2945</f>
        <v>5.5572150000000002</v>
      </c>
      <c r="J29" s="211">
        <f>1.24*0.2945</f>
        <v>0.36518</v>
      </c>
      <c r="K29" s="211">
        <f>0.14*0.2945</f>
        <v>4.1230000000000003E-2</v>
      </c>
      <c r="L29" s="211">
        <f>-0.09*0.2945</f>
        <v>-2.6504999999999997E-2</v>
      </c>
      <c r="M29" s="211">
        <f>0.03*0.294</f>
        <v>8.8199999999999997E-3</v>
      </c>
      <c r="N29" s="211">
        <f>SUM(B29:M29)</f>
        <v>71.534034999999989</v>
      </c>
    </row>
    <row r="30" spans="1:15" ht="15">
      <c r="A30" s="27"/>
      <c r="B30" s="211"/>
      <c r="C30" s="211"/>
      <c r="D30" s="211"/>
      <c r="E30" s="211"/>
      <c r="F30" s="211"/>
      <c r="G30" s="211"/>
      <c r="H30" s="211"/>
      <c r="I30" s="211"/>
      <c r="J30" s="211"/>
      <c r="K30" s="211"/>
      <c r="L30" s="211"/>
      <c r="M30" s="211"/>
      <c r="N30" s="211"/>
    </row>
    <row r="31" spans="1:15" ht="15">
      <c r="A31" s="29" t="s">
        <v>126</v>
      </c>
      <c r="B31" s="211">
        <f>B27+B29</f>
        <v>-0.14000000000000001</v>
      </c>
      <c r="C31" s="211">
        <f t="shared" ref="C31:M31" si="2">C27+C29</f>
        <v>-0.23000000000000004</v>
      </c>
      <c r="D31" s="211">
        <f t="shared" si="2"/>
        <v>3.82</v>
      </c>
      <c r="E31" s="211">
        <f t="shared" si="2"/>
        <v>28.29</v>
      </c>
      <c r="F31" s="211">
        <f t="shared" si="2"/>
        <v>52.7</v>
      </c>
      <c r="G31" s="211">
        <f t="shared" si="2"/>
        <v>73.45</v>
      </c>
      <c r="H31" s="211">
        <f t="shared" si="2"/>
        <v>64.819999999999993</v>
      </c>
      <c r="I31" s="211">
        <f t="shared" si="2"/>
        <v>18.87</v>
      </c>
      <c r="J31" s="211">
        <f t="shared" si="2"/>
        <v>1.24</v>
      </c>
      <c r="K31" s="211">
        <f t="shared" si="2"/>
        <v>0.14000000000000001</v>
      </c>
      <c r="L31" s="211">
        <f t="shared" si="2"/>
        <v>-0.09</v>
      </c>
      <c r="M31" s="211">
        <f t="shared" si="2"/>
        <v>2.9984999999999998E-2</v>
      </c>
      <c r="N31" s="211">
        <f>N27+N29</f>
        <v>242.89998499999999</v>
      </c>
    </row>
    <row r="33" spans="1:14" ht="15">
      <c r="A33" s="30" t="s">
        <v>405</v>
      </c>
      <c r="B33" s="75"/>
      <c r="C33" s="75"/>
      <c r="D33" s="75"/>
      <c r="E33" s="75"/>
      <c r="F33" s="75"/>
      <c r="G33" s="75"/>
      <c r="H33" s="41"/>
      <c r="I33" s="5"/>
      <c r="J33" s="5"/>
      <c r="K33" s="5"/>
      <c r="L33" s="5"/>
      <c r="M33" s="5"/>
      <c r="N33" s="5"/>
    </row>
    <row r="34" spans="1:14" ht="15">
      <c r="A34" s="30" t="s">
        <v>8</v>
      </c>
      <c r="B34" s="31"/>
      <c r="C34" s="31"/>
      <c r="D34" s="5"/>
      <c r="E34" s="5"/>
      <c r="F34" s="5"/>
      <c r="G34" s="5"/>
      <c r="H34" s="5"/>
      <c r="I34" s="5"/>
      <c r="J34" s="5"/>
      <c r="K34" s="5"/>
      <c r="L34" s="5"/>
      <c r="M34" s="5"/>
      <c r="N34" s="31" t="s">
        <v>399</v>
      </c>
    </row>
    <row r="35" spans="1:14" ht="15">
      <c r="A35" s="37" t="s">
        <v>293</v>
      </c>
      <c r="B35" s="37" t="s">
        <v>127</v>
      </c>
      <c r="C35" s="37" t="s">
        <v>128</v>
      </c>
      <c r="D35" s="95" t="s">
        <v>129</v>
      </c>
      <c r="E35" s="95" t="s">
        <v>130</v>
      </c>
      <c r="F35" s="95" t="s">
        <v>131</v>
      </c>
      <c r="G35" s="95" t="s">
        <v>132</v>
      </c>
      <c r="H35" s="95" t="s">
        <v>133</v>
      </c>
      <c r="I35" s="95" t="s">
        <v>134</v>
      </c>
      <c r="J35" s="95" t="s">
        <v>135</v>
      </c>
      <c r="K35" s="95" t="s">
        <v>136</v>
      </c>
      <c r="L35" s="95" t="s">
        <v>137</v>
      </c>
      <c r="M35" s="95" t="s">
        <v>138</v>
      </c>
      <c r="N35" s="95" t="s">
        <v>126</v>
      </c>
    </row>
    <row r="36" spans="1:14" ht="18.75" customHeight="1">
      <c r="A36" s="37" t="s">
        <v>400</v>
      </c>
      <c r="B36" s="211">
        <v>-9.8770000000000011E-2</v>
      </c>
      <c r="C36" s="211">
        <v>-0.16226500000000002</v>
      </c>
      <c r="D36" s="211">
        <v>2.6950099999999999</v>
      </c>
      <c r="E36" s="211">
        <v>19.958594999999999</v>
      </c>
      <c r="F36" s="211">
        <v>37.179850000000002</v>
      </c>
      <c r="G36" s="211">
        <v>51.818975000000002</v>
      </c>
      <c r="H36" s="211">
        <v>45.730509999999995</v>
      </c>
      <c r="I36" s="211">
        <v>13.312785000000002</v>
      </c>
      <c r="J36" s="211">
        <v>0.87482000000000004</v>
      </c>
      <c r="K36" s="211">
        <v>9.8770000000000011E-2</v>
      </c>
      <c r="L36" s="211">
        <v>-6.3494999999999996E-2</v>
      </c>
      <c r="M36" s="211">
        <v>2.1165E-2</v>
      </c>
      <c r="N36" s="211">
        <f>SUM(B36:M36)</f>
        <v>171.36595</v>
      </c>
    </row>
    <row r="37" spans="1:14" ht="15">
      <c r="A37" s="37"/>
      <c r="B37" s="211"/>
      <c r="C37" s="211"/>
      <c r="D37" s="211"/>
      <c r="E37" s="211"/>
      <c r="F37" s="211"/>
      <c r="G37" s="211"/>
      <c r="H37" s="211"/>
      <c r="I37" s="211"/>
      <c r="J37" s="211"/>
      <c r="K37" s="211"/>
      <c r="L37" s="211"/>
      <c r="M37" s="211"/>
      <c r="N37" s="211"/>
    </row>
    <row r="38" spans="1:14" ht="19.5" customHeight="1">
      <c r="A38" s="37" t="s">
        <v>401</v>
      </c>
      <c r="B38" s="211">
        <v>-4.1230000000000003E-2</v>
      </c>
      <c r="C38" s="211">
        <v>-6.7735000000000004E-2</v>
      </c>
      <c r="D38" s="211">
        <v>1.1249899999999999</v>
      </c>
      <c r="E38" s="211">
        <v>8.3314050000000002</v>
      </c>
      <c r="F38" s="211">
        <v>15.520149999999999</v>
      </c>
      <c r="G38" s="211">
        <v>21.631025000000001</v>
      </c>
      <c r="H38" s="211">
        <v>19.089489999999998</v>
      </c>
      <c r="I38" s="211">
        <v>5.5572150000000002</v>
      </c>
      <c r="J38" s="211">
        <v>0.36518</v>
      </c>
      <c r="K38" s="211">
        <v>4.1230000000000003E-2</v>
      </c>
      <c r="L38" s="211">
        <v>-2.6504999999999997E-2</v>
      </c>
      <c r="M38" s="211">
        <v>8.8199999999999997E-3</v>
      </c>
      <c r="N38" s="211">
        <f>SUM(B38:M38)</f>
        <v>71.534034999999989</v>
      </c>
    </row>
    <row r="39" spans="1:14" ht="15">
      <c r="A39" s="27"/>
      <c r="B39" s="211"/>
      <c r="C39" s="211"/>
      <c r="D39" s="211"/>
      <c r="E39" s="211"/>
      <c r="F39" s="211"/>
      <c r="G39" s="211"/>
      <c r="H39" s="211"/>
      <c r="I39" s="211"/>
      <c r="J39" s="211"/>
      <c r="K39" s="211"/>
      <c r="L39" s="211"/>
      <c r="M39" s="211"/>
      <c r="N39" s="211"/>
    </row>
    <row r="40" spans="1:14" ht="15">
      <c r="A40" s="29" t="s">
        <v>126</v>
      </c>
      <c r="B40" s="211">
        <f>B36+B38</f>
        <v>-0.14000000000000001</v>
      </c>
      <c r="C40" s="211">
        <f t="shared" ref="C40:N40" si="3">C36+C38</f>
        <v>-0.23000000000000004</v>
      </c>
      <c r="D40" s="211">
        <f t="shared" si="3"/>
        <v>3.82</v>
      </c>
      <c r="E40" s="211">
        <f t="shared" si="3"/>
        <v>28.29</v>
      </c>
      <c r="F40" s="211">
        <f t="shared" si="3"/>
        <v>52.7</v>
      </c>
      <c r="G40" s="211">
        <f t="shared" si="3"/>
        <v>73.45</v>
      </c>
      <c r="H40" s="211">
        <f t="shared" si="3"/>
        <v>64.819999999999993</v>
      </c>
      <c r="I40" s="211">
        <f t="shared" si="3"/>
        <v>18.87</v>
      </c>
      <c r="J40" s="211">
        <f t="shared" si="3"/>
        <v>1.24</v>
      </c>
      <c r="K40" s="211">
        <f t="shared" si="3"/>
        <v>0.14000000000000001</v>
      </c>
      <c r="L40" s="211">
        <f t="shared" si="3"/>
        <v>-0.09</v>
      </c>
      <c r="M40" s="211">
        <f t="shared" si="3"/>
        <v>2.9984999999999998E-2</v>
      </c>
      <c r="N40" s="211">
        <f t="shared" si="3"/>
        <v>242.89998499999999</v>
      </c>
    </row>
    <row r="42" spans="1:14" ht="15">
      <c r="A42" s="30" t="s">
        <v>406</v>
      </c>
      <c r="B42" s="75"/>
      <c r="C42" s="75"/>
      <c r="D42" s="75"/>
      <c r="E42" s="75"/>
      <c r="F42" s="75"/>
      <c r="G42" s="75"/>
      <c r="H42" s="41"/>
      <c r="I42" s="5"/>
      <c r="J42" s="5"/>
      <c r="K42" s="5"/>
      <c r="L42" s="5"/>
      <c r="M42" s="5"/>
      <c r="N42" s="5"/>
    </row>
    <row r="43" spans="1:14" ht="15">
      <c r="A43" s="30" t="s">
        <v>8</v>
      </c>
      <c r="B43" s="31"/>
      <c r="C43" s="31"/>
      <c r="D43" s="5"/>
      <c r="E43" s="5"/>
      <c r="F43" s="5"/>
      <c r="G43" s="5"/>
      <c r="H43" s="5"/>
      <c r="I43" s="5"/>
      <c r="J43" s="5"/>
      <c r="K43" s="5"/>
      <c r="L43" s="5"/>
      <c r="M43" s="5"/>
      <c r="N43" s="31" t="s">
        <v>399</v>
      </c>
    </row>
    <row r="44" spans="1:14" ht="15">
      <c r="A44" s="37" t="s">
        <v>293</v>
      </c>
      <c r="B44" s="37" t="s">
        <v>127</v>
      </c>
      <c r="C44" s="37" t="s">
        <v>128</v>
      </c>
      <c r="D44" s="95" t="s">
        <v>129</v>
      </c>
      <c r="E44" s="95" t="s">
        <v>130</v>
      </c>
      <c r="F44" s="95" t="s">
        <v>131</v>
      </c>
      <c r="G44" s="95" t="s">
        <v>132</v>
      </c>
      <c r="H44" s="95" t="s">
        <v>133</v>
      </c>
      <c r="I44" s="95" t="s">
        <v>134</v>
      </c>
      <c r="J44" s="95" t="s">
        <v>135</v>
      </c>
      <c r="K44" s="95" t="s">
        <v>136</v>
      </c>
      <c r="L44" s="95" t="s">
        <v>137</v>
      </c>
      <c r="M44" s="95" t="s">
        <v>138</v>
      </c>
      <c r="N44" s="95" t="s">
        <v>126</v>
      </c>
    </row>
    <row r="45" spans="1:14" ht="19.5" customHeight="1">
      <c r="A45" s="37" t="s">
        <v>400</v>
      </c>
      <c r="B45" s="211">
        <v>-9.8770000000000011E-2</v>
      </c>
      <c r="C45" s="211">
        <v>-0.16226500000000002</v>
      </c>
      <c r="D45" s="211">
        <v>2.6950099999999999</v>
      </c>
      <c r="E45" s="211">
        <v>19.958594999999999</v>
      </c>
      <c r="F45" s="211">
        <v>37.179850000000002</v>
      </c>
      <c r="G45" s="211">
        <v>51.818975000000002</v>
      </c>
      <c r="H45" s="211">
        <v>45.730509999999995</v>
      </c>
      <c r="I45" s="211">
        <v>13.312785000000002</v>
      </c>
      <c r="J45" s="211">
        <v>0.87482000000000004</v>
      </c>
      <c r="K45" s="211">
        <v>9.8770000000000011E-2</v>
      </c>
      <c r="L45" s="211">
        <v>-6.3494999999999996E-2</v>
      </c>
      <c r="M45" s="211">
        <v>2.1165E-2</v>
      </c>
      <c r="N45" s="211">
        <f>SUM(B45:M45)</f>
        <v>171.36595</v>
      </c>
    </row>
    <row r="46" spans="1:14" ht="15">
      <c r="A46" s="37"/>
      <c r="B46" s="211"/>
      <c r="C46" s="211"/>
      <c r="D46" s="211"/>
      <c r="E46" s="211"/>
      <c r="F46" s="211"/>
      <c r="G46" s="211"/>
      <c r="H46" s="211"/>
      <c r="I46" s="211"/>
      <c r="J46" s="211"/>
      <c r="K46" s="211"/>
      <c r="L46" s="211"/>
      <c r="M46" s="211"/>
      <c r="N46" s="211"/>
    </row>
    <row r="47" spans="1:14" ht="19.5" customHeight="1">
      <c r="A47" s="37" t="s">
        <v>401</v>
      </c>
      <c r="B47" s="211">
        <v>-4.1230000000000003E-2</v>
      </c>
      <c r="C47" s="211">
        <v>-6.7735000000000004E-2</v>
      </c>
      <c r="D47" s="211">
        <v>1.1249899999999999</v>
      </c>
      <c r="E47" s="211">
        <v>8.3314050000000002</v>
      </c>
      <c r="F47" s="211">
        <v>15.520149999999999</v>
      </c>
      <c r="G47" s="211">
        <v>21.631025000000001</v>
      </c>
      <c r="H47" s="211">
        <v>19.089489999999998</v>
      </c>
      <c r="I47" s="211">
        <v>5.5572150000000002</v>
      </c>
      <c r="J47" s="211">
        <v>0.36518</v>
      </c>
      <c r="K47" s="211">
        <v>4.1230000000000003E-2</v>
      </c>
      <c r="L47" s="211">
        <v>-2.6504999999999997E-2</v>
      </c>
      <c r="M47" s="211">
        <v>8.8199999999999997E-3</v>
      </c>
      <c r="N47" s="211">
        <f>SUM(B47:M47)</f>
        <v>71.534034999999989</v>
      </c>
    </row>
    <row r="48" spans="1:14" ht="15">
      <c r="A48" s="27"/>
      <c r="B48" s="211"/>
      <c r="C48" s="211"/>
      <c r="D48" s="211"/>
      <c r="E48" s="211"/>
      <c r="F48" s="211"/>
      <c r="G48" s="211"/>
      <c r="H48" s="211"/>
      <c r="I48" s="211"/>
      <c r="J48" s="211"/>
      <c r="K48" s="211"/>
      <c r="L48" s="211"/>
      <c r="M48" s="211"/>
      <c r="N48" s="211"/>
    </row>
    <row r="49" spans="1:14" ht="15">
      <c r="A49" s="29" t="s">
        <v>126</v>
      </c>
      <c r="B49" s="211">
        <f>B45+B47</f>
        <v>-0.14000000000000001</v>
      </c>
      <c r="C49" s="211">
        <f t="shared" ref="C49:N49" si="4">C45+C47</f>
        <v>-0.23000000000000004</v>
      </c>
      <c r="D49" s="211">
        <f t="shared" si="4"/>
        <v>3.82</v>
      </c>
      <c r="E49" s="211">
        <f t="shared" si="4"/>
        <v>28.29</v>
      </c>
      <c r="F49" s="211">
        <f t="shared" si="4"/>
        <v>52.7</v>
      </c>
      <c r="G49" s="211">
        <f t="shared" si="4"/>
        <v>73.45</v>
      </c>
      <c r="H49" s="211">
        <f t="shared" si="4"/>
        <v>64.819999999999993</v>
      </c>
      <c r="I49" s="211">
        <f t="shared" si="4"/>
        <v>18.87</v>
      </c>
      <c r="J49" s="211">
        <f t="shared" si="4"/>
        <v>1.24</v>
      </c>
      <c r="K49" s="211">
        <f t="shared" si="4"/>
        <v>0.14000000000000001</v>
      </c>
      <c r="L49" s="211">
        <f t="shared" si="4"/>
        <v>-0.09</v>
      </c>
      <c r="M49" s="211">
        <f t="shared" si="4"/>
        <v>2.9984999999999998E-2</v>
      </c>
      <c r="N49" s="211">
        <f t="shared" si="4"/>
        <v>242.89998499999999</v>
      </c>
    </row>
    <row r="51" spans="1:14" ht="15">
      <c r="A51" s="30" t="s">
        <v>407</v>
      </c>
      <c r="B51" s="75"/>
      <c r="C51" s="75"/>
      <c r="D51" s="75"/>
      <c r="E51" s="75"/>
      <c r="F51" s="75"/>
      <c r="G51" s="75"/>
      <c r="H51" s="41"/>
      <c r="I51" s="5"/>
      <c r="J51" s="5"/>
      <c r="K51" s="5"/>
      <c r="L51" s="5"/>
      <c r="M51" s="5"/>
      <c r="N51" s="5"/>
    </row>
    <row r="52" spans="1:14" ht="15">
      <c r="A52" s="30" t="s">
        <v>8</v>
      </c>
      <c r="B52" s="31"/>
      <c r="C52" s="31"/>
      <c r="D52" s="5"/>
      <c r="E52" s="5"/>
      <c r="F52" s="5"/>
      <c r="G52" s="5"/>
      <c r="H52" s="5"/>
      <c r="I52" s="5"/>
      <c r="J52" s="5"/>
      <c r="K52" s="5"/>
      <c r="L52" s="5"/>
      <c r="M52" s="5"/>
      <c r="N52" s="31" t="s">
        <v>399</v>
      </c>
    </row>
    <row r="53" spans="1:14" ht="15">
      <c r="A53" s="37" t="s">
        <v>293</v>
      </c>
      <c r="B53" s="37" t="s">
        <v>127</v>
      </c>
      <c r="C53" s="37" t="s">
        <v>128</v>
      </c>
      <c r="D53" s="95" t="s">
        <v>129</v>
      </c>
      <c r="E53" s="95" t="s">
        <v>130</v>
      </c>
      <c r="F53" s="95" t="s">
        <v>131</v>
      </c>
      <c r="G53" s="95" t="s">
        <v>132</v>
      </c>
      <c r="H53" s="95" t="s">
        <v>133</v>
      </c>
      <c r="I53" s="95" t="s">
        <v>134</v>
      </c>
      <c r="J53" s="95" t="s">
        <v>135</v>
      </c>
      <c r="K53" s="95" t="s">
        <v>136</v>
      </c>
      <c r="L53" s="95" t="s">
        <v>137</v>
      </c>
      <c r="M53" s="95" t="s">
        <v>138</v>
      </c>
      <c r="N53" s="95" t="s">
        <v>126</v>
      </c>
    </row>
    <row r="54" spans="1:14" ht="21" customHeight="1">
      <c r="A54" s="37" t="s">
        <v>400</v>
      </c>
      <c r="B54" s="211">
        <v>-9.8770000000000011E-2</v>
      </c>
      <c r="C54" s="211">
        <v>-0.16226500000000002</v>
      </c>
      <c r="D54" s="211">
        <v>2.6950099999999999</v>
      </c>
      <c r="E54" s="211">
        <v>19.958594999999999</v>
      </c>
      <c r="F54" s="211">
        <v>37.179850000000002</v>
      </c>
      <c r="G54" s="211">
        <v>51.818975000000002</v>
      </c>
      <c r="H54" s="211">
        <v>45.730509999999995</v>
      </c>
      <c r="I54" s="211">
        <v>13.312785000000002</v>
      </c>
      <c r="J54" s="211">
        <v>0.87482000000000004</v>
      </c>
      <c r="K54" s="211">
        <v>9.8770000000000011E-2</v>
      </c>
      <c r="L54" s="211">
        <v>-6.3494999999999996E-2</v>
      </c>
      <c r="M54" s="211">
        <v>2.1165E-2</v>
      </c>
      <c r="N54" s="211">
        <f>SUM(B54:M54)</f>
        <v>171.36595</v>
      </c>
    </row>
    <row r="55" spans="1:14" ht="15">
      <c r="A55" s="37"/>
      <c r="B55" s="211"/>
      <c r="C55" s="211"/>
      <c r="D55" s="211"/>
      <c r="E55" s="211"/>
      <c r="F55" s="211"/>
      <c r="G55" s="211"/>
      <c r="H55" s="211"/>
      <c r="I55" s="211"/>
      <c r="J55" s="211"/>
      <c r="K55" s="211"/>
      <c r="L55" s="211"/>
      <c r="M55" s="211"/>
      <c r="N55" s="211"/>
    </row>
    <row r="56" spans="1:14" ht="19.5" customHeight="1">
      <c r="A56" s="37" t="s">
        <v>401</v>
      </c>
      <c r="B56" s="213">
        <v>-4.1230000000000003E-2</v>
      </c>
      <c r="C56" s="211">
        <v>-6.7735000000000004E-2</v>
      </c>
      <c r="D56" s="211">
        <v>1.1249899999999999</v>
      </c>
      <c r="E56" s="211">
        <v>8.3314050000000002</v>
      </c>
      <c r="F56" s="211">
        <v>15.520149999999999</v>
      </c>
      <c r="G56" s="211">
        <v>21.631025000000001</v>
      </c>
      <c r="H56" s="211">
        <v>19.089489999999998</v>
      </c>
      <c r="I56" s="211">
        <v>5.5572150000000002</v>
      </c>
      <c r="J56" s="211">
        <v>0.36518</v>
      </c>
      <c r="K56" s="211">
        <v>4.1230000000000003E-2</v>
      </c>
      <c r="L56" s="211">
        <v>-2.6504999999999997E-2</v>
      </c>
      <c r="M56" s="211">
        <v>8.8199999999999997E-3</v>
      </c>
      <c r="N56" s="211">
        <f>SUM(B56:M56)</f>
        <v>71.534034999999989</v>
      </c>
    </row>
    <row r="57" spans="1:14" ht="15">
      <c r="A57" s="27"/>
      <c r="B57" s="211"/>
      <c r="C57" s="211"/>
      <c r="D57" s="211"/>
      <c r="E57" s="211"/>
      <c r="F57" s="211"/>
      <c r="G57" s="211"/>
      <c r="H57" s="211"/>
      <c r="I57" s="211"/>
      <c r="J57" s="211"/>
      <c r="K57" s="211"/>
      <c r="L57" s="211"/>
      <c r="M57" s="211"/>
      <c r="N57" s="211"/>
    </row>
    <row r="58" spans="1:14" ht="15">
      <c r="A58" s="29" t="s">
        <v>126</v>
      </c>
      <c r="B58" s="211">
        <f>B54+B56</f>
        <v>-0.14000000000000001</v>
      </c>
      <c r="C58" s="211">
        <f t="shared" ref="C58:N58" si="5">C54+C56</f>
        <v>-0.23000000000000004</v>
      </c>
      <c r="D58" s="211">
        <f t="shared" si="5"/>
        <v>3.82</v>
      </c>
      <c r="E58" s="211">
        <f t="shared" si="5"/>
        <v>28.29</v>
      </c>
      <c r="F58" s="211">
        <f t="shared" si="5"/>
        <v>52.7</v>
      </c>
      <c r="G58" s="211">
        <f t="shared" si="5"/>
        <v>73.45</v>
      </c>
      <c r="H58" s="211">
        <f t="shared" si="5"/>
        <v>64.819999999999993</v>
      </c>
      <c r="I58" s="211">
        <f t="shared" si="5"/>
        <v>18.87</v>
      </c>
      <c r="J58" s="211">
        <f t="shared" si="5"/>
        <v>1.24</v>
      </c>
      <c r="K58" s="211">
        <f t="shared" si="5"/>
        <v>0.14000000000000001</v>
      </c>
      <c r="L58" s="211">
        <f t="shared" si="5"/>
        <v>-0.09</v>
      </c>
      <c r="M58" s="211">
        <f t="shared" si="5"/>
        <v>2.9984999999999998E-2</v>
      </c>
      <c r="N58" s="211">
        <f t="shared" si="5"/>
        <v>242.89998499999999</v>
      </c>
    </row>
    <row r="60" spans="1:14" ht="15">
      <c r="A60" s="30" t="s">
        <v>408</v>
      </c>
      <c r="B60" s="75"/>
      <c r="C60" s="75"/>
      <c r="D60" s="75"/>
      <c r="E60" s="75"/>
      <c r="F60" s="75"/>
      <c r="G60" s="75"/>
      <c r="H60" s="41"/>
      <c r="I60" s="5"/>
      <c r="J60" s="5"/>
      <c r="K60" s="5"/>
      <c r="L60" s="5"/>
      <c r="M60" s="5"/>
      <c r="N60" s="5"/>
    </row>
    <row r="61" spans="1:14" ht="15">
      <c r="A61" s="30" t="s">
        <v>8</v>
      </c>
      <c r="B61" s="31"/>
      <c r="C61" s="31"/>
      <c r="D61" s="5"/>
      <c r="E61" s="5"/>
      <c r="F61" s="5"/>
      <c r="G61" s="5"/>
      <c r="H61" s="5"/>
      <c r="I61" s="5"/>
      <c r="J61" s="5"/>
      <c r="K61" s="5"/>
      <c r="L61" s="5"/>
      <c r="M61" s="5"/>
      <c r="N61" s="31" t="s">
        <v>399</v>
      </c>
    </row>
    <row r="62" spans="1:14" ht="15">
      <c r="A62" s="37" t="s">
        <v>293</v>
      </c>
      <c r="B62" s="37" t="s">
        <v>127</v>
      </c>
      <c r="C62" s="37" t="s">
        <v>128</v>
      </c>
      <c r="D62" s="95" t="s">
        <v>129</v>
      </c>
      <c r="E62" s="95" t="s">
        <v>130</v>
      </c>
      <c r="F62" s="95" t="s">
        <v>131</v>
      </c>
      <c r="G62" s="95" t="s">
        <v>132</v>
      </c>
      <c r="H62" s="95" t="s">
        <v>133</v>
      </c>
      <c r="I62" s="95" t="s">
        <v>134</v>
      </c>
      <c r="J62" s="95" t="s">
        <v>135</v>
      </c>
      <c r="K62" s="95" t="s">
        <v>136</v>
      </c>
      <c r="L62" s="95" t="s">
        <v>137</v>
      </c>
      <c r="M62" s="95" t="s">
        <v>138</v>
      </c>
      <c r="N62" s="95" t="s">
        <v>126</v>
      </c>
    </row>
    <row r="63" spans="1:14" ht="24" customHeight="1">
      <c r="A63" s="37" t="s">
        <v>400</v>
      </c>
      <c r="B63" s="211">
        <v>-9.8770000000000011E-2</v>
      </c>
      <c r="C63" s="211">
        <v>-0.16226500000000002</v>
      </c>
      <c r="D63" s="211">
        <v>2.6950099999999999</v>
      </c>
      <c r="E63" s="211">
        <v>19.958594999999999</v>
      </c>
      <c r="F63" s="214">
        <v>37.179850000000002</v>
      </c>
      <c r="G63" s="211">
        <v>51.818975000000002</v>
      </c>
      <c r="H63" s="211">
        <v>45.730509999999995</v>
      </c>
      <c r="I63" s="211">
        <v>13.312785000000002</v>
      </c>
      <c r="J63" s="211">
        <v>0.87482000000000004</v>
      </c>
      <c r="K63" s="211">
        <v>9.8770000000000011E-2</v>
      </c>
      <c r="L63" s="211">
        <v>-6.3494999999999996E-2</v>
      </c>
      <c r="M63" s="211">
        <v>2.1165E-2</v>
      </c>
      <c r="N63" s="211">
        <f>SUM(B63:M63)</f>
        <v>171.36595</v>
      </c>
    </row>
    <row r="64" spans="1:14" ht="15">
      <c r="A64" s="37"/>
      <c r="B64" s="211"/>
      <c r="C64" s="211"/>
      <c r="D64" s="211"/>
      <c r="E64" s="211"/>
      <c r="F64" s="214"/>
      <c r="G64" s="211"/>
      <c r="H64" s="211"/>
      <c r="I64" s="211"/>
      <c r="J64" s="211"/>
      <c r="K64" s="211"/>
      <c r="L64" s="211"/>
      <c r="M64" s="211"/>
      <c r="N64" s="211"/>
    </row>
    <row r="65" spans="1:14" ht="15.75" customHeight="1">
      <c r="A65" s="37" t="s">
        <v>401</v>
      </c>
      <c r="B65" s="213">
        <v>-4.1230000000000003E-2</v>
      </c>
      <c r="C65" s="211">
        <v>-6.7735000000000004E-2</v>
      </c>
      <c r="D65" s="211">
        <v>1.1249899999999999</v>
      </c>
      <c r="E65" s="211">
        <v>8.3314050000000002</v>
      </c>
      <c r="F65" s="211">
        <v>15.520149999999999</v>
      </c>
      <c r="G65" s="211">
        <v>21.631025000000001</v>
      </c>
      <c r="H65" s="211">
        <v>19.089489999999998</v>
      </c>
      <c r="I65" s="211">
        <v>5.5572150000000002</v>
      </c>
      <c r="J65" s="211">
        <v>0.36518</v>
      </c>
      <c r="K65" s="211">
        <v>4.1230000000000003E-2</v>
      </c>
      <c r="L65" s="211">
        <v>-2.6504999999999997E-2</v>
      </c>
      <c r="M65" s="211">
        <v>8.8199999999999997E-3</v>
      </c>
      <c r="N65" s="211">
        <f>SUM(B65:M65)</f>
        <v>71.534034999999989</v>
      </c>
    </row>
    <row r="66" spans="1:14" ht="15">
      <c r="A66" s="27"/>
      <c r="B66" s="211"/>
      <c r="C66" s="211"/>
      <c r="D66" s="211"/>
      <c r="E66" s="211"/>
      <c r="F66" s="211"/>
      <c r="G66" s="211"/>
      <c r="H66" s="211"/>
      <c r="I66" s="211"/>
      <c r="J66" s="211"/>
      <c r="K66" s="211"/>
      <c r="L66" s="211"/>
      <c r="M66" s="211"/>
      <c r="N66" s="211"/>
    </row>
    <row r="67" spans="1:14" ht="15">
      <c r="A67" s="29" t="s">
        <v>126</v>
      </c>
      <c r="B67" s="211">
        <f>B63+B65</f>
        <v>-0.14000000000000001</v>
      </c>
      <c r="C67" s="211">
        <f t="shared" ref="C67:N67" si="6">C63+C65</f>
        <v>-0.23000000000000004</v>
      </c>
      <c r="D67" s="211">
        <f t="shared" si="6"/>
        <v>3.82</v>
      </c>
      <c r="E67" s="211">
        <f t="shared" si="6"/>
        <v>28.29</v>
      </c>
      <c r="F67" s="211">
        <f t="shared" si="6"/>
        <v>52.7</v>
      </c>
      <c r="G67" s="211">
        <f>G63+G65</f>
        <v>73.45</v>
      </c>
      <c r="H67" s="211">
        <f>H63+H65</f>
        <v>64.819999999999993</v>
      </c>
      <c r="I67" s="211">
        <f t="shared" si="6"/>
        <v>18.87</v>
      </c>
      <c r="J67" s="211">
        <f t="shared" si="6"/>
        <v>1.24</v>
      </c>
      <c r="K67" s="211">
        <f t="shared" si="6"/>
        <v>0.14000000000000001</v>
      </c>
      <c r="L67" s="211">
        <f t="shared" si="6"/>
        <v>-0.09</v>
      </c>
      <c r="M67" s="211">
        <f t="shared" si="6"/>
        <v>2.9984999999999998E-2</v>
      </c>
      <c r="N67" s="211">
        <f t="shared" si="6"/>
        <v>242.89998499999999</v>
      </c>
    </row>
  </sheetData>
  <mergeCells count="6">
    <mergeCell ref="A16:A17"/>
    <mergeCell ref="B16:G16"/>
    <mergeCell ref="H16:M16"/>
    <mergeCell ref="A2:N2"/>
    <mergeCell ref="A3:N3"/>
    <mergeCell ref="A4:N4"/>
  </mergeCells>
  <pageMargins left="0.34" right="0.70866141732283472" top="0.74803149606299213" bottom="0.74803149606299213" header="0.31496062992125984" footer="0.31496062992125984"/>
  <pageSetup paperSize="9" scale="67" orientation="portrait" verticalDpi="0" r:id="rId1"/>
</worksheet>
</file>

<file path=xl/worksheets/sheet17.xml><?xml version="1.0" encoding="utf-8"?>
<worksheet xmlns="http://schemas.openxmlformats.org/spreadsheetml/2006/main" xmlns:r="http://schemas.openxmlformats.org/officeDocument/2006/relationships">
  <sheetPr>
    <pageSetUpPr fitToPage="1"/>
  </sheetPr>
  <dimension ref="B1:N19"/>
  <sheetViews>
    <sheetView showGridLines="0" zoomScale="80" zoomScaleNormal="80" zoomScaleSheetLayoutView="70" workbookViewId="0">
      <selection activeCell="H31" sqref="H31"/>
    </sheetView>
  </sheetViews>
  <sheetFormatPr defaultColWidth="9.28515625" defaultRowHeight="14.25"/>
  <cols>
    <col min="1" max="1" width="3.28515625" style="19" customWidth="1"/>
    <col min="2" max="2" width="29.42578125" style="19" customWidth="1"/>
    <col min="3" max="3" width="18.5703125" style="19" customWidth="1"/>
    <col min="4" max="4" width="14.42578125" style="19" customWidth="1"/>
    <col min="5" max="5" width="20.7109375" style="19" customWidth="1"/>
    <col min="6" max="6" width="19.7109375" style="19" customWidth="1"/>
    <col min="7" max="9" width="12.5703125" style="19" customWidth="1"/>
    <col min="10" max="10" width="18.28515625" style="19" customWidth="1"/>
    <col min="11" max="11" width="15.42578125" style="19" customWidth="1"/>
    <col min="12" max="12" width="21.5703125" style="19" customWidth="1"/>
    <col min="13" max="14" width="12.5703125" style="19" customWidth="1"/>
    <col min="15" max="16384" width="9.28515625" style="19"/>
  </cols>
  <sheetData>
    <row r="1" spans="2:14" s="5" customFormat="1" ht="15">
      <c r="B1" s="94"/>
    </row>
    <row r="2" spans="2:14" s="5" customFormat="1" ht="15" customHeight="1">
      <c r="B2" s="240" t="s">
        <v>409</v>
      </c>
      <c r="C2" s="240"/>
      <c r="D2" s="240"/>
      <c r="E2" s="240"/>
      <c r="F2" s="240"/>
      <c r="G2" s="240"/>
      <c r="H2" s="240"/>
      <c r="I2" s="240"/>
      <c r="J2" s="240"/>
      <c r="K2" s="240"/>
      <c r="L2" s="240"/>
      <c r="M2" s="240"/>
      <c r="N2" s="240"/>
    </row>
    <row r="3" spans="2:14" s="5" customFormat="1" ht="15" customHeight="1">
      <c r="B3" s="240" t="s">
        <v>414</v>
      </c>
      <c r="C3" s="240"/>
      <c r="D3" s="240"/>
      <c r="E3" s="240"/>
      <c r="F3" s="240"/>
      <c r="G3" s="240"/>
      <c r="H3" s="240"/>
      <c r="I3" s="240"/>
      <c r="J3" s="240"/>
      <c r="K3" s="240"/>
      <c r="L3" s="240"/>
      <c r="M3" s="240"/>
      <c r="N3" s="240"/>
    </row>
    <row r="4" spans="2:14" ht="15">
      <c r="B4" s="241" t="s">
        <v>297</v>
      </c>
      <c r="C4" s="241"/>
      <c r="D4" s="241"/>
      <c r="E4" s="241"/>
      <c r="F4" s="241"/>
      <c r="G4" s="241"/>
      <c r="H4" s="241"/>
      <c r="I4" s="241"/>
      <c r="J4" s="241"/>
      <c r="K4" s="241"/>
      <c r="L4" s="241"/>
      <c r="M4" s="241"/>
      <c r="N4" s="241"/>
    </row>
    <row r="5" spans="2:14" ht="15">
      <c r="B5" s="30" t="s">
        <v>298</v>
      </c>
    </row>
    <row r="6" spans="2:14" ht="15">
      <c r="B6" s="30" t="s">
        <v>12</v>
      </c>
      <c r="N6" s="42" t="s">
        <v>4</v>
      </c>
    </row>
    <row r="7" spans="2:14" s="60" customFormat="1" ht="45.75" customHeight="1">
      <c r="B7" s="233" t="s">
        <v>293</v>
      </c>
      <c r="C7" s="244" t="s">
        <v>139</v>
      </c>
      <c r="D7" s="244"/>
      <c r="E7" s="244"/>
      <c r="F7" s="244"/>
      <c r="G7" s="243" t="s">
        <v>140</v>
      </c>
      <c r="H7" s="243"/>
      <c r="I7" s="243"/>
      <c r="J7" s="243" t="s">
        <v>141</v>
      </c>
      <c r="K7" s="243"/>
      <c r="L7" s="243"/>
      <c r="M7" s="243"/>
      <c r="N7" s="243"/>
    </row>
    <row r="8" spans="2:14" ht="45">
      <c r="B8" s="248"/>
      <c r="C8" s="37" t="s">
        <v>157</v>
      </c>
      <c r="D8" s="37" t="s">
        <v>155</v>
      </c>
      <c r="E8" s="37" t="s">
        <v>216</v>
      </c>
      <c r="F8" s="37" t="s">
        <v>156</v>
      </c>
      <c r="G8" s="37" t="s">
        <v>142</v>
      </c>
      <c r="H8" s="37" t="s">
        <v>217</v>
      </c>
      <c r="I8" s="37" t="s">
        <v>143</v>
      </c>
      <c r="J8" s="37" t="s">
        <v>144</v>
      </c>
      <c r="K8" s="37" t="s">
        <v>145</v>
      </c>
      <c r="L8" s="37" t="s">
        <v>218</v>
      </c>
      <c r="M8" s="37" t="s">
        <v>219</v>
      </c>
      <c r="N8" s="29" t="s">
        <v>126</v>
      </c>
    </row>
    <row r="9" spans="2:14" ht="15">
      <c r="B9" s="2"/>
      <c r="C9" s="37"/>
      <c r="D9" s="37"/>
      <c r="E9" s="37"/>
      <c r="F9" s="37"/>
      <c r="G9" s="37"/>
      <c r="H9" s="37"/>
      <c r="I9" s="37"/>
      <c r="J9" s="37"/>
      <c r="K9" s="37"/>
      <c r="L9" s="37"/>
      <c r="M9" s="37"/>
      <c r="N9" s="29"/>
    </row>
    <row r="10" spans="2:14" ht="15">
      <c r="B10" s="73" t="s">
        <v>294</v>
      </c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</row>
    <row r="11" spans="2:14" ht="15">
      <c r="B11" s="7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</row>
    <row r="12" spans="2:14" ht="15">
      <c r="B12" s="73" t="s">
        <v>295</v>
      </c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</row>
    <row r="13" spans="2:14">
      <c r="B13" s="4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</row>
    <row r="14" spans="2:14" ht="15">
      <c r="B14" s="73" t="s">
        <v>296</v>
      </c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</row>
    <row r="15" spans="2:14">
      <c r="B15" s="71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</row>
    <row r="16" spans="2:14" ht="15">
      <c r="B16" s="73" t="s">
        <v>9</v>
      </c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</row>
    <row r="17" spans="2:14"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</row>
    <row r="18" spans="2:14" ht="15">
      <c r="B18" s="73" t="s">
        <v>126</v>
      </c>
      <c r="C18" s="116">
        <f>C10+C12+C14</f>
        <v>0</v>
      </c>
      <c r="D18" s="116">
        <f>D10+D12+D14</f>
        <v>0</v>
      </c>
      <c r="E18" s="116">
        <f>E10+E12+E14</f>
        <v>0</v>
      </c>
      <c r="F18" s="116">
        <f>F10+F12+F14</f>
        <v>0</v>
      </c>
      <c r="G18" s="116">
        <f>G10+G12+G14</f>
        <v>0</v>
      </c>
      <c r="H18" s="3"/>
      <c r="I18" s="3"/>
      <c r="J18" s="116">
        <f>J10+J12+J14</f>
        <v>0</v>
      </c>
      <c r="K18" s="116">
        <f>K10+K12+K14</f>
        <v>0</v>
      </c>
      <c r="L18" s="116">
        <f>L10+L12+L14</f>
        <v>0</v>
      </c>
      <c r="M18" s="116">
        <f>M10+M12+M14</f>
        <v>0</v>
      </c>
      <c r="N18" s="116">
        <f>N10+N12+N14</f>
        <v>0</v>
      </c>
    </row>
    <row r="19" spans="2:14" ht="15">
      <c r="B19" s="42"/>
    </row>
  </sheetData>
  <mergeCells count="7">
    <mergeCell ref="B7:B8"/>
    <mergeCell ref="C7:F7"/>
    <mergeCell ref="G7:I7"/>
    <mergeCell ref="J7:N7"/>
    <mergeCell ref="B2:N2"/>
    <mergeCell ref="B3:N3"/>
    <mergeCell ref="B4:N4"/>
  </mergeCells>
  <pageMargins left="2.2000000000000002" right="0.93" top="0.77" bottom="1" header="0.5" footer="0.5"/>
  <pageSetup paperSize="9" scale="49" orientation="landscape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>
  <sheetPr>
    <pageSetUpPr fitToPage="1"/>
  </sheetPr>
  <dimension ref="B1:Q30"/>
  <sheetViews>
    <sheetView showGridLines="0" zoomScale="80" zoomScaleNormal="80" workbookViewId="0">
      <selection activeCell="H31" sqref="H31"/>
    </sheetView>
  </sheetViews>
  <sheetFormatPr defaultColWidth="9.28515625" defaultRowHeight="14.25"/>
  <cols>
    <col min="1" max="1" width="2.42578125" style="19" customWidth="1"/>
    <col min="2" max="2" width="5" style="19" customWidth="1"/>
    <col min="3" max="3" width="40.5703125" style="19" customWidth="1"/>
    <col min="4" max="4" width="13" style="19" customWidth="1"/>
    <col min="5" max="5" width="9.85546875" style="19" customWidth="1"/>
    <col min="6" max="6" width="10.42578125" style="19" customWidth="1"/>
    <col min="7" max="7" width="9" style="19" customWidth="1"/>
    <col min="8" max="8" width="9.7109375" style="19" customWidth="1"/>
    <col min="9" max="9" width="10" style="19" customWidth="1"/>
    <col min="10" max="10" width="11.140625" style="19" customWidth="1"/>
    <col min="11" max="11" width="9.5703125" style="19" customWidth="1"/>
    <col min="12" max="12" width="9" style="19" customWidth="1"/>
    <col min="13" max="13" width="9.7109375" style="19" customWidth="1"/>
    <col min="14" max="15" width="9" style="19" customWidth="1"/>
    <col min="16" max="16" width="10" style="19" customWidth="1"/>
    <col min="17" max="17" width="11.7109375" style="19" customWidth="1"/>
    <col min="18" max="16384" width="9.28515625" style="19"/>
  </cols>
  <sheetData>
    <row r="1" spans="2:17" s="5" customFormat="1" ht="15">
      <c r="B1" s="94"/>
    </row>
    <row r="2" spans="2:17" s="5" customFormat="1" ht="15" customHeight="1">
      <c r="B2" s="240" t="s">
        <v>409</v>
      </c>
      <c r="C2" s="240"/>
      <c r="D2" s="240"/>
      <c r="E2" s="240"/>
      <c r="F2" s="240"/>
      <c r="G2" s="240"/>
      <c r="H2" s="240"/>
      <c r="I2" s="240"/>
      <c r="J2" s="240"/>
      <c r="K2" s="240"/>
      <c r="L2" s="240"/>
      <c r="M2" s="240"/>
      <c r="N2" s="240"/>
      <c r="O2" s="240"/>
      <c r="P2" s="240"/>
      <c r="Q2" s="240"/>
    </row>
    <row r="3" spans="2:17" s="5" customFormat="1" ht="15" customHeight="1">
      <c r="B3" s="240" t="s">
        <v>414</v>
      </c>
      <c r="C3" s="240"/>
      <c r="D3" s="240"/>
      <c r="E3" s="240"/>
      <c r="F3" s="240"/>
      <c r="G3" s="240"/>
      <c r="H3" s="240"/>
      <c r="I3" s="240"/>
      <c r="J3" s="240"/>
      <c r="K3" s="240"/>
      <c r="L3" s="240"/>
      <c r="M3" s="240"/>
      <c r="N3" s="240"/>
      <c r="O3" s="240"/>
      <c r="P3" s="240"/>
      <c r="Q3" s="240"/>
    </row>
    <row r="4" spans="2:17" ht="15">
      <c r="B4" s="30" t="s">
        <v>298</v>
      </c>
      <c r="I4" s="41" t="s">
        <v>301</v>
      </c>
    </row>
    <row r="5" spans="2:17" ht="15">
      <c r="B5" s="42" t="s">
        <v>12</v>
      </c>
    </row>
    <row r="6" spans="2:17" ht="30">
      <c r="B6" s="96" t="s">
        <v>182</v>
      </c>
      <c r="C6" s="96" t="s">
        <v>18</v>
      </c>
      <c r="D6" s="96" t="s">
        <v>39</v>
      </c>
      <c r="E6" s="37" t="s">
        <v>127</v>
      </c>
      <c r="F6" s="37" t="s">
        <v>128</v>
      </c>
      <c r="G6" s="95" t="s">
        <v>129</v>
      </c>
      <c r="H6" s="95" t="s">
        <v>130</v>
      </c>
      <c r="I6" s="95" t="s">
        <v>131</v>
      </c>
      <c r="J6" s="95" t="s">
        <v>132</v>
      </c>
      <c r="K6" s="95" t="s">
        <v>133</v>
      </c>
      <c r="L6" s="95" t="s">
        <v>134</v>
      </c>
      <c r="M6" s="95" t="s">
        <v>135</v>
      </c>
      <c r="N6" s="95" t="s">
        <v>136</v>
      </c>
      <c r="O6" s="95" t="s">
        <v>137</v>
      </c>
      <c r="P6" s="95" t="s">
        <v>138</v>
      </c>
      <c r="Q6" s="97" t="s">
        <v>126</v>
      </c>
    </row>
    <row r="7" spans="2:17">
      <c r="B7" s="98">
        <v>1</v>
      </c>
      <c r="C7" s="99" t="s">
        <v>160</v>
      </c>
      <c r="D7" s="98" t="s">
        <v>40</v>
      </c>
      <c r="E7" s="100"/>
      <c r="F7" s="100"/>
      <c r="G7" s="100"/>
      <c r="H7" s="100"/>
      <c r="I7" s="100"/>
      <c r="J7" s="100"/>
      <c r="K7" s="100"/>
      <c r="L7" s="100"/>
      <c r="M7" s="100"/>
      <c r="N7" s="100"/>
      <c r="O7" s="100"/>
      <c r="P7" s="100"/>
      <c r="Q7" s="100">
        <v>85</v>
      </c>
    </row>
    <row r="8" spans="2:17">
      <c r="B8" s="98">
        <f>B7+1</f>
        <v>2</v>
      </c>
      <c r="C8" s="99" t="s">
        <v>183</v>
      </c>
      <c r="D8" s="98" t="s">
        <v>40</v>
      </c>
      <c r="E8" s="100"/>
      <c r="F8" s="100"/>
      <c r="G8" s="100"/>
      <c r="H8" s="100"/>
      <c r="I8" s="100"/>
      <c r="J8" s="100"/>
      <c r="K8" s="100"/>
      <c r="L8" s="100"/>
      <c r="M8" s="100"/>
      <c r="N8" s="100"/>
      <c r="O8" s="100"/>
      <c r="P8" s="100"/>
      <c r="Q8" s="101"/>
    </row>
    <row r="9" spans="2:17">
      <c r="B9" s="98">
        <f t="shared" ref="B9:B25" si="0">B8+1</f>
        <v>3</v>
      </c>
      <c r="C9" s="99" t="s">
        <v>184</v>
      </c>
      <c r="D9" s="98" t="s">
        <v>40</v>
      </c>
      <c r="E9" s="100"/>
      <c r="F9" s="100"/>
      <c r="G9" s="100"/>
      <c r="H9" s="100"/>
      <c r="I9" s="100"/>
      <c r="J9" s="100"/>
      <c r="K9" s="100"/>
      <c r="L9" s="100"/>
      <c r="M9" s="100"/>
      <c r="N9" s="100"/>
      <c r="O9" s="100"/>
      <c r="P9" s="100"/>
      <c r="Q9" s="100">
        <v>96.14</v>
      </c>
    </row>
    <row r="10" spans="2:17">
      <c r="B10" s="98">
        <f t="shared" si="0"/>
        <v>4</v>
      </c>
      <c r="C10" s="99" t="s">
        <v>41</v>
      </c>
      <c r="D10" s="98" t="s">
        <v>40</v>
      </c>
      <c r="E10" s="100"/>
      <c r="F10" s="100"/>
      <c r="G10" s="100"/>
      <c r="H10" s="100"/>
      <c r="I10" s="100"/>
      <c r="J10" s="100"/>
      <c r="K10" s="100"/>
      <c r="L10" s="100"/>
      <c r="M10" s="100"/>
      <c r="N10" s="100"/>
      <c r="O10" s="100"/>
      <c r="P10" s="100"/>
      <c r="Q10" s="100"/>
    </row>
    <row r="11" spans="2:17">
      <c r="B11" s="98">
        <f t="shared" si="0"/>
        <v>5</v>
      </c>
      <c r="C11" s="99" t="s">
        <v>185</v>
      </c>
      <c r="D11" s="98" t="s">
        <v>40</v>
      </c>
      <c r="E11" s="100"/>
      <c r="F11" s="100"/>
      <c r="G11" s="100"/>
      <c r="H11" s="100"/>
      <c r="I11" s="100"/>
      <c r="J11" s="100"/>
      <c r="K11" s="100"/>
      <c r="L11" s="100"/>
      <c r="M11" s="100"/>
      <c r="N11" s="100"/>
      <c r="O11" s="100"/>
      <c r="P11" s="100"/>
      <c r="Q11" s="100"/>
    </row>
    <row r="12" spans="2:17">
      <c r="B12" s="98">
        <f t="shared" si="0"/>
        <v>6</v>
      </c>
      <c r="C12" s="99" t="s">
        <v>186</v>
      </c>
      <c r="D12" s="98" t="s">
        <v>40</v>
      </c>
      <c r="E12" s="100"/>
      <c r="F12" s="100"/>
      <c r="G12" s="100"/>
      <c r="H12" s="100"/>
      <c r="I12" s="100"/>
      <c r="J12" s="100"/>
      <c r="K12" s="100"/>
      <c r="L12" s="100"/>
      <c r="M12" s="100"/>
      <c r="N12" s="100"/>
      <c r="O12" s="100"/>
      <c r="P12" s="100"/>
      <c r="Q12" s="100"/>
    </row>
    <row r="13" spans="2:17" ht="16.5">
      <c r="B13" s="98">
        <f t="shared" si="0"/>
        <v>7</v>
      </c>
      <c r="C13" s="93" t="s">
        <v>187</v>
      </c>
      <c r="D13" s="102" t="s">
        <v>42</v>
      </c>
      <c r="E13" s="144">
        <v>0</v>
      </c>
      <c r="F13" s="144">
        <v>0</v>
      </c>
      <c r="G13" s="144">
        <v>3.3715130000000002</v>
      </c>
      <c r="H13" s="144">
        <v>70.083365999999998</v>
      </c>
      <c r="I13" s="144">
        <v>108.316312</v>
      </c>
      <c r="J13" s="144">
        <v>96.139140999999995</v>
      </c>
      <c r="K13" s="144">
        <v>116.252753</v>
      </c>
      <c r="L13" s="144">
        <v>35.397528999999999</v>
      </c>
      <c r="M13" s="144">
        <v>1.3846020000000001</v>
      </c>
      <c r="N13" s="144">
        <v>0.55757599999999996</v>
      </c>
      <c r="O13" s="144">
        <v>0.30824099999999999</v>
      </c>
      <c r="P13" s="144">
        <v>0.35984100000000002</v>
      </c>
      <c r="Q13" s="144">
        <f>SUM(E13:P13)</f>
        <v>432.17087399999997</v>
      </c>
    </row>
    <row r="14" spans="2:17" ht="16.5">
      <c r="B14" s="98">
        <f t="shared" si="0"/>
        <v>8</v>
      </c>
      <c r="C14" s="93" t="s">
        <v>188</v>
      </c>
      <c r="D14" s="102" t="s">
        <v>42</v>
      </c>
      <c r="E14" s="144">
        <v>0.15651379999999998</v>
      </c>
      <c r="F14" s="144">
        <v>0.16884700000000033</v>
      </c>
      <c r="G14" s="144">
        <v>0.28901889999999991</v>
      </c>
      <c r="H14" s="144">
        <v>1.9070682999999971</v>
      </c>
      <c r="I14" s="144">
        <v>2.6005935</v>
      </c>
      <c r="J14" s="144">
        <v>2.8110059000000058</v>
      </c>
      <c r="K14" s="144">
        <v>3.0031458999999909</v>
      </c>
      <c r="L14" s="144">
        <v>1.0391416999999956</v>
      </c>
      <c r="M14" s="144">
        <v>0.23042980000000354</v>
      </c>
      <c r="N14" s="144">
        <v>0.14990899999999999</v>
      </c>
      <c r="O14" s="144">
        <v>0.12608120000000261</v>
      </c>
      <c r="P14" s="144">
        <v>0.15309849999999423</v>
      </c>
      <c r="Q14" s="144">
        <f>SUM(E14:P14)</f>
        <v>12.63485349999999</v>
      </c>
    </row>
    <row r="15" spans="2:17" ht="15">
      <c r="B15" s="98">
        <f t="shared" si="0"/>
        <v>9</v>
      </c>
      <c r="C15" s="93" t="s">
        <v>203</v>
      </c>
      <c r="D15" s="102" t="s">
        <v>42</v>
      </c>
      <c r="E15" s="115">
        <f>E13-E14</f>
        <v>-0.15651379999999998</v>
      </c>
      <c r="F15" s="115">
        <f t="shared" ref="F15:Q15" si="1">F13-F14</f>
        <v>-0.16884700000000033</v>
      </c>
      <c r="G15" s="115">
        <f t="shared" si="1"/>
        <v>3.0824941000000003</v>
      </c>
      <c r="H15" s="115">
        <f t="shared" si="1"/>
        <v>68.176297700000006</v>
      </c>
      <c r="I15" s="115">
        <f t="shared" si="1"/>
        <v>105.71571849999999</v>
      </c>
      <c r="J15" s="115">
        <f t="shared" si="1"/>
        <v>93.328135099999983</v>
      </c>
      <c r="K15" s="115">
        <f t="shared" si="1"/>
        <v>113.24960710000001</v>
      </c>
      <c r="L15" s="115">
        <f t="shared" si="1"/>
        <v>34.358387300000004</v>
      </c>
      <c r="M15" s="115">
        <f t="shared" si="1"/>
        <v>1.1541721999999965</v>
      </c>
      <c r="N15" s="115">
        <f t="shared" si="1"/>
        <v>0.407667</v>
      </c>
      <c r="O15" s="115">
        <f t="shared" si="1"/>
        <v>0.18215979999999737</v>
      </c>
      <c r="P15" s="115">
        <f t="shared" si="1"/>
        <v>0.2067425000000058</v>
      </c>
      <c r="Q15" s="115">
        <f t="shared" si="1"/>
        <v>419.53602050000001</v>
      </c>
    </row>
    <row r="16" spans="2:17">
      <c r="B16" s="98">
        <f t="shared" si="0"/>
        <v>10</v>
      </c>
      <c r="C16" s="93" t="s">
        <v>204</v>
      </c>
      <c r="D16" s="102" t="s">
        <v>42</v>
      </c>
      <c r="E16" s="103"/>
      <c r="F16" s="103"/>
      <c r="G16" s="103"/>
      <c r="H16" s="103"/>
      <c r="I16" s="103"/>
      <c r="J16" s="103"/>
      <c r="K16" s="103"/>
      <c r="L16" s="103"/>
      <c r="M16" s="103"/>
      <c r="N16" s="103"/>
      <c r="O16" s="103"/>
      <c r="P16" s="103"/>
      <c r="Q16" s="104"/>
    </row>
    <row r="17" spans="2:17">
      <c r="B17" s="98">
        <f t="shared" si="0"/>
        <v>11</v>
      </c>
      <c r="C17" s="93" t="s">
        <v>189</v>
      </c>
      <c r="D17" s="102" t="s">
        <v>193</v>
      </c>
      <c r="E17" s="105"/>
      <c r="F17" s="105"/>
      <c r="G17" s="105"/>
      <c r="H17" s="105"/>
      <c r="I17" s="105"/>
      <c r="J17" s="105"/>
      <c r="K17" s="105"/>
      <c r="L17" s="105"/>
      <c r="M17" s="105"/>
      <c r="N17" s="105"/>
      <c r="O17" s="105"/>
      <c r="P17" s="105"/>
      <c r="Q17" s="105"/>
    </row>
    <row r="18" spans="2:17" ht="16.5">
      <c r="B18" s="98">
        <f t="shared" si="0"/>
        <v>12</v>
      </c>
      <c r="C18" s="93" t="s">
        <v>205</v>
      </c>
      <c r="D18" s="102" t="s">
        <v>194</v>
      </c>
      <c r="E18" s="145">
        <v>22.113333300000001</v>
      </c>
      <c r="F18" s="145">
        <v>22.113333300000001</v>
      </c>
      <c r="G18" s="145">
        <v>22.113333300000001</v>
      </c>
      <c r="H18" s="145">
        <v>22.113333300000001</v>
      </c>
      <c r="I18" s="145">
        <v>22.113333300000001</v>
      </c>
      <c r="J18" s="145">
        <v>22.113333300000001</v>
      </c>
      <c r="K18" s="145">
        <v>22.113333300000001</v>
      </c>
      <c r="L18" s="145">
        <v>22.113333300000001</v>
      </c>
      <c r="M18" s="145">
        <v>22.113333300000001</v>
      </c>
      <c r="N18" s="145">
        <v>22.113333300000001</v>
      </c>
      <c r="O18" s="145">
        <v>22.113333300000001</v>
      </c>
      <c r="P18" s="145">
        <v>22.113333300000001</v>
      </c>
      <c r="Q18" s="145">
        <f>SUM(E18:P18)</f>
        <v>265.35999959999998</v>
      </c>
    </row>
    <row r="19" spans="2:17" ht="16.5">
      <c r="B19" s="98">
        <f t="shared" si="0"/>
        <v>13</v>
      </c>
      <c r="C19" s="93" t="s">
        <v>299</v>
      </c>
      <c r="D19" s="102" t="s">
        <v>193</v>
      </c>
      <c r="E19" s="146">
        <v>0</v>
      </c>
      <c r="F19" s="146">
        <v>0</v>
      </c>
      <c r="G19" s="146">
        <v>0</v>
      </c>
      <c r="H19" s="146">
        <v>0</v>
      </c>
      <c r="I19" s="146">
        <v>0</v>
      </c>
      <c r="J19" s="146">
        <v>0</v>
      </c>
      <c r="K19" s="146">
        <v>0</v>
      </c>
      <c r="L19" s="146">
        <v>0</v>
      </c>
      <c r="M19" s="146">
        <v>0</v>
      </c>
      <c r="N19" s="146">
        <v>0</v>
      </c>
      <c r="O19" s="146">
        <v>0</v>
      </c>
      <c r="P19" s="146">
        <v>0</v>
      </c>
      <c r="Q19" s="146">
        <v>0</v>
      </c>
    </row>
    <row r="20" spans="2:17" ht="16.5">
      <c r="B20" s="98">
        <f t="shared" si="0"/>
        <v>14</v>
      </c>
      <c r="C20" s="93" t="s">
        <v>190</v>
      </c>
      <c r="D20" s="102" t="s">
        <v>194</v>
      </c>
      <c r="E20" s="145">
        <v>22.113333300000001</v>
      </c>
      <c r="F20" s="145">
        <v>22.113333300000001</v>
      </c>
      <c r="G20" s="145">
        <v>22.113333300000001</v>
      </c>
      <c r="H20" s="145">
        <v>22.113333300000001</v>
      </c>
      <c r="I20" s="145">
        <v>22.113333300000001</v>
      </c>
      <c r="J20" s="145">
        <v>22.113333300000001</v>
      </c>
      <c r="K20" s="145">
        <v>22.113333300000001</v>
      </c>
      <c r="L20" s="145">
        <v>22.113333300000001</v>
      </c>
      <c r="M20" s="145">
        <v>22.113333300000001</v>
      </c>
      <c r="N20" s="145">
        <v>22.113333300000001</v>
      </c>
      <c r="O20" s="145">
        <v>22.113333300000001</v>
      </c>
      <c r="P20" s="145">
        <v>22.113333300000001</v>
      </c>
      <c r="Q20" s="145">
        <f>SUM(E20:P20)</f>
        <v>265.35999959999998</v>
      </c>
    </row>
    <row r="21" spans="2:17">
      <c r="B21" s="98">
        <f t="shared" si="0"/>
        <v>15</v>
      </c>
      <c r="C21" s="93" t="s">
        <v>300</v>
      </c>
      <c r="D21" s="102" t="s">
        <v>194</v>
      </c>
      <c r="E21" s="106"/>
      <c r="F21" s="106"/>
      <c r="G21" s="106"/>
      <c r="H21" s="106"/>
      <c r="I21" s="106"/>
      <c r="J21" s="106"/>
      <c r="K21" s="106"/>
      <c r="L21" s="106"/>
      <c r="M21" s="106"/>
      <c r="N21" s="106"/>
      <c r="O21" s="106"/>
      <c r="P21" s="106"/>
      <c r="Q21" s="101"/>
    </row>
    <row r="22" spans="2:17">
      <c r="B22" s="98">
        <f t="shared" si="0"/>
        <v>16</v>
      </c>
      <c r="C22" s="93" t="s">
        <v>206</v>
      </c>
      <c r="D22" s="102" t="s">
        <v>194</v>
      </c>
      <c r="E22" s="106"/>
      <c r="F22" s="106"/>
      <c r="G22" s="106"/>
      <c r="H22" s="106"/>
      <c r="I22" s="106"/>
      <c r="J22" s="106"/>
      <c r="K22" s="106"/>
      <c r="L22" s="106"/>
      <c r="M22" s="106"/>
      <c r="N22" s="106"/>
      <c r="O22" s="106"/>
      <c r="P22" s="106"/>
      <c r="Q22" s="101"/>
    </row>
    <row r="23" spans="2:17">
      <c r="B23" s="98">
        <f t="shared" si="0"/>
        <v>17</v>
      </c>
      <c r="C23" s="93" t="s">
        <v>191</v>
      </c>
      <c r="D23" s="102" t="s">
        <v>194</v>
      </c>
      <c r="E23" s="106"/>
      <c r="F23" s="106"/>
      <c r="G23" s="106"/>
      <c r="H23" s="106"/>
      <c r="I23" s="106"/>
      <c r="J23" s="106"/>
      <c r="K23" s="106"/>
      <c r="L23" s="106"/>
      <c r="M23" s="106"/>
      <c r="N23" s="106"/>
      <c r="O23" s="106"/>
      <c r="P23" s="106"/>
      <c r="Q23" s="101"/>
    </row>
    <row r="24" spans="2:17" ht="16.5">
      <c r="B24" s="98">
        <f t="shared" si="0"/>
        <v>18</v>
      </c>
      <c r="C24" s="107" t="s">
        <v>147</v>
      </c>
      <c r="D24" s="102" t="s">
        <v>194</v>
      </c>
      <c r="E24" s="147">
        <f>E20+E21+E22+E23</f>
        <v>22.113333300000001</v>
      </c>
      <c r="F24" s="147">
        <f t="shared" ref="F24:Q24" si="2">F20+F21+F22+F23</f>
        <v>22.113333300000001</v>
      </c>
      <c r="G24" s="147">
        <f t="shared" si="2"/>
        <v>22.113333300000001</v>
      </c>
      <c r="H24" s="147">
        <f t="shared" si="2"/>
        <v>22.113333300000001</v>
      </c>
      <c r="I24" s="147">
        <f t="shared" si="2"/>
        <v>22.113333300000001</v>
      </c>
      <c r="J24" s="147">
        <f t="shared" si="2"/>
        <v>22.113333300000001</v>
      </c>
      <c r="K24" s="147">
        <f t="shared" si="2"/>
        <v>22.113333300000001</v>
      </c>
      <c r="L24" s="147">
        <f t="shared" si="2"/>
        <v>22.113333300000001</v>
      </c>
      <c r="M24" s="147">
        <f t="shared" si="2"/>
        <v>22.113333300000001</v>
      </c>
      <c r="N24" s="147">
        <f t="shared" si="2"/>
        <v>22.113333300000001</v>
      </c>
      <c r="O24" s="147">
        <f t="shared" si="2"/>
        <v>22.113333300000001</v>
      </c>
      <c r="P24" s="147">
        <f t="shared" si="2"/>
        <v>22.113333300000001</v>
      </c>
      <c r="Q24" s="147">
        <f t="shared" si="2"/>
        <v>265.35999959999998</v>
      </c>
    </row>
    <row r="25" spans="2:17" ht="15">
      <c r="B25" s="98">
        <f t="shared" si="0"/>
        <v>19</v>
      </c>
      <c r="C25" s="109" t="s">
        <v>192</v>
      </c>
      <c r="D25" s="102" t="s">
        <v>194</v>
      </c>
      <c r="E25" s="106"/>
      <c r="F25" s="100"/>
      <c r="G25" s="100"/>
      <c r="H25" s="100"/>
      <c r="I25" s="100"/>
      <c r="J25" s="100"/>
      <c r="K25" s="100"/>
      <c r="L25" s="100"/>
      <c r="M25" s="101"/>
      <c r="N25" s="101"/>
      <c r="O25" s="101"/>
      <c r="P25" s="101"/>
      <c r="Q25" s="108"/>
    </row>
    <row r="26" spans="2:17" ht="33">
      <c r="B26" s="148"/>
      <c r="C26" s="149" t="s">
        <v>343</v>
      </c>
      <c r="D26" s="150" t="s">
        <v>194</v>
      </c>
      <c r="E26" s="151"/>
      <c r="F26" s="144"/>
      <c r="G26" s="144"/>
      <c r="H26" s="144"/>
      <c r="I26" s="144"/>
      <c r="J26" s="144"/>
      <c r="K26" s="144"/>
      <c r="L26" s="144"/>
      <c r="M26" s="145"/>
      <c r="N26" s="145"/>
      <c r="O26" s="145"/>
      <c r="P26" s="145"/>
      <c r="Q26" s="152">
        <v>0</v>
      </c>
    </row>
    <row r="27" spans="2:17" ht="33">
      <c r="B27" s="148"/>
      <c r="C27" s="149" t="s">
        <v>344</v>
      </c>
      <c r="D27" s="150" t="s">
        <v>194</v>
      </c>
      <c r="E27" s="151"/>
      <c r="F27" s="144"/>
      <c r="G27" s="144"/>
      <c r="H27" s="144"/>
      <c r="I27" s="144"/>
      <c r="J27" s="144"/>
      <c r="K27" s="144"/>
      <c r="L27" s="144"/>
      <c r="M27" s="145"/>
      <c r="N27" s="145"/>
      <c r="O27" s="145"/>
      <c r="P27" s="145"/>
      <c r="Q27" s="152">
        <v>4.4299999999999988</v>
      </c>
    </row>
    <row r="28" spans="2:17" ht="16.5">
      <c r="B28" s="148"/>
      <c r="C28" s="149" t="s">
        <v>93</v>
      </c>
      <c r="D28" s="150" t="s">
        <v>194</v>
      </c>
      <c r="E28" s="151"/>
      <c r="F28" s="144"/>
      <c r="G28" s="144"/>
      <c r="H28" s="144"/>
      <c r="I28" s="144"/>
      <c r="J28" s="144"/>
      <c r="K28" s="144"/>
      <c r="L28" s="144"/>
      <c r="M28" s="145"/>
      <c r="N28" s="145"/>
      <c r="O28" s="145"/>
      <c r="P28" s="145"/>
      <c r="Q28" s="152">
        <v>0</v>
      </c>
    </row>
    <row r="29" spans="2:17" ht="15">
      <c r="B29" s="102">
        <f>B25+1</f>
        <v>20</v>
      </c>
      <c r="C29" s="92" t="s">
        <v>159</v>
      </c>
      <c r="D29" s="102" t="s">
        <v>194</v>
      </c>
      <c r="E29" s="115">
        <f>E24+E25</f>
        <v>22.113333300000001</v>
      </c>
      <c r="F29" s="115">
        <f t="shared" ref="F29:P29" si="3">F24+F25</f>
        <v>22.113333300000001</v>
      </c>
      <c r="G29" s="115">
        <f t="shared" si="3"/>
        <v>22.113333300000001</v>
      </c>
      <c r="H29" s="115">
        <f t="shared" si="3"/>
        <v>22.113333300000001</v>
      </c>
      <c r="I29" s="115">
        <f t="shared" si="3"/>
        <v>22.113333300000001</v>
      </c>
      <c r="J29" s="115">
        <f t="shared" si="3"/>
        <v>22.113333300000001</v>
      </c>
      <c r="K29" s="115">
        <f t="shared" si="3"/>
        <v>22.113333300000001</v>
      </c>
      <c r="L29" s="115">
        <f t="shared" si="3"/>
        <v>22.113333300000001</v>
      </c>
      <c r="M29" s="115">
        <f t="shared" si="3"/>
        <v>22.113333300000001</v>
      </c>
      <c r="N29" s="115">
        <f t="shared" si="3"/>
        <v>22.113333300000001</v>
      </c>
      <c r="O29" s="115">
        <f t="shared" si="3"/>
        <v>22.113333300000001</v>
      </c>
      <c r="P29" s="115">
        <f t="shared" si="3"/>
        <v>22.113333300000001</v>
      </c>
      <c r="Q29" s="115">
        <f>Q24+Q25+Q26+Q27+Q28</f>
        <v>269.78999959999999</v>
      </c>
    </row>
    <row r="30" spans="2:17" ht="15">
      <c r="B30" s="102">
        <f>B29+1</f>
        <v>21</v>
      </c>
      <c r="C30" s="92" t="s">
        <v>195</v>
      </c>
      <c r="D30" s="102" t="s">
        <v>194</v>
      </c>
      <c r="E30" s="106"/>
      <c r="F30" s="106"/>
      <c r="G30" s="106"/>
      <c r="H30" s="106"/>
      <c r="I30" s="106"/>
      <c r="J30" s="106"/>
      <c r="K30" s="106"/>
      <c r="L30" s="106"/>
      <c r="M30" s="106"/>
      <c r="N30" s="106"/>
      <c r="O30" s="106"/>
      <c r="P30" s="106"/>
      <c r="Q30" s="110"/>
    </row>
  </sheetData>
  <mergeCells count="2">
    <mergeCell ref="B2:Q2"/>
    <mergeCell ref="B3:Q3"/>
  </mergeCells>
  <pageMargins left="0.7" right="0.7" top="0.75" bottom="0.75" header="0.3" footer="0.3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B2:P24"/>
  <sheetViews>
    <sheetView showGridLines="0" topLeftCell="B1" zoomScale="89" zoomScaleNormal="89" workbookViewId="0">
      <selection activeCell="H31" sqref="H31"/>
    </sheetView>
  </sheetViews>
  <sheetFormatPr defaultColWidth="9.28515625" defaultRowHeight="14.25"/>
  <cols>
    <col min="1" max="1" width="3" style="19" customWidth="1"/>
    <col min="2" max="2" width="6.28515625" style="19" customWidth="1"/>
    <col min="3" max="3" width="37.28515625" style="19" customWidth="1"/>
    <col min="4" max="4" width="14.28515625" style="19" customWidth="1"/>
    <col min="5" max="5" width="11.5703125" style="19" customWidth="1"/>
    <col min="6" max="6" width="13.85546875" style="19" customWidth="1"/>
    <col min="7" max="7" width="13.140625" style="19" customWidth="1"/>
    <col min="8" max="8" width="14.140625" style="19" customWidth="1"/>
    <col min="9" max="9" width="15.5703125" style="19" customWidth="1"/>
    <col min="10" max="10" width="13.85546875" style="19" customWidth="1"/>
    <col min="11" max="11" width="12.42578125" style="19" customWidth="1"/>
    <col min="12" max="12" width="11.42578125" style="19" customWidth="1"/>
    <col min="13" max="13" width="13.5703125" style="19" customWidth="1"/>
    <col min="14" max="14" width="11.85546875" style="19" customWidth="1"/>
    <col min="15" max="15" width="12" style="19" customWidth="1"/>
    <col min="16" max="16" width="15.7109375" style="19" customWidth="1"/>
    <col min="17" max="16384" width="9.28515625" style="19"/>
  </cols>
  <sheetData>
    <row r="2" spans="2:16"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</row>
    <row r="3" spans="2:16" ht="15.75">
      <c r="B3" s="223" t="s">
        <v>409</v>
      </c>
      <c r="C3" s="223"/>
      <c r="D3" s="223"/>
      <c r="E3" s="223"/>
      <c r="F3" s="223"/>
      <c r="G3" s="223"/>
      <c r="H3" s="223"/>
      <c r="I3" s="223"/>
      <c r="J3" s="223"/>
      <c r="K3" s="223"/>
      <c r="L3" s="223"/>
      <c r="M3" s="223"/>
      <c r="N3" s="223"/>
      <c r="O3" s="223"/>
      <c r="P3" s="223"/>
    </row>
    <row r="4" spans="2:16" s="4" customFormat="1" ht="15.75">
      <c r="B4" s="223" t="s">
        <v>414</v>
      </c>
      <c r="C4" s="223"/>
      <c r="D4" s="223"/>
      <c r="E4" s="223"/>
      <c r="F4" s="223"/>
      <c r="G4" s="223"/>
      <c r="H4" s="223"/>
      <c r="I4" s="223"/>
      <c r="J4" s="223"/>
      <c r="K4" s="223"/>
      <c r="L4" s="223"/>
      <c r="M4" s="223"/>
      <c r="N4" s="223"/>
      <c r="O4" s="223"/>
      <c r="P4" s="223"/>
    </row>
    <row r="5" spans="2:16" ht="15.75">
      <c r="B5" s="223" t="s">
        <v>428</v>
      </c>
      <c r="C5" s="223"/>
      <c r="D5" s="223"/>
      <c r="E5" s="223"/>
      <c r="F5" s="223"/>
      <c r="G5" s="223"/>
      <c r="H5" s="223"/>
      <c r="I5" s="223"/>
      <c r="J5" s="223"/>
      <c r="K5" s="223"/>
      <c r="L5" s="223"/>
      <c r="M5" s="223"/>
      <c r="N5" s="223"/>
      <c r="O5" s="223"/>
      <c r="P5" s="223"/>
    </row>
    <row r="7" spans="2:16" ht="12.75" customHeight="1">
      <c r="B7" s="230" t="s">
        <v>182</v>
      </c>
      <c r="C7" s="233" t="s">
        <v>18</v>
      </c>
      <c r="D7" s="227" t="s">
        <v>39</v>
      </c>
      <c r="E7" s="233" t="s">
        <v>1</v>
      </c>
      <c r="F7" s="237" t="s">
        <v>227</v>
      </c>
      <c r="G7" s="238"/>
      <c r="H7" s="239"/>
      <c r="I7" s="237" t="s">
        <v>226</v>
      </c>
      <c r="J7" s="238"/>
      <c r="K7" s="235" t="s">
        <v>220</v>
      </c>
      <c r="L7" s="235"/>
      <c r="M7" s="235"/>
      <c r="N7" s="235"/>
      <c r="O7" s="235"/>
      <c r="P7" s="235" t="s">
        <v>11</v>
      </c>
    </row>
    <row r="8" spans="2:16" ht="30" customHeight="1">
      <c r="B8" s="231"/>
      <c r="C8" s="233"/>
      <c r="D8" s="228"/>
      <c r="E8" s="233"/>
      <c r="F8" s="21" t="s">
        <v>302</v>
      </c>
      <c r="G8" s="21" t="s">
        <v>228</v>
      </c>
      <c r="H8" s="21" t="s">
        <v>197</v>
      </c>
      <c r="I8" s="21" t="s">
        <v>302</v>
      </c>
      <c r="J8" s="21" t="s">
        <v>232</v>
      </c>
      <c r="K8" s="21" t="s">
        <v>221</v>
      </c>
      <c r="L8" s="21" t="s">
        <v>222</v>
      </c>
      <c r="M8" s="21" t="s">
        <v>223</v>
      </c>
      <c r="N8" s="21" t="s">
        <v>224</v>
      </c>
      <c r="O8" s="21" t="s">
        <v>225</v>
      </c>
      <c r="P8" s="235"/>
    </row>
    <row r="9" spans="2:16" ht="15">
      <c r="B9" s="232"/>
      <c r="C9" s="234"/>
      <c r="D9" s="229"/>
      <c r="E9" s="234"/>
      <c r="F9" s="21" t="s">
        <v>10</v>
      </c>
      <c r="G9" s="21" t="s">
        <v>12</v>
      </c>
      <c r="H9" s="21" t="s">
        <v>229</v>
      </c>
      <c r="I9" s="21" t="s">
        <v>10</v>
      </c>
      <c r="J9" s="21" t="s">
        <v>5</v>
      </c>
      <c r="K9" s="21" t="s">
        <v>8</v>
      </c>
      <c r="L9" s="21" t="s">
        <v>8</v>
      </c>
      <c r="M9" s="21" t="s">
        <v>8</v>
      </c>
      <c r="N9" s="21" t="s">
        <v>8</v>
      </c>
      <c r="O9" s="21" t="s">
        <v>8</v>
      </c>
      <c r="P9" s="236"/>
    </row>
    <row r="10" spans="2:16" ht="15">
      <c r="B10" s="28" t="s">
        <v>55</v>
      </c>
      <c r="C10" s="29" t="s">
        <v>235</v>
      </c>
      <c r="D10" s="26"/>
      <c r="E10" s="26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7"/>
    </row>
    <row r="11" spans="2:16" ht="15">
      <c r="B11" s="2">
        <v>1</v>
      </c>
      <c r="C11" s="3" t="s">
        <v>36</v>
      </c>
      <c r="D11" s="2" t="s">
        <v>194</v>
      </c>
      <c r="E11" s="23" t="s">
        <v>257</v>
      </c>
      <c r="F11" s="165">
        <f>'F2'!E14</f>
        <v>30.105899999999998</v>
      </c>
      <c r="G11" s="165">
        <f>'F2'!F14</f>
        <v>49.736087693150708</v>
      </c>
      <c r="H11" s="165">
        <f>'F2'!G14</f>
        <v>49.736087693150708</v>
      </c>
      <c r="I11" s="165">
        <f>'F2'!H14</f>
        <v>31.794840000000001</v>
      </c>
      <c r="J11" s="165">
        <f>'F2'!I14</f>
        <v>51.659573195838526</v>
      </c>
      <c r="K11" s="165">
        <f>'F2'!J14</f>
        <v>44.272013560234335</v>
      </c>
      <c r="L11" s="165">
        <f>'F2'!K14</f>
        <v>46.656597990294088</v>
      </c>
      <c r="M11" s="165">
        <f>'F2'!L14</f>
        <v>49.134577748296778</v>
      </c>
      <c r="N11" s="165">
        <f>'F2'!M14</f>
        <v>51.729831743447306</v>
      </c>
      <c r="O11" s="165">
        <f>'F2'!N14</f>
        <v>54.474577930103457</v>
      </c>
      <c r="P11" s="133"/>
    </row>
    <row r="12" spans="2:16" ht="15">
      <c r="B12" s="2">
        <f t="shared" ref="B12:B17" si="0">B11+1</f>
        <v>2</v>
      </c>
      <c r="C12" s="24" t="s">
        <v>153</v>
      </c>
      <c r="D12" s="2" t="s">
        <v>194</v>
      </c>
      <c r="E12" s="23" t="s">
        <v>23</v>
      </c>
      <c r="F12" s="166">
        <v>81.489999999999995</v>
      </c>
      <c r="G12" s="166">
        <f>'F4'!K21</f>
        <v>81.509633294277791</v>
      </c>
      <c r="H12" s="165">
        <f>'F4'!K21-'F4'!L21</f>
        <v>81.509633294277791</v>
      </c>
      <c r="I12" s="167">
        <v>79.59</v>
      </c>
      <c r="J12" s="165">
        <f>'F4'!K38-'F4'!L38</f>
        <v>81.547966720000005</v>
      </c>
      <c r="K12" s="165">
        <f>'F4'!K47-'F4'!L47</f>
        <v>26.605678695678826</v>
      </c>
      <c r="L12" s="165">
        <f>'F4'!K56-'F4'!L56</f>
        <v>27.381420631162694</v>
      </c>
      <c r="M12" s="165">
        <f>'F4'!K65-'F4'!L65</f>
        <v>27.681420631162698</v>
      </c>
      <c r="N12" s="165">
        <f>'F4'!K74-'F4'!L74</f>
        <v>27.681420631162695</v>
      </c>
      <c r="O12" s="165">
        <f>'F4'!K83-'F4'!L83</f>
        <v>27.681420631162695</v>
      </c>
      <c r="P12" s="133"/>
    </row>
    <row r="13" spans="2:16" ht="15">
      <c r="B13" s="2">
        <f t="shared" si="0"/>
        <v>3</v>
      </c>
      <c r="C13" s="3" t="s">
        <v>233</v>
      </c>
      <c r="D13" s="2" t="s">
        <v>194</v>
      </c>
      <c r="E13" s="22" t="s">
        <v>29</v>
      </c>
      <c r="F13" s="165">
        <f>'F5'!D22</f>
        <v>61.4</v>
      </c>
      <c r="G13" s="165">
        <f>'F5'!E22</f>
        <v>66.074670695929569</v>
      </c>
      <c r="H13" s="165">
        <f>'F5'!F22</f>
        <v>66.074670695929569</v>
      </c>
      <c r="I13" s="165">
        <f>'F5'!G22</f>
        <v>54.07</v>
      </c>
      <c r="J13" s="165">
        <f>'F5'!J22</f>
        <v>57.478569687049664</v>
      </c>
      <c r="K13" s="165">
        <f>'F5'!K22</f>
        <v>53.067648770850035</v>
      </c>
      <c r="L13" s="165">
        <f>'F5'!L22</f>
        <v>51.625210705181125</v>
      </c>
      <c r="M13" s="165">
        <f>'F5'!M22</f>
        <v>49.174005800802526</v>
      </c>
      <c r="N13" s="165">
        <f>'F5'!N22</f>
        <v>46.350500896423931</v>
      </c>
      <c r="O13" s="165">
        <f>'F5'!O22</f>
        <v>43.526995992045336</v>
      </c>
      <c r="P13" s="133"/>
    </row>
    <row r="14" spans="2:16" ht="15">
      <c r="B14" s="2">
        <f t="shared" si="0"/>
        <v>4</v>
      </c>
      <c r="C14" s="24" t="s">
        <v>37</v>
      </c>
      <c r="D14" s="2" t="s">
        <v>194</v>
      </c>
      <c r="E14" s="22" t="s">
        <v>30</v>
      </c>
      <c r="F14" s="165">
        <f>'F6'!D20</f>
        <v>4.66</v>
      </c>
      <c r="G14" s="165">
        <f ca="1">'F6'!E20</f>
        <v>5.8857484644637488</v>
      </c>
      <c r="H14" s="165">
        <f ca="1">'F6'!F20</f>
        <v>5.8857484644637488</v>
      </c>
      <c r="I14" s="165">
        <f>'F6'!G20</f>
        <v>4.72</v>
      </c>
      <c r="J14" s="165">
        <f ca="1">'F6'!H20</f>
        <v>6.2286813577856872</v>
      </c>
      <c r="K14" s="165">
        <f ca="1">'F6'!I20</f>
        <v>4.9299052202140325</v>
      </c>
      <c r="L14" s="165">
        <f ca="1">'F6'!J20</f>
        <v>5.0140219510169057</v>
      </c>
      <c r="M14" s="165">
        <f ca="1">'F6'!K20</f>
        <v>5.0536039648294047</v>
      </c>
      <c r="N14" s="165">
        <f ca="1">'F6'!L20</f>
        <v>5.0729412055172238</v>
      </c>
      <c r="O14" s="165">
        <f ca="1">'F6'!M20</f>
        <v>5.0954533307722478</v>
      </c>
      <c r="P14" s="133"/>
    </row>
    <row r="15" spans="2:16" ht="15">
      <c r="B15" s="2">
        <f t="shared" si="0"/>
        <v>5</v>
      </c>
      <c r="C15" s="3" t="s">
        <v>234</v>
      </c>
      <c r="D15" s="2" t="s">
        <v>194</v>
      </c>
      <c r="E15" s="22" t="s">
        <v>31</v>
      </c>
      <c r="F15" s="165">
        <f>'F7'!D22</f>
        <v>92.2</v>
      </c>
      <c r="G15" s="165">
        <f>'F7'!E22</f>
        <v>101.25751914514112</v>
      </c>
      <c r="H15" s="165">
        <f>'F7'!F22</f>
        <v>101.25751914514112</v>
      </c>
      <c r="I15" s="165">
        <f>'F7'!G22</f>
        <v>93.15</v>
      </c>
      <c r="J15" s="165">
        <f>'F7'!H22</f>
        <v>101.5166492904907</v>
      </c>
      <c r="K15" s="165">
        <f>'F7'!I22</f>
        <v>102.4782532834349</v>
      </c>
      <c r="L15" s="165">
        <f>'F7'!J22</f>
        <v>103.61912884469211</v>
      </c>
      <c r="M15" s="165">
        <f>'F7'!K22</f>
        <v>103.92982480364016</v>
      </c>
      <c r="N15" s="165">
        <f>'F7'!L22</f>
        <v>103.92982480364016</v>
      </c>
      <c r="O15" s="165">
        <f>'F7'!M22</f>
        <v>103.92982480364016</v>
      </c>
      <c r="P15" s="133"/>
    </row>
    <row r="16" spans="2:16" ht="15">
      <c r="B16" s="2">
        <f t="shared" si="0"/>
        <v>6</v>
      </c>
      <c r="C16" s="3" t="s">
        <v>38</v>
      </c>
      <c r="D16" s="2" t="s">
        <v>194</v>
      </c>
      <c r="E16" s="22" t="s">
        <v>32</v>
      </c>
      <c r="F16" s="165"/>
      <c r="G16" s="165">
        <f>'F8'!E22</f>
        <v>0.54993417327223093</v>
      </c>
      <c r="H16" s="165">
        <f>'F8'!F22</f>
        <v>0.54993417327223093</v>
      </c>
      <c r="I16" s="165"/>
      <c r="J16" s="165">
        <f>'F8'!H22</f>
        <v>9.753134014824294E-2</v>
      </c>
      <c r="K16" s="165">
        <f>'F8'!I22</f>
        <v>0.17490680645496737</v>
      </c>
      <c r="L16" s="165">
        <f>'F8'!J22</f>
        <v>0.18190307871316605</v>
      </c>
      <c r="M16" s="165">
        <f>'F8'!K22</f>
        <v>0.18917920186169271</v>
      </c>
      <c r="N16" s="165">
        <f>'F8'!L22</f>
        <v>0.19674636993616043</v>
      </c>
      <c r="O16" s="165">
        <f>'F8'!M22</f>
        <v>0.20461622473360686</v>
      </c>
      <c r="P16" s="133"/>
    </row>
    <row r="17" spans="2:16" ht="15">
      <c r="B17" s="20">
        <f t="shared" si="0"/>
        <v>7</v>
      </c>
      <c r="C17" s="25" t="s">
        <v>235</v>
      </c>
      <c r="D17" s="20" t="s">
        <v>194</v>
      </c>
      <c r="E17" s="22"/>
      <c r="F17" s="165">
        <f>SUM(F11:F15)-F16</f>
        <v>269.85590000000002</v>
      </c>
      <c r="G17" s="165">
        <f ca="1">SUM(G11:G15)-G16</f>
        <v>303.9137251196907</v>
      </c>
      <c r="H17" s="165">
        <f t="shared" ref="H17:O17" ca="1" si="1">SUM(H11:H15)-H16</f>
        <v>303.9137251196907</v>
      </c>
      <c r="I17" s="165">
        <f t="shared" si="1"/>
        <v>263.32483999999999</v>
      </c>
      <c r="J17" s="165">
        <f t="shared" ca="1" si="1"/>
        <v>298.33390891101635</v>
      </c>
      <c r="K17" s="165">
        <f t="shared" ca="1" si="1"/>
        <v>231.17859272395717</v>
      </c>
      <c r="L17" s="165">
        <f t="shared" ca="1" si="1"/>
        <v>234.11447704363377</v>
      </c>
      <c r="M17" s="165">
        <f t="shared" ca="1" si="1"/>
        <v>234.78425374686987</v>
      </c>
      <c r="N17" s="165">
        <f t="shared" ca="1" si="1"/>
        <v>234.56777291025517</v>
      </c>
      <c r="O17" s="165">
        <f t="shared" ca="1" si="1"/>
        <v>234.50365646299028</v>
      </c>
      <c r="P17" s="133"/>
    </row>
    <row r="18" spans="2:16" ht="15">
      <c r="B18" s="20" t="s">
        <v>59</v>
      </c>
      <c r="C18" s="20" t="s">
        <v>236</v>
      </c>
      <c r="D18" s="22"/>
      <c r="E18" s="22"/>
      <c r="F18" s="168"/>
      <c r="G18" s="168"/>
      <c r="H18" s="168"/>
      <c r="I18" s="168"/>
      <c r="J18" s="168"/>
      <c r="K18" s="168"/>
      <c r="L18" s="168"/>
      <c r="M18" s="168"/>
      <c r="N18" s="168"/>
      <c r="O18" s="168"/>
      <c r="P18" s="3"/>
    </row>
    <row r="19" spans="2:16" ht="15">
      <c r="B19" s="2">
        <v>1</v>
      </c>
      <c r="C19" s="22" t="s">
        <v>237</v>
      </c>
      <c r="D19" s="2" t="s">
        <v>193</v>
      </c>
      <c r="E19" s="22" t="s">
        <v>149</v>
      </c>
      <c r="F19" s="165"/>
      <c r="G19" s="165"/>
      <c r="H19" s="165"/>
      <c r="I19" s="165"/>
      <c r="J19" s="165"/>
      <c r="K19" s="165"/>
      <c r="L19" s="165"/>
      <c r="M19" s="165"/>
      <c r="N19" s="165"/>
      <c r="O19" s="165"/>
      <c r="P19" s="3"/>
    </row>
    <row r="20" spans="2:16" ht="15">
      <c r="B20" s="2">
        <f>B19+1</f>
        <v>2</v>
      </c>
      <c r="C20" s="22" t="s">
        <v>238</v>
      </c>
      <c r="D20" s="2" t="s">
        <v>42</v>
      </c>
      <c r="E20" s="22" t="s">
        <v>34</v>
      </c>
      <c r="F20" s="165"/>
      <c r="G20" s="165"/>
      <c r="H20" s="165"/>
      <c r="I20" s="165"/>
      <c r="J20" s="165"/>
      <c r="K20" s="165"/>
      <c r="L20" s="165"/>
      <c r="M20" s="165"/>
      <c r="N20" s="165"/>
      <c r="O20" s="165"/>
      <c r="P20" s="3"/>
    </row>
    <row r="21" spans="2:16" ht="15">
      <c r="B21" s="2">
        <f>B20+1</f>
        <v>3</v>
      </c>
      <c r="C21" s="22" t="s">
        <v>236</v>
      </c>
      <c r="D21" s="2" t="s">
        <v>194</v>
      </c>
      <c r="E21" s="22"/>
      <c r="F21" s="165"/>
      <c r="G21" s="165"/>
      <c r="H21" s="165"/>
      <c r="I21" s="165"/>
      <c r="J21" s="165"/>
      <c r="K21" s="165"/>
      <c r="L21" s="165"/>
      <c r="M21" s="165"/>
      <c r="N21" s="165"/>
      <c r="O21" s="165"/>
      <c r="P21" s="3"/>
    </row>
    <row r="22" spans="2:16" ht="15">
      <c r="B22" s="20" t="s">
        <v>60</v>
      </c>
      <c r="C22" s="20" t="s">
        <v>337</v>
      </c>
      <c r="D22" s="2" t="s">
        <v>194</v>
      </c>
      <c r="E22" s="3"/>
      <c r="F22" s="165">
        <f>F17+F21</f>
        <v>269.85590000000002</v>
      </c>
      <c r="G22" s="165">
        <f t="shared" ref="G22:N22" ca="1" si="2">G17+G21</f>
        <v>303.9137251196907</v>
      </c>
      <c r="H22" s="165">
        <f t="shared" ca="1" si="2"/>
        <v>303.9137251196907</v>
      </c>
      <c r="I22" s="165">
        <f t="shared" si="2"/>
        <v>263.32483999999999</v>
      </c>
      <c r="J22" s="165">
        <f t="shared" ca="1" si="2"/>
        <v>298.33390891101635</v>
      </c>
      <c r="K22" s="165">
        <f t="shared" ca="1" si="2"/>
        <v>231.17859272395717</v>
      </c>
      <c r="L22" s="165">
        <f t="shared" ca="1" si="2"/>
        <v>234.11447704363377</v>
      </c>
      <c r="M22" s="165">
        <f t="shared" ca="1" si="2"/>
        <v>234.78425374686987</v>
      </c>
      <c r="N22" s="165">
        <f t="shared" ca="1" si="2"/>
        <v>234.56777291025517</v>
      </c>
      <c r="O22" s="165">
        <f ca="1">O17+O21</f>
        <v>234.50365646299028</v>
      </c>
      <c r="P22" s="3"/>
    </row>
    <row r="23" spans="2:16" hidden="1">
      <c r="F23" s="208">
        <f>F17+F16</f>
        <v>269.85590000000002</v>
      </c>
      <c r="G23" s="208">
        <f t="shared" ref="G23:O23" ca="1" si="3">G17+G16</f>
        <v>304.46365929296292</v>
      </c>
      <c r="H23" s="208">
        <f t="shared" ca="1" si="3"/>
        <v>304.46365929296292</v>
      </c>
      <c r="I23" s="208">
        <f t="shared" si="3"/>
        <v>263.32483999999999</v>
      </c>
      <c r="J23" s="208">
        <f t="shared" ca="1" si="3"/>
        <v>298.43144025116459</v>
      </c>
      <c r="K23" s="208">
        <f t="shared" ca="1" si="3"/>
        <v>231.35349953041214</v>
      </c>
      <c r="L23" s="208">
        <f t="shared" ca="1" si="3"/>
        <v>234.29638012234693</v>
      </c>
      <c r="M23" s="208">
        <f t="shared" ca="1" si="3"/>
        <v>234.97343294873156</v>
      </c>
      <c r="N23" s="208">
        <f t="shared" ca="1" si="3"/>
        <v>234.76451928019134</v>
      </c>
      <c r="O23" s="208">
        <f t="shared" ca="1" si="3"/>
        <v>234.70827268772388</v>
      </c>
    </row>
    <row r="24" spans="2:16">
      <c r="G24" s="219"/>
    </row>
  </sheetData>
  <mergeCells count="11">
    <mergeCell ref="B3:P3"/>
    <mergeCell ref="B4:P4"/>
    <mergeCell ref="B5:P5"/>
    <mergeCell ref="D7:D9"/>
    <mergeCell ref="B7:B9"/>
    <mergeCell ref="C7:C9"/>
    <mergeCell ref="E7:E9"/>
    <mergeCell ref="P7:P9"/>
    <mergeCell ref="K7:O7"/>
    <mergeCell ref="F7:H7"/>
    <mergeCell ref="I7:J7"/>
  </mergeCells>
  <pageMargins left="0.23" right="0.23" top="0.92" bottom="1" header="0.5" footer="0.5"/>
  <pageSetup paperSize="9" scale="66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B1:N16"/>
  <sheetViews>
    <sheetView showGridLines="0" zoomScale="80" zoomScaleNormal="80" zoomScaleSheetLayoutView="80" workbookViewId="0">
      <selection activeCell="H31" sqref="H31"/>
    </sheetView>
  </sheetViews>
  <sheetFormatPr defaultColWidth="9.28515625" defaultRowHeight="14.25"/>
  <cols>
    <col min="1" max="1" width="9.28515625" style="5"/>
    <col min="2" max="2" width="7.28515625" style="5" customWidth="1"/>
    <col min="3" max="3" width="32.28515625" style="5" customWidth="1"/>
    <col min="4" max="4" width="14.42578125" style="5" customWidth="1"/>
    <col min="5" max="7" width="14.7109375" style="5" customWidth="1"/>
    <col min="8" max="8" width="12.28515625" style="5" bestFit="1" customWidth="1"/>
    <col min="9" max="10" width="12.28515625" style="5" customWidth="1"/>
    <col min="11" max="11" width="12.28515625" style="5" bestFit="1" customWidth="1"/>
    <col min="12" max="12" width="13" style="5" customWidth="1"/>
    <col min="13" max="13" width="13.42578125" style="5" customWidth="1"/>
    <col min="14" max="14" width="12.7109375" style="5" customWidth="1"/>
    <col min="15" max="16384" width="9.28515625" style="5"/>
  </cols>
  <sheetData>
    <row r="1" spans="2:14" ht="15">
      <c r="C1" s="42"/>
      <c r="D1" s="42"/>
      <c r="E1" s="42"/>
      <c r="F1" s="42"/>
      <c r="G1" s="42"/>
      <c r="I1" s="40"/>
      <c r="J1" s="42"/>
    </row>
    <row r="2" spans="2:14" ht="15">
      <c r="B2" s="240" t="s">
        <v>409</v>
      </c>
      <c r="C2" s="240"/>
      <c r="D2" s="240"/>
      <c r="E2" s="240"/>
      <c r="F2" s="240"/>
      <c r="G2" s="240"/>
      <c r="H2" s="240"/>
      <c r="I2" s="240"/>
      <c r="J2" s="240"/>
      <c r="K2" s="240"/>
      <c r="L2" s="240"/>
      <c r="M2" s="240"/>
      <c r="N2" s="240"/>
    </row>
    <row r="3" spans="2:14" ht="15">
      <c r="B3" s="240" t="s">
        <v>414</v>
      </c>
      <c r="C3" s="240"/>
      <c r="D3" s="240"/>
      <c r="E3" s="240"/>
      <c r="F3" s="240"/>
      <c r="G3" s="240"/>
      <c r="H3" s="240"/>
      <c r="I3" s="240"/>
      <c r="J3" s="240"/>
      <c r="K3" s="240"/>
      <c r="L3" s="240"/>
      <c r="M3" s="240"/>
      <c r="N3" s="240"/>
    </row>
    <row r="4" spans="2:14" ht="15">
      <c r="B4" s="241" t="s">
        <v>309</v>
      </c>
      <c r="C4" s="241"/>
      <c r="D4" s="241"/>
      <c r="E4" s="241"/>
      <c r="F4" s="241"/>
      <c r="G4" s="241"/>
      <c r="H4" s="241"/>
      <c r="I4" s="241"/>
      <c r="J4" s="241"/>
      <c r="K4" s="241"/>
      <c r="L4" s="241"/>
      <c r="M4" s="241"/>
      <c r="N4" s="241"/>
    </row>
    <row r="5" spans="2:14" ht="15">
      <c r="B5" s="41"/>
      <c r="C5" s="41"/>
      <c r="D5" s="41"/>
      <c r="E5" s="41"/>
      <c r="F5" s="41"/>
      <c r="G5" s="41"/>
      <c r="H5" s="41"/>
      <c r="I5" s="41"/>
      <c r="J5" s="41"/>
    </row>
    <row r="6" spans="2:14" ht="15">
      <c r="B6" s="242" t="s">
        <v>56</v>
      </c>
      <c r="C6" s="242"/>
      <c r="D6" s="242"/>
      <c r="E6" s="242"/>
      <c r="F6" s="242"/>
      <c r="G6" s="242"/>
      <c r="H6" s="242"/>
      <c r="I6" s="242"/>
      <c r="J6" s="242"/>
    </row>
    <row r="7" spans="2:14" ht="15">
      <c r="N7" s="32" t="s">
        <v>4</v>
      </c>
    </row>
    <row r="8" spans="2:14" ht="15">
      <c r="B8" s="243" t="s">
        <v>182</v>
      </c>
      <c r="C8" s="243" t="s">
        <v>18</v>
      </c>
      <c r="D8" s="245" t="s">
        <v>1</v>
      </c>
      <c r="E8" s="237" t="s">
        <v>227</v>
      </c>
      <c r="F8" s="238"/>
      <c r="G8" s="239"/>
      <c r="H8" s="237" t="s">
        <v>226</v>
      </c>
      <c r="I8" s="238"/>
      <c r="J8" s="244" t="s">
        <v>220</v>
      </c>
      <c r="K8" s="244"/>
      <c r="L8" s="244"/>
      <c r="M8" s="244"/>
      <c r="N8" s="244"/>
    </row>
    <row r="9" spans="2:14" ht="30">
      <c r="B9" s="243"/>
      <c r="C9" s="243"/>
      <c r="D9" s="246"/>
      <c r="E9" s="21" t="s">
        <v>302</v>
      </c>
      <c r="F9" s="21" t="s">
        <v>240</v>
      </c>
      <c r="G9" s="21" t="s">
        <v>197</v>
      </c>
      <c r="H9" s="21" t="s">
        <v>302</v>
      </c>
      <c r="I9" s="21" t="s">
        <v>239</v>
      </c>
      <c r="J9" s="21" t="s">
        <v>221</v>
      </c>
      <c r="K9" s="21" t="s">
        <v>222</v>
      </c>
      <c r="L9" s="21" t="s">
        <v>223</v>
      </c>
      <c r="M9" s="21" t="s">
        <v>224</v>
      </c>
      <c r="N9" s="21" t="s">
        <v>225</v>
      </c>
    </row>
    <row r="10" spans="2:14" ht="15">
      <c r="B10" s="243"/>
      <c r="C10" s="243"/>
      <c r="D10" s="247"/>
      <c r="E10" s="21" t="s">
        <v>10</v>
      </c>
      <c r="F10" s="21" t="s">
        <v>12</v>
      </c>
      <c r="G10" s="21" t="s">
        <v>229</v>
      </c>
      <c r="H10" s="21" t="s">
        <v>10</v>
      </c>
      <c r="I10" s="21" t="s">
        <v>5</v>
      </c>
      <c r="J10" s="21" t="s">
        <v>8</v>
      </c>
      <c r="K10" s="21" t="s">
        <v>8</v>
      </c>
      <c r="L10" s="21" t="s">
        <v>8</v>
      </c>
      <c r="M10" s="21" t="s">
        <v>8</v>
      </c>
      <c r="N10" s="21" t="s">
        <v>8</v>
      </c>
    </row>
    <row r="11" spans="2:14">
      <c r="B11" s="26">
        <v>1</v>
      </c>
      <c r="C11" s="35" t="s">
        <v>57</v>
      </c>
      <c r="D11" s="35" t="s">
        <v>24</v>
      </c>
      <c r="E11" s="130">
        <v>25.86</v>
      </c>
      <c r="F11" s="142">
        <f>F2.1!G36</f>
        <v>44.858660274506562</v>
      </c>
      <c r="G11" s="142">
        <f>F11</f>
        <v>44.858660274506562</v>
      </c>
      <c r="H11" s="111">
        <v>27.42</v>
      </c>
      <c r="I11" s="142">
        <f>F2.1!H36</f>
        <v>46.929989327475795</v>
      </c>
      <c r="J11" s="142">
        <f>F2.1!I36</f>
        <v>38.20715348341691</v>
      </c>
      <c r="K11" s="142">
        <f>F2.1!J36</f>
        <v>40.423168385455092</v>
      </c>
      <c r="L11" s="142">
        <f>F2.1!K36</f>
        <v>42.767712151811487</v>
      </c>
      <c r="M11" s="142">
        <f>F2.1!L36</f>
        <v>45.248239456616552</v>
      </c>
      <c r="N11" s="142">
        <f>F2.1!M36</f>
        <v>47.872637345100316</v>
      </c>
    </row>
    <row r="12" spans="2:14">
      <c r="B12" s="26">
        <f>B11+1</f>
        <v>2</v>
      </c>
      <c r="C12" s="43" t="s">
        <v>241</v>
      </c>
      <c r="D12" s="43" t="s">
        <v>25</v>
      </c>
      <c r="E12" s="132">
        <v>1.68</v>
      </c>
      <c r="F12" s="143">
        <f>F2.2!G40</f>
        <v>1.7221415884862978</v>
      </c>
      <c r="G12" s="142">
        <f>F12</f>
        <v>1.7221415884862978</v>
      </c>
      <c r="H12" s="111">
        <v>1.78</v>
      </c>
      <c r="I12" s="142">
        <f>F2.2!H40</f>
        <v>2.22783207174253</v>
      </c>
      <c r="J12" s="142">
        <f>F2.2!I40</f>
        <v>2.1277343690694384</v>
      </c>
      <c r="K12" s="142">
        <f>F2.2!J40</f>
        <v>2.2319933531538405</v>
      </c>
      <c r="L12" s="142">
        <f>F2.2!K40</f>
        <v>2.3413610274583787</v>
      </c>
      <c r="M12" s="142">
        <f>F2.2!L40</f>
        <v>2.4560877178038392</v>
      </c>
      <c r="N12" s="142">
        <f>F2.2!M40</f>
        <v>2.5764360159762272</v>
      </c>
    </row>
    <row r="13" spans="2:14">
      <c r="B13" s="26">
        <f>B12+1</f>
        <v>3</v>
      </c>
      <c r="C13" s="35" t="s">
        <v>199</v>
      </c>
      <c r="D13" s="35" t="s">
        <v>258</v>
      </c>
      <c r="E13" s="130">
        <v>2.87</v>
      </c>
      <c r="F13" s="142">
        <f>F2.3!G18</f>
        <v>3.1552858301578506</v>
      </c>
      <c r="G13" s="142">
        <f>F13</f>
        <v>3.1552858301578506</v>
      </c>
      <c r="H13" s="111">
        <v>2.9159999999999999</v>
      </c>
      <c r="I13" s="142">
        <f>F2.3!H18</f>
        <v>2.5017517966201996</v>
      </c>
      <c r="J13" s="142">
        <f>F2.3!I18</f>
        <v>3.9371257077479851</v>
      </c>
      <c r="K13" s="142">
        <f>F2.3!J18</f>
        <v>4.0014362516851563</v>
      </c>
      <c r="L13" s="142">
        <f>F2.3!K18</f>
        <v>4.0255045690269124</v>
      </c>
      <c r="M13" s="142">
        <f>F2.3!L18</f>
        <v>4.0255045690269124</v>
      </c>
      <c r="N13" s="142">
        <f>F2.3!M18</f>
        <v>4.0255045690269124</v>
      </c>
    </row>
    <row r="14" spans="2:14" ht="15">
      <c r="B14" s="26">
        <f>B13+1</f>
        <v>4</v>
      </c>
      <c r="C14" s="35" t="s">
        <v>58</v>
      </c>
      <c r="D14" s="35"/>
      <c r="E14" s="114">
        <f>SUM(E11:E13)*0.99</f>
        <v>30.105899999999998</v>
      </c>
      <c r="F14" s="114">
        <f t="shared" ref="F14:I14" si="0">SUM(F11:F13)</f>
        <v>49.736087693150708</v>
      </c>
      <c r="G14" s="114">
        <f>SUM(G11:G13)</f>
        <v>49.736087693150708</v>
      </c>
      <c r="H14" s="114">
        <f>SUM(H11:H13)*0.99</f>
        <v>31.794840000000001</v>
      </c>
      <c r="I14" s="114">
        <f t="shared" si="0"/>
        <v>51.659573195838526</v>
      </c>
      <c r="J14" s="114">
        <f>SUM(J11:J13)</f>
        <v>44.272013560234335</v>
      </c>
      <c r="K14" s="114">
        <f t="shared" ref="K14:N14" si="1">SUM(K11:K13)</f>
        <v>46.656597990294088</v>
      </c>
      <c r="L14" s="114">
        <f t="shared" si="1"/>
        <v>49.134577748296778</v>
      </c>
      <c r="M14" s="114">
        <f t="shared" si="1"/>
        <v>51.729831743447306</v>
      </c>
      <c r="N14" s="114">
        <f t="shared" si="1"/>
        <v>54.474577930103457</v>
      </c>
    </row>
    <row r="15" spans="2:14">
      <c r="B15" s="54" t="s">
        <v>242</v>
      </c>
      <c r="C15" s="55"/>
      <c r="D15" s="52"/>
      <c r="E15" s="52"/>
      <c r="F15" s="52"/>
      <c r="G15" s="53"/>
      <c r="H15" s="53"/>
      <c r="I15" s="53"/>
      <c r="J15" s="53"/>
      <c r="K15" s="53"/>
      <c r="L15" s="53"/>
      <c r="M15" s="53"/>
      <c r="N15" s="53"/>
    </row>
    <row r="16" spans="2:14">
      <c r="B16" s="56">
        <v>1</v>
      </c>
      <c r="C16" s="55" t="s">
        <v>243</v>
      </c>
    </row>
  </sheetData>
  <mergeCells count="10">
    <mergeCell ref="B2:N2"/>
    <mergeCell ref="B3:N3"/>
    <mergeCell ref="B4:N4"/>
    <mergeCell ref="B6:J6"/>
    <mergeCell ref="B8:B10"/>
    <mergeCell ref="C8:C10"/>
    <mergeCell ref="J8:N8"/>
    <mergeCell ref="H8:I8"/>
    <mergeCell ref="E8:G8"/>
    <mergeCell ref="D8:D10"/>
  </mergeCells>
  <pageMargins left="0.70866141732283472" right="0.70866141732283472" top="0.74803149606299213" bottom="0.74803149606299213" header="0.31496062992125984" footer="0.31496062992125984"/>
  <pageSetup paperSize="9" scale="68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B2:M39"/>
  <sheetViews>
    <sheetView showGridLines="0" zoomScale="80" zoomScaleNormal="80" zoomScaleSheetLayoutView="70" workbookViewId="0">
      <selection activeCell="H31" sqref="H31"/>
    </sheetView>
  </sheetViews>
  <sheetFormatPr defaultColWidth="9.28515625" defaultRowHeight="14.25"/>
  <cols>
    <col min="1" max="1" width="6.7109375" style="19" customWidth="1"/>
    <col min="2" max="2" width="7" style="19" customWidth="1"/>
    <col min="3" max="3" width="42.7109375" style="19" customWidth="1"/>
    <col min="4" max="4" width="13.28515625" style="19" customWidth="1"/>
    <col min="5" max="5" width="13" style="19" customWidth="1"/>
    <col min="6" max="6" width="12.5703125" style="19" customWidth="1"/>
    <col min="7" max="7" width="12" style="19" customWidth="1"/>
    <col min="8" max="8" width="13.28515625" style="19" customWidth="1"/>
    <col min="9" max="9" width="12.28515625" style="19" customWidth="1"/>
    <col min="10" max="10" width="12.28515625" style="19" bestFit="1" customWidth="1"/>
    <col min="11" max="11" width="13" style="19" customWidth="1"/>
    <col min="12" max="12" width="13.42578125" style="19" customWidth="1"/>
    <col min="13" max="13" width="12.7109375" style="19" customWidth="1"/>
    <col min="14" max="16384" width="9.28515625" style="19"/>
  </cols>
  <sheetData>
    <row r="2" spans="2:13" ht="15">
      <c r="B2" s="240" t="s">
        <v>415</v>
      </c>
      <c r="C2" s="240"/>
      <c r="D2" s="240"/>
      <c r="E2" s="240"/>
      <c r="F2" s="240"/>
      <c r="G2" s="240"/>
      <c r="H2" s="240"/>
      <c r="I2" s="240"/>
      <c r="J2" s="240"/>
      <c r="K2" s="240"/>
      <c r="L2" s="240"/>
      <c r="M2" s="240"/>
    </row>
    <row r="3" spans="2:13" ht="15">
      <c r="B3" s="240" t="s">
        <v>414</v>
      </c>
      <c r="C3" s="240"/>
      <c r="D3" s="240"/>
      <c r="E3" s="240"/>
      <c r="F3" s="240"/>
      <c r="G3" s="240"/>
      <c r="H3" s="240"/>
      <c r="I3" s="240"/>
      <c r="J3" s="240"/>
      <c r="K3" s="240"/>
      <c r="L3" s="240"/>
      <c r="M3" s="240"/>
    </row>
    <row r="4" spans="2:13" s="4" customFormat="1" ht="15.75">
      <c r="B4" s="223" t="s">
        <v>429</v>
      </c>
      <c r="C4" s="223"/>
      <c r="D4" s="223"/>
      <c r="E4" s="223"/>
      <c r="F4" s="223"/>
      <c r="G4" s="223"/>
      <c r="H4" s="223"/>
      <c r="I4" s="223"/>
      <c r="J4" s="223"/>
      <c r="K4" s="223"/>
      <c r="L4" s="223"/>
      <c r="M4" s="223"/>
    </row>
    <row r="5" spans="2:13" s="4" customFormat="1" ht="15">
      <c r="C5" s="45"/>
      <c r="D5" s="45"/>
      <c r="E5" s="45"/>
      <c r="F5" s="45"/>
      <c r="G5" s="46"/>
      <c r="H5" s="46"/>
    </row>
    <row r="6" spans="2:13" ht="15">
      <c r="M6" s="32" t="s">
        <v>4</v>
      </c>
    </row>
    <row r="7" spans="2:13" ht="12.75" customHeight="1">
      <c r="B7" s="233" t="s">
        <v>2</v>
      </c>
      <c r="C7" s="233" t="s">
        <v>18</v>
      </c>
      <c r="D7" s="21" t="s">
        <v>350</v>
      </c>
      <c r="E7" s="21" t="s">
        <v>351</v>
      </c>
      <c r="F7" s="21" t="s">
        <v>352</v>
      </c>
      <c r="G7" s="21" t="s">
        <v>353</v>
      </c>
      <c r="H7" s="21" t="s">
        <v>354</v>
      </c>
      <c r="I7" s="244" t="s">
        <v>220</v>
      </c>
      <c r="J7" s="244"/>
      <c r="K7" s="244"/>
      <c r="L7" s="244"/>
      <c r="M7" s="244"/>
    </row>
    <row r="8" spans="2:13" ht="15">
      <c r="B8" s="233"/>
      <c r="C8" s="233"/>
      <c r="D8" s="21" t="s">
        <v>240</v>
      </c>
      <c r="E8" s="21" t="s">
        <v>240</v>
      </c>
      <c r="F8" s="21" t="s">
        <v>240</v>
      </c>
      <c r="G8" s="21" t="s">
        <v>240</v>
      </c>
      <c r="H8" s="21" t="s">
        <v>239</v>
      </c>
      <c r="I8" s="21" t="s">
        <v>345</v>
      </c>
      <c r="J8" s="21" t="s">
        <v>346</v>
      </c>
      <c r="K8" s="21" t="s">
        <v>347</v>
      </c>
      <c r="L8" s="21" t="s">
        <v>348</v>
      </c>
      <c r="M8" s="21" t="s">
        <v>349</v>
      </c>
    </row>
    <row r="9" spans="2:13" ht="15">
      <c r="B9" s="248"/>
      <c r="C9" s="233"/>
      <c r="D9" s="21" t="s">
        <v>12</v>
      </c>
      <c r="E9" s="21" t="s">
        <v>12</v>
      </c>
      <c r="F9" s="21" t="s">
        <v>12</v>
      </c>
      <c r="G9" s="21" t="s">
        <v>12</v>
      </c>
      <c r="H9" s="21" t="s">
        <v>5</v>
      </c>
      <c r="I9" s="21" t="s">
        <v>8</v>
      </c>
      <c r="J9" s="21" t="s">
        <v>8</v>
      </c>
      <c r="K9" s="21" t="s">
        <v>8</v>
      </c>
      <c r="L9" s="21" t="s">
        <v>8</v>
      </c>
      <c r="M9" s="21" t="s">
        <v>8</v>
      </c>
    </row>
    <row r="10" spans="2:13">
      <c r="B10" s="2">
        <v>1</v>
      </c>
      <c r="C10" s="47" t="s">
        <v>61</v>
      </c>
      <c r="D10" s="129"/>
      <c r="E10" s="129"/>
      <c r="F10" s="129"/>
      <c r="G10" s="126">
        <v>20.17780561388486</v>
      </c>
      <c r="H10" s="205">
        <v>21.108165159358606</v>
      </c>
      <c r="I10" s="3"/>
      <c r="J10" s="3"/>
      <c r="K10" s="3"/>
      <c r="L10" s="3"/>
      <c r="M10" s="3"/>
    </row>
    <row r="11" spans="2:13">
      <c r="B11" s="2">
        <v>2</v>
      </c>
      <c r="C11" s="47" t="s">
        <v>62</v>
      </c>
      <c r="D11" s="129"/>
      <c r="E11" s="129"/>
      <c r="F11" s="129"/>
      <c r="G11" s="126">
        <v>0.87291845534875023</v>
      </c>
      <c r="H11" s="205">
        <v>1.6563819002260032</v>
      </c>
      <c r="I11" s="3"/>
      <c r="J11" s="3"/>
      <c r="K11" s="3"/>
      <c r="L11" s="3"/>
      <c r="M11" s="3"/>
    </row>
    <row r="12" spans="2:13">
      <c r="B12" s="2">
        <v>3</v>
      </c>
      <c r="C12" s="3" t="s">
        <v>63</v>
      </c>
      <c r="D12" s="126"/>
      <c r="E12" s="126"/>
      <c r="F12" s="126"/>
      <c r="G12" s="126">
        <v>1.2096481210436678</v>
      </c>
      <c r="H12" s="205">
        <v>1.1919470089143271</v>
      </c>
      <c r="I12" s="3"/>
      <c r="J12" s="3"/>
      <c r="K12" s="3"/>
      <c r="L12" s="3"/>
      <c r="M12" s="3"/>
    </row>
    <row r="13" spans="2:13">
      <c r="B13" s="2">
        <v>4</v>
      </c>
      <c r="C13" s="47" t="s">
        <v>64</v>
      </c>
      <c r="D13" s="129"/>
      <c r="E13" s="129"/>
      <c r="F13" s="129"/>
      <c r="G13" s="126">
        <v>0.13604515107628021</v>
      </c>
      <c r="H13" s="205">
        <v>0.13955350247808107</v>
      </c>
      <c r="I13" s="3"/>
      <c r="J13" s="3"/>
      <c r="K13" s="3"/>
      <c r="L13" s="3"/>
      <c r="M13" s="3"/>
    </row>
    <row r="14" spans="2:13">
      <c r="B14" s="2">
        <v>5</v>
      </c>
      <c r="C14" s="47" t="s">
        <v>65</v>
      </c>
      <c r="D14" s="129"/>
      <c r="E14" s="129"/>
      <c r="F14" s="129"/>
      <c r="G14" s="126">
        <v>1.0762994772793856E-4</v>
      </c>
      <c r="H14" s="205">
        <v>1.7204553094247571E-4</v>
      </c>
      <c r="I14" s="3"/>
      <c r="J14" s="3"/>
      <c r="K14" s="3"/>
      <c r="L14" s="3"/>
      <c r="M14" s="3"/>
    </row>
    <row r="15" spans="2:13">
      <c r="B15" s="2">
        <v>6</v>
      </c>
      <c r="C15" s="3" t="s">
        <v>66</v>
      </c>
      <c r="D15" s="126"/>
      <c r="E15" s="126"/>
      <c r="F15" s="126"/>
      <c r="G15" s="126">
        <v>8.3135977385309854</v>
      </c>
      <c r="H15" s="205">
        <v>4.8954636169979304</v>
      </c>
      <c r="I15" s="3"/>
      <c r="J15" s="3"/>
      <c r="K15" s="3"/>
      <c r="L15" s="3"/>
      <c r="M15" s="3"/>
    </row>
    <row r="16" spans="2:13">
      <c r="B16" s="2">
        <v>7</v>
      </c>
      <c r="C16" s="47" t="s">
        <v>67</v>
      </c>
      <c r="D16" s="129"/>
      <c r="E16" s="129"/>
      <c r="F16" s="129"/>
      <c r="G16" s="126">
        <v>4.1803505426489513</v>
      </c>
      <c r="H16" s="205">
        <v>3.1143906917467348</v>
      </c>
      <c r="I16" s="3"/>
      <c r="J16" s="3"/>
      <c r="K16" s="3"/>
      <c r="L16" s="3"/>
      <c r="M16" s="3"/>
    </row>
    <row r="17" spans="2:13">
      <c r="B17" s="2">
        <v>8</v>
      </c>
      <c r="C17" s="47" t="s">
        <v>68</v>
      </c>
      <c r="D17" s="129"/>
      <c r="E17" s="129"/>
      <c r="F17" s="129"/>
      <c r="G17" s="126">
        <v>1.7928175595913451</v>
      </c>
      <c r="H17" s="205">
        <v>0.78718245095793682</v>
      </c>
      <c r="I17" s="3"/>
      <c r="J17" s="3"/>
      <c r="K17" s="3"/>
      <c r="L17" s="3"/>
      <c r="M17" s="3"/>
    </row>
    <row r="18" spans="2:13">
      <c r="B18" s="2">
        <v>9</v>
      </c>
      <c r="C18" s="47" t="s">
        <v>69</v>
      </c>
      <c r="D18" s="129"/>
      <c r="E18" s="129"/>
      <c r="F18" s="129"/>
      <c r="G18" s="126">
        <v>0</v>
      </c>
      <c r="H18" s="205">
        <v>0</v>
      </c>
      <c r="I18" s="3"/>
      <c r="J18" s="3"/>
      <c r="K18" s="3"/>
      <c r="L18" s="3"/>
      <c r="M18" s="3"/>
    </row>
    <row r="19" spans="2:13">
      <c r="B19" s="2">
        <v>10</v>
      </c>
      <c r="C19" s="47" t="s">
        <v>70</v>
      </c>
      <c r="D19" s="129"/>
      <c r="E19" s="129"/>
      <c r="F19" s="129"/>
      <c r="G19" s="129">
        <v>0</v>
      </c>
      <c r="H19" s="205">
        <v>0</v>
      </c>
      <c r="I19" s="3"/>
      <c r="J19" s="3"/>
      <c r="K19" s="3"/>
      <c r="L19" s="3"/>
      <c r="M19" s="3"/>
    </row>
    <row r="20" spans="2:13">
      <c r="B20" s="2">
        <v>11</v>
      </c>
      <c r="C20" s="47" t="s">
        <v>71</v>
      </c>
      <c r="D20" s="129"/>
      <c r="E20" s="129"/>
      <c r="F20" s="129"/>
      <c r="G20" s="129">
        <v>0</v>
      </c>
      <c r="H20" s="205">
        <v>1.6266124422151154E-3</v>
      </c>
      <c r="I20" s="3"/>
      <c r="J20" s="3"/>
      <c r="K20" s="3"/>
      <c r="L20" s="3"/>
      <c r="M20" s="3"/>
    </row>
    <row r="21" spans="2:13">
      <c r="B21" s="2">
        <v>12</v>
      </c>
      <c r="C21" s="47" t="s">
        <v>72</v>
      </c>
      <c r="D21" s="129"/>
      <c r="E21" s="129"/>
      <c r="F21" s="129"/>
      <c r="G21" s="129">
        <v>0.48382627353964347</v>
      </c>
      <c r="H21" s="205">
        <v>0.46269236245905176</v>
      </c>
      <c r="I21" s="3"/>
      <c r="J21" s="3"/>
      <c r="K21" s="3"/>
      <c r="L21" s="3"/>
      <c r="M21" s="3"/>
    </row>
    <row r="22" spans="2:13">
      <c r="B22" s="2">
        <v>13</v>
      </c>
      <c r="C22" s="47" t="s">
        <v>73</v>
      </c>
      <c r="D22" s="129"/>
      <c r="E22" s="129"/>
      <c r="F22" s="129"/>
      <c r="G22" s="129">
        <v>0</v>
      </c>
      <c r="H22" s="205">
        <v>0</v>
      </c>
      <c r="I22" s="3"/>
      <c r="J22" s="3"/>
      <c r="K22" s="3"/>
      <c r="L22" s="3"/>
      <c r="M22" s="3"/>
    </row>
    <row r="23" spans="2:13">
      <c r="B23" s="2">
        <v>14</v>
      </c>
      <c r="C23" s="47" t="s">
        <v>74</v>
      </c>
      <c r="D23" s="129"/>
      <c r="E23" s="129"/>
      <c r="F23" s="129"/>
      <c r="G23" s="129">
        <v>0</v>
      </c>
      <c r="H23" s="205">
        <v>0</v>
      </c>
      <c r="I23" s="3"/>
      <c r="J23" s="3"/>
      <c r="K23" s="3"/>
      <c r="L23" s="3"/>
      <c r="M23" s="3"/>
    </row>
    <row r="24" spans="2:13">
      <c r="B24" s="2">
        <v>15</v>
      </c>
      <c r="C24" s="47" t="s">
        <v>75</v>
      </c>
      <c r="D24" s="129"/>
      <c r="E24" s="129"/>
      <c r="F24" s="129"/>
      <c r="G24" s="126">
        <v>0</v>
      </c>
      <c r="H24" s="205">
        <v>0</v>
      </c>
      <c r="I24" s="3"/>
      <c r="J24" s="3"/>
      <c r="K24" s="3"/>
      <c r="L24" s="3"/>
      <c r="M24" s="3"/>
    </row>
    <row r="25" spans="2:13">
      <c r="B25" s="2">
        <v>16</v>
      </c>
      <c r="C25" s="47" t="s">
        <v>76</v>
      </c>
      <c r="D25" s="129"/>
      <c r="E25" s="129"/>
      <c r="F25" s="129"/>
      <c r="G25" s="153">
        <v>0</v>
      </c>
      <c r="H25" s="205">
        <v>0</v>
      </c>
      <c r="I25" s="3"/>
      <c r="J25" s="3"/>
      <c r="K25" s="3"/>
      <c r="L25" s="3"/>
      <c r="M25" s="3"/>
    </row>
    <row r="26" spans="2:13" ht="15">
      <c r="B26" s="2">
        <v>17</v>
      </c>
      <c r="C26" s="47" t="s">
        <v>77</v>
      </c>
      <c r="D26" s="129"/>
      <c r="E26" s="129"/>
      <c r="F26" s="129"/>
      <c r="G26" s="153">
        <v>37.167117085612212</v>
      </c>
      <c r="H26" s="206">
        <v>33.357575351111819</v>
      </c>
      <c r="I26" s="3"/>
      <c r="J26" s="3"/>
      <c r="K26" s="3"/>
      <c r="L26" s="3"/>
      <c r="M26" s="3"/>
    </row>
    <row r="27" spans="2:13">
      <c r="B27" s="2">
        <v>18</v>
      </c>
      <c r="C27" s="47" t="s">
        <v>78</v>
      </c>
      <c r="D27" s="129"/>
      <c r="E27" s="129"/>
      <c r="F27" s="129"/>
      <c r="G27" s="153">
        <v>0</v>
      </c>
      <c r="H27" s="205">
        <v>0</v>
      </c>
      <c r="I27" s="3"/>
      <c r="J27" s="3"/>
      <c r="K27" s="3"/>
      <c r="L27" s="3"/>
      <c r="M27" s="3"/>
    </row>
    <row r="28" spans="2:13">
      <c r="B28" s="2">
        <f>+B27+0.1</f>
        <v>18.100000000000001</v>
      </c>
      <c r="C28" s="47" t="s">
        <v>79</v>
      </c>
      <c r="D28" s="129"/>
      <c r="E28" s="129"/>
      <c r="F28" s="129"/>
      <c r="G28" s="153">
        <v>1.9688485391702311</v>
      </c>
      <c r="H28" s="205">
        <v>2.0613916809190793</v>
      </c>
      <c r="I28" s="3"/>
      <c r="J28" s="3"/>
      <c r="K28" s="3"/>
      <c r="L28" s="3"/>
      <c r="M28" s="3"/>
    </row>
    <row r="29" spans="2:13">
      <c r="B29" s="2">
        <f>+B28+0.1</f>
        <v>18.200000000000003</v>
      </c>
      <c r="C29" s="47" t="s">
        <v>80</v>
      </c>
      <c r="D29" s="129"/>
      <c r="E29" s="129"/>
      <c r="F29" s="129"/>
      <c r="G29" s="153">
        <v>0</v>
      </c>
      <c r="H29" s="205">
        <v>0</v>
      </c>
      <c r="I29" s="3"/>
      <c r="J29" s="3"/>
      <c r="K29" s="3"/>
      <c r="L29" s="3"/>
      <c r="M29" s="3"/>
    </row>
    <row r="30" spans="2:13">
      <c r="B30" s="2">
        <f>+B29+0.1</f>
        <v>18.300000000000004</v>
      </c>
      <c r="C30" s="47" t="s">
        <v>81</v>
      </c>
      <c r="D30" s="129"/>
      <c r="E30" s="129"/>
      <c r="F30" s="129"/>
      <c r="G30" s="153">
        <v>0</v>
      </c>
      <c r="H30" s="205">
        <v>0</v>
      </c>
      <c r="I30" s="3"/>
      <c r="J30" s="3"/>
      <c r="K30" s="3"/>
      <c r="L30" s="3"/>
      <c r="M30" s="3"/>
    </row>
    <row r="31" spans="2:13">
      <c r="B31" s="2">
        <f>+B30+0.1</f>
        <v>18.400000000000006</v>
      </c>
      <c r="C31" s="47" t="s">
        <v>82</v>
      </c>
      <c r="D31" s="129"/>
      <c r="E31" s="129"/>
      <c r="F31" s="129"/>
      <c r="G31" s="126">
        <v>5.7226946497241213</v>
      </c>
      <c r="H31" s="205">
        <v>11.511022295444898</v>
      </c>
      <c r="I31" s="3"/>
      <c r="J31" s="3"/>
      <c r="K31" s="3"/>
      <c r="L31" s="3"/>
      <c r="M31" s="3"/>
    </row>
    <row r="32" spans="2:13" ht="28.5">
      <c r="B32" s="2">
        <v>19</v>
      </c>
      <c r="C32" s="51" t="s">
        <v>336</v>
      </c>
      <c r="D32" s="129"/>
      <c r="E32" s="129"/>
      <c r="F32" s="129"/>
      <c r="G32" s="126">
        <v>0</v>
      </c>
      <c r="H32" s="205">
        <v>0</v>
      </c>
      <c r="I32" s="3"/>
      <c r="J32" s="3"/>
      <c r="K32" s="3"/>
      <c r="L32" s="3"/>
      <c r="M32" s="3"/>
    </row>
    <row r="33" spans="2:13">
      <c r="B33" s="2">
        <v>20</v>
      </c>
      <c r="C33" s="47" t="s">
        <v>83</v>
      </c>
      <c r="D33" s="129"/>
      <c r="E33" s="129"/>
      <c r="F33" s="129"/>
      <c r="G33" s="126">
        <v>0</v>
      </c>
      <c r="H33" s="205">
        <v>0</v>
      </c>
      <c r="I33" s="126">
        <v>38.20715348341691</v>
      </c>
      <c r="J33" s="126">
        <v>40.423168385455092</v>
      </c>
      <c r="K33" s="126">
        <v>42.767712151811487</v>
      </c>
      <c r="L33" s="126">
        <v>45.248239456616552</v>
      </c>
      <c r="M33" s="126">
        <v>47.872637345100316</v>
      </c>
    </row>
    <row r="34" spans="2:13" ht="15">
      <c r="B34" s="20">
        <v>21</v>
      </c>
      <c r="C34" s="48" t="s">
        <v>84</v>
      </c>
      <c r="D34" s="128">
        <f>SUM(D26:D33)</f>
        <v>0</v>
      </c>
      <c r="E34" s="128">
        <f t="shared" ref="E34:H34" si="0">SUM(E26:E33)</f>
        <v>0</v>
      </c>
      <c r="F34" s="128">
        <f t="shared" si="0"/>
        <v>0</v>
      </c>
      <c r="G34" s="128">
        <f t="shared" si="0"/>
        <v>44.858660274506562</v>
      </c>
      <c r="H34" s="128">
        <f t="shared" si="0"/>
        <v>46.929989327475795</v>
      </c>
      <c r="I34" s="128">
        <f t="shared" ref="I34:M34" si="1">SUM(I10:I33)</f>
        <v>38.20715348341691</v>
      </c>
      <c r="J34" s="128">
        <f t="shared" si="1"/>
        <v>40.423168385455092</v>
      </c>
      <c r="K34" s="128">
        <f t="shared" si="1"/>
        <v>42.767712151811487</v>
      </c>
      <c r="L34" s="128">
        <f t="shared" si="1"/>
        <v>45.248239456616552</v>
      </c>
      <c r="M34" s="128">
        <f t="shared" si="1"/>
        <v>47.872637345100316</v>
      </c>
    </row>
    <row r="35" spans="2:13">
      <c r="B35" s="2">
        <v>22</v>
      </c>
      <c r="C35" s="47" t="s">
        <v>17</v>
      </c>
      <c r="D35" s="129"/>
      <c r="E35" s="129"/>
      <c r="F35" s="129"/>
      <c r="G35" s="126"/>
      <c r="H35" s="126"/>
      <c r="I35" s="126"/>
      <c r="J35" s="126"/>
      <c r="K35" s="126"/>
      <c r="L35" s="126"/>
      <c r="M35" s="126"/>
    </row>
    <row r="36" spans="2:13" ht="15">
      <c r="B36" s="20">
        <v>23</v>
      </c>
      <c r="C36" s="25" t="s">
        <v>85</v>
      </c>
      <c r="D36" s="116">
        <v>20.86</v>
      </c>
      <c r="E36" s="116">
        <v>24.26</v>
      </c>
      <c r="F36" s="116">
        <v>24.4</v>
      </c>
      <c r="G36" s="116">
        <f t="shared" ref="G36:M36" si="2">G34-G35</f>
        <v>44.858660274506562</v>
      </c>
      <c r="H36" s="116">
        <f t="shared" si="2"/>
        <v>46.929989327475795</v>
      </c>
      <c r="I36" s="116">
        <f t="shared" si="2"/>
        <v>38.20715348341691</v>
      </c>
      <c r="J36" s="116">
        <f t="shared" si="2"/>
        <v>40.423168385455092</v>
      </c>
      <c r="K36" s="116">
        <f t="shared" si="2"/>
        <v>42.767712151811487</v>
      </c>
      <c r="L36" s="116">
        <f t="shared" si="2"/>
        <v>45.248239456616552</v>
      </c>
      <c r="M36" s="116">
        <f t="shared" si="2"/>
        <v>47.872637345100316</v>
      </c>
    </row>
    <row r="38" spans="2:13" ht="15">
      <c r="B38" s="49"/>
    </row>
    <row r="39" spans="2:13">
      <c r="B39" s="50"/>
    </row>
  </sheetData>
  <mergeCells count="6">
    <mergeCell ref="I7:M7"/>
    <mergeCell ref="B7:B9"/>
    <mergeCell ref="C7:C9"/>
    <mergeCell ref="B2:M2"/>
    <mergeCell ref="B3:M3"/>
    <mergeCell ref="B4:M4"/>
  </mergeCells>
  <pageMargins left="0.75" right="0.75" top="1" bottom="1" header="0.5" footer="0.5"/>
  <pageSetup paperSize="9" scale="69" fitToHeight="0" orientation="landscape" r:id="rId1"/>
  <headerFooter alignWithMargins="0"/>
  <rowBreaks count="1" manualBreakCount="1">
    <brk id="37" min="1" max="8" man="1"/>
  </rowBreaks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B2:M40"/>
  <sheetViews>
    <sheetView showGridLines="0" zoomScale="80" zoomScaleNormal="80" zoomScaleSheetLayoutView="70" workbookViewId="0">
      <selection activeCell="H31" sqref="H31"/>
    </sheetView>
  </sheetViews>
  <sheetFormatPr defaultColWidth="9.28515625" defaultRowHeight="14.25"/>
  <cols>
    <col min="1" max="1" width="2" style="19" customWidth="1"/>
    <col min="2" max="2" width="7" style="19" customWidth="1"/>
    <col min="3" max="3" width="50.28515625" style="19" customWidth="1"/>
    <col min="4" max="8" width="15.7109375" style="19" customWidth="1"/>
    <col min="9" max="9" width="12.28515625" style="19" customWidth="1"/>
    <col min="10" max="10" width="12.28515625" style="19" bestFit="1" customWidth="1"/>
    <col min="11" max="11" width="13" style="19" customWidth="1"/>
    <col min="12" max="12" width="13.42578125" style="19" customWidth="1"/>
    <col min="13" max="13" width="12.7109375" style="19" customWidth="1"/>
    <col min="14" max="16384" width="9.28515625" style="19"/>
  </cols>
  <sheetData>
    <row r="2" spans="2:13" ht="15.75">
      <c r="B2" s="223" t="s">
        <v>409</v>
      </c>
      <c r="C2" s="223"/>
      <c r="D2" s="223"/>
      <c r="E2" s="223"/>
      <c r="F2" s="223"/>
      <c r="G2" s="223"/>
      <c r="H2" s="223"/>
      <c r="I2" s="223"/>
      <c r="J2" s="223"/>
      <c r="K2" s="223"/>
      <c r="L2" s="223"/>
      <c r="M2" s="223"/>
    </row>
    <row r="3" spans="2:13" ht="15.75">
      <c r="B3" s="223" t="s">
        <v>414</v>
      </c>
      <c r="C3" s="223"/>
      <c r="D3" s="223"/>
      <c r="E3" s="223"/>
      <c r="F3" s="223"/>
      <c r="G3" s="223"/>
      <c r="H3" s="223"/>
      <c r="I3" s="223"/>
      <c r="J3" s="223"/>
      <c r="K3" s="223"/>
      <c r="L3" s="223"/>
      <c r="M3" s="223"/>
    </row>
    <row r="4" spans="2:13" s="4" customFormat="1" ht="15.75">
      <c r="B4" s="223" t="s">
        <v>430</v>
      </c>
      <c r="C4" s="223"/>
      <c r="D4" s="223"/>
      <c r="E4" s="223"/>
      <c r="F4" s="223"/>
      <c r="G4" s="223"/>
      <c r="H4" s="223"/>
      <c r="I4" s="223"/>
      <c r="J4" s="223"/>
      <c r="K4" s="223"/>
      <c r="L4" s="223"/>
      <c r="M4" s="223"/>
    </row>
    <row r="6" spans="2:13" ht="15">
      <c r="M6" s="32" t="s">
        <v>4</v>
      </c>
    </row>
    <row r="7" spans="2:13" ht="12.75" customHeight="1">
      <c r="B7" s="235" t="s">
        <v>182</v>
      </c>
      <c r="C7" s="233" t="s">
        <v>18</v>
      </c>
      <c r="D7" s="21" t="s">
        <v>350</v>
      </c>
      <c r="E7" s="21" t="s">
        <v>351</v>
      </c>
      <c r="F7" s="21" t="s">
        <v>352</v>
      </c>
      <c r="G7" s="21" t="s">
        <v>353</v>
      </c>
      <c r="H7" s="21" t="s">
        <v>354</v>
      </c>
      <c r="I7" s="244" t="s">
        <v>220</v>
      </c>
      <c r="J7" s="244"/>
      <c r="K7" s="244"/>
      <c r="L7" s="244"/>
      <c r="M7" s="244"/>
    </row>
    <row r="8" spans="2:13" ht="15">
      <c r="B8" s="235"/>
      <c r="C8" s="233"/>
      <c r="D8" s="21" t="s">
        <v>240</v>
      </c>
      <c r="E8" s="21" t="s">
        <v>240</v>
      </c>
      <c r="F8" s="21" t="s">
        <v>240</v>
      </c>
      <c r="G8" s="21" t="s">
        <v>240</v>
      </c>
      <c r="H8" s="21" t="s">
        <v>239</v>
      </c>
      <c r="I8" s="21" t="s">
        <v>345</v>
      </c>
      <c r="J8" s="21" t="s">
        <v>346</v>
      </c>
      <c r="K8" s="21" t="s">
        <v>347</v>
      </c>
      <c r="L8" s="21" t="s">
        <v>348</v>
      </c>
      <c r="M8" s="21" t="s">
        <v>349</v>
      </c>
    </row>
    <row r="9" spans="2:13" ht="15">
      <c r="B9" s="235"/>
      <c r="C9" s="233"/>
      <c r="D9" s="21" t="s">
        <v>12</v>
      </c>
      <c r="E9" s="21" t="s">
        <v>12</v>
      </c>
      <c r="F9" s="21" t="s">
        <v>12</v>
      </c>
      <c r="G9" s="21" t="s">
        <v>12</v>
      </c>
      <c r="H9" s="21" t="s">
        <v>5</v>
      </c>
      <c r="I9" s="21" t="s">
        <v>8</v>
      </c>
      <c r="J9" s="21" t="s">
        <v>8</v>
      </c>
      <c r="K9" s="21" t="s">
        <v>8</v>
      </c>
      <c r="L9" s="21" t="s">
        <v>8</v>
      </c>
      <c r="M9" s="21" t="s">
        <v>8</v>
      </c>
    </row>
    <row r="10" spans="2:13">
      <c r="B10" s="3">
        <v>1</v>
      </c>
      <c r="C10" s="57" t="s">
        <v>86</v>
      </c>
      <c r="D10" s="126">
        <v>9.3843414537583478E-3</v>
      </c>
      <c r="E10" s="126">
        <v>2.1502406254260288E-2</v>
      </c>
      <c r="F10" s="126">
        <v>0.15617890130592355</v>
      </c>
      <c r="G10" s="126">
        <v>3.2809575391946705E-2</v>
      </c>
      <c r="H10" s="207">
        <v>5.6799927362480448E-2</v>
      </c>
      <c r="I10" s="3"/>
      <c r="J10" s="3"/>
      <c r="K10" s="3"/>
      <c r="L10" s="3"/>
      <c r="M10" s="3"/>
    </row>
    <row r="11" spans="2:13">
      <c r="B11" s="3">
        <v>2</v>
      </c>
      <c r="C11" s="58" t="s">
        <v>87</v>
      </c>
      <c r="D11" s="126">
        <v>2.3595776367639166E-3</v>
      </c>
      <c r="E11" s="126">
        <v>1.5173511712906558E-3</v>
      </c>
      <c r="F11" s="126">
        <v>2.4346432641919715E-3</v>
      </c>
      <c r="G11" s="126">
        <v>5.0683420538839971E-3</v>
      </c>
      <c r="H11" s="207">
        <v>4.4426492317964118E-3</v>
      </c>
      <c r="I11" s="3"/>
      <c r="J11" s="3"/>
      <c r="K11" s="3"/>
      <c r="L11" s="3"/>
      <c r="M11" s="3"/>
    </row>
    <row r="12" spans="2:13">
      <c r="B12" s="3">
        <v>3</v>
      </c>
      <c r="C12" s="58" t="s">
        <v>88</v>
      </c>
      <c r="D12" s="126">
        <v>5.6934287134146111E-2</v>
      </c>
      <c r="E12" s="126">
        <v>3.0087447270576623E-2</v>
      </c>
      <c r="F12" s="126">
        <v>4.2686779455901172E-2</v>
      </c>
      <c r="G12" s="126">
        <v>6.7309983099555853E-2</v>
      </c>
      <c r="H12" s="207">
        <v>6.7877468949698233E-2</v>
      </c>
      <c r="I12" s="3"/>
      <c r="J12" s="3"/>
      <c r="K12" s="3"/>
      <c r="L12" s="3"/>
      <c r="M12" s="3"/>
    </row>
    <row r="13" spans="2:13">
      <c r="B13" s="3">
        <v>4</v>
      </c>
      <c r="C13" s="58" t="s">
        <v>89</v>
      </c>
      <c r="D13" s="126">
        <v>6.3772100167890783E-2</v>
      </c>
      <c r="E13" s="126">
        <v>4.661472711009669E-2</v>
      </c>
      <c r="F13" s="126">
        <v>3.8175157950742562E-2</v>
      </c>
      <c r="G13" s="126">
        <v>6.1919843761084475E-2</v>
      </c>
      <c r="H13" s="207">
        <v>4.2459168021019969E-2</v>
      </c>
      <c r="I13" s="3"/>
      <c r="J13" s="3"/>
      <c r="K13" s="3"/>
      <c r="L13" s="3"/>
      <c r="M13" s="3"/>
    </row>
    <row r="14" spans="2:13">
      <c r="B14" s="3">
        <v>5</v>
      </c>
      <c r="C14" s="58" t="s">
        <v>90</v>
      </c>
      <c r="D14" s="126">
        <v>1.4593928075222464E-2</v>
      </c>
      <c r="E14" s="126">
        <v>9.3402101802816037E-3</v>
      </c>
      <c r="F14" s="126">
        <v>2.3061620838024148E-2</v>
      </c>
      <c r="G14" s="126">
        <v>2.3241750012029057E-2</v>
      </c>
      <c r="H14" s="207">
        <v>6.2194070862232192E-3</v>
      </c>
      <c r="I14" s="3"/>
      <c r="J14" s="3"/>
      <c r="K14" s="3"/>
      <c r="L14" s="3"/>
      <c r="M14" s="3"/>
    </row>
    <row r="15" spans="2:13">
      <c r="B15" s="3">
        <v>6</v>
      </c>
      <c r="C15" s="58" t="s">
        <v>91</v>
      </c>
      <c r="D15" s="126">
        <v>7.0243300582298857E-2</v>
      </c>
      <c r="E15" s="126">
        <v>1.9438891146769891E-2</v>
      </c>
      <c r="F15" s="126">
        <v>1.1737484467868545E-2</v>
      </c>
      <c r="G15" s="126">
        <v>3.5001526082229388E-2</v>
      </c>
      <c r="H15" s="207">
        <v>3.7548008766957679E-2</v>
      </c>
      <c r="I15" s="3"/>
      <c r="J15" s="3"/>
      <c r="K15" s="3"/>
      <c r="L15" s="3"/>
      <c r="M15" s="3"/>
    </row>
    <row r="16" spans="2:13">
      <c r="B16" s="3">
        <v>7</v>
      </c>
      <c r="C16" s="58" t="s">
        <v>92</v>
      </c>
      <c r="D16" s="126">
        <v>0.13401629498917728</v>
      </c>
      <c r="E16" s="126">
        <v>0.30806572664543591</v>
      </c>
      <c r="F16" s="126">
        <v>0.70102157297626577</v>
      </c>
      <c r="G16" s="126">
        <v>0.37512953048748515</v>
      </c>
      <c r="H16" s="207">
        <v>0.39430420297961066</v>
      </c>
      <c r="I16" s="3"/>
      <c r="J16" s="3"/>
      <c r="K16" s="3"/>
      <c r="L16" s="3"/>
      <c r="M16" s="3"/>
    </row>
    <row r="17" spans="2:13">
      <c r="B17" s="3">
        <v>8</v>
      </c>
      <c r="C17" s="58" t="s">
        <v>93</v>
      </c>
      <c r="D17" s="126">
        <v>3.4960315916785379E-3</v>
      </c>
      <c r="E17" s="126">
        <v>4.5933981223879221E-3</v>
      </c>
      <c r="F17" s="126">
        <v>1.7661238684206471E-3</v>
      </c>
      <c r="G17" s="126">
        <v>9.2138387258455042E-4</v>
      </c>
      <c r="H17" s="207">
        <v>1.1652506576451831E-2</v>
      </c>
      <c r="I17" s="3"/>
      <c r="J17" s="3"/>
      <c r="K17" s="3"/>
      <c r="L17" s="3"/>
      <c r="M17" s="3"/>
    </row>
    <row r="18" spans="2:13">
      <c r="B18" s="3">
        <v>9</v>
      </c>
      <c r="C18" s="58" t="s">
        <v>94</v>
      </c>
      <c r="D18" s="126">
        <v>0.3750469241221579</v>
      </c>
      <c r="E18" s="126">
        <v>0.38426048232931848</v>
      </c>
      <c r="F18" s="126">
        <v>0.47688090985765619</v>
      </c>
      <c r="G18" s="126">
        <v>0.49184412298847985</v>
      </c>
      <c r="H18" s="207">
        <v>0.49618928515418653</v>
      </c>
      <c r="I18" s="3"/>
      <c r="J18" s="3"/>
      <c r="K18" s="3"/>
      <c r="L18" s="3"/>
      <c r="M18" s="3"/>
    </row>
    <row r="19" spans="2:13">
      <c r="B19" s="3">
        <v>10</v>
      </c>
      <c r="C19" s="58" t="s">
        <v>95</v>
      </c>
      <c r="D19" s="126">
        <v>1.1179552476273287E-2</v>
      </c>
      <c r="E19" s="126">
        <v>6.1486724735129464E-2</v>
      </c>
      <c r="F19" s="126">
        <v>1.1118674644911555E-2</v>
      </c>
      <c r="G19" s="126">
        <v>9.1490642312662893E-3</v>
      </c>
      <c r="H19" s="207">
        <v>8.6844098771676065E-3</v>
      </c>
      <c r="I19" s="3"/>
      <c r="J19" s="3"/>
      <c r="K19" s="3"/>
      <c r="L19" s="3"/>
      <c r="M19" s="3"/>
    </row>
    <row r="20" spans="2:13">
      <c r="B20" s="3">
        <v>11</v>
      </c>
      <c r="C20" s="58" t="s">
        <v>96</v>
      </c>
      <c r="D20" s="126">
        <v>0</v>
      </c>
      <c r="E20" s="126">
        <v>6.8499999999999998E-5</v>
      </c>
      <c r="F20" s="126">
        <v>2.5950000000000002E-4</v>
      </c>
      <c r="G20" s="126">
        <v>3.0268800024674984E-4</v>
      </c>
      <c r="H20" s="207">
        <v>4.5939232659908782E-4</v>
      </c>
      <c r="I20" s="3"/>
      <c r="J20" s="3"/>
      <c r="K20" s="3"/>
      <c r="L20" s="3"/>
      <c r="M20" s="3"/>
    </row>
    <row r="21" spans="2:13">
      <c r="B21" s="3">
        <v>12</v>
      </c>
      <c r="C21" s="58" t="s">
        <v>97</v>
      </c>
      <c r="D21" s="126">
        <v>0</v>
      </c>
      <c r="E21" s="126">
        <v>0</v>
      </c>
      <c r="F21" s="126">
        <v>0</v>
      </c>
      <c r="G21" s="126">
        <v>0</v>
      </c>
      <c r="H21" s="207">
        <v>0</v>
      </c>
      <c r="I21" s="3"/>
      <c r="J21" s="3"/>
      <c r="K21" s="3"/>
      <c r="L21" s="3"/>
      <c r="M21" s="3"/>
    </row>
    <row r="22" spans="2:13">
      <c r="B22" s="3">
        <v>13</v>
      </c>
      <c r="C22" s="58" t="s">
        <v>98</v>
      </c>
      <c r="D22" s="126">
        <v>8.6699006812757853E-3</v>
      </c>
      <c r="E22" s="126">
        <v>7.5502029725645018E-3</v>
      </c>
      <c r="F22" s="126">
        <v>4.7401537848495599E-3</v>
      </c>
      <c r="G22" s="126">
        <v>1.1671342595962555E-2</v>
      </c>
      <c r="H22" s="207">
        <v>1.1721340922491927E-2</v>
      </c>
      <c r="I22" s="3"/>
      <c r="J22" s="3"/>
      <c r="K22" s="3"/>
      <c r="L22" s="3"/>
      <c r="M22" s="3"/>
    </row>
    <row r="23" spans="2:13">
      <c r="B23" s="3">
        <v>14</v>
      </c>
      <c r="C23" s="58" t="s">
        <v>99</v>
      </c>
      <c r="D23" s="126">
        <v>0.3298659484556824</v>
      </c>
      <c r="E23" s="126">
        <v>4.9269226782844719E-2</v>
      </c>
      <c r="F23" s="126">
        <v>2.4699065229616148E-2</v>
      </c>
      <c r="G23" s="126">
        <v>9.7835104668044359E-3</v>
      </c>
      <c r="H23" s="207">
        <v>1.2928624751143359E-2</v>
      </c>
      <c r="I23" s="3"/>
      <c r="J23" s="3"/>
      <c r="K23" s="3"/>
      <c r="L23" s="3"/>
      <c r="M23" s="3"/>
    </row>
    <row r="24" spans="2:13">
      <c r="B24" s="3">
        <v>15</v>
      </c>
      <c r="C24" s="58" t="s">
        <v>100</v>
      </c>
      <c r="D24" s="126">
        <v>0</v>
      </c>
      <c r="E24" s="126">
        <v>0</v>
      </c>
      <c r="F24" s="126">
        <v>0</v>
      </c>
      <c r="G24" s="126">
        <v>0</v>
      </c>
      <c r="H24" s="207">
        <v>0</v>
      </c>
      <c r="I24" s="3"/>
      <c r="J24" s="3"/>
      <c r="K24" s="3"/>
      <c r="L24" s="3"/>
      <c r="M24" s="3"/>
    </row>
    <row r="25" spans="2:13">
      <c r="B25" s="3">
        <v>16</v>
      </c>
      <c r="C25" s="57" t="s">
        <v>101</v>
      </c>
      <c r="D25" s="126">
        <v>0</v>
      </c>
      <c r="E25" s="126">
        <v>0</v>
      </c>
      <c r="F25" s="126">
        <v>0</v>
      </c>
      <c r="G25" s="126">
        <v>0</v>
      </c>
      <c r="H25" s="207">
        <v>0</v>
      </c>
      <c r="I25" s="3"/>
      <c r="J25" s="3"/>
      <c r="K25" s="3"/>
      <c r="L25" s="3"/>
      <c r="M25" s="3"/>
    </row>
    <row r="26" spans="2:13">
      <c r="B26" s="3">
        <v>17</v>
      </c>
      <c r="C26" s="57" t="s">
        <v>102</v>
      </c>
      <c r="D26" s="126">
        <v>0</v>
      </c>
      <c r="E26" s="126">
        <v>0</v>
      </c>
      <c r="F26" s="126">
        <v>0</v>
      </c>
      <c r="G26" s="126">
        <v>0</v>
      </c>
      <c r="H26" s="207">
        <v>0</v>
      </c>
      <c r="I26" s="3"/>
      <c r="J26" s="3"/>
      <c r="K26" s="3"/>
      <c r="L26" s="3"/>
      <c r="M26" s="3"/>
    </row>
    <row r="27" spans="2:13">
      <c r="B27" s="3">
        <v>18</v>
      </c>
      <c r="C27" s="58" t="s">
        <v>103</v>
      </c>
      <c r="D27" s="126">
        <v>3.5326523792046698E-2</v>
      </c>
      <c r="E27" s="126">
        <v>2.6867911436500469E-2</v>
      </c>
      <c r="F27" s="126">
        <v>3.1972785875961938E-2</v>
      </c>
      <c r="G27" s="126">
        <v>3.0697641653871663E-2</v>
      </c>
      <c r="H27" s="207">
        <v>3.4830629117105556E-2</v>
      </c>
      <c r="I27" s="3"/>
      <c r="J27" s="3"/>
      <c r="K27" s="3"/>
      <c r="L27" s="3"/>
      <c r="M27" s="3"/>
    </row>
    <row r="28" spans="2:13">
      <c r="B28" s="3">
        <v>19</v>
      </c>
      <c r="C28" s="58" t="s">
        <v>104</v>
      </c>
      <c r="D28" s="126">
        <v>0.47509704347974213</v>
      </c>
      <c r="E28" s="126">
        <v>0.37269628346291817</v>
      </c>
      <c r="F28" s="126">
        <v>0.49014831987841406</v>
      </c>
      <c r="G28" s="126">
        <v>0.49955240809206858</v>
      </c>
      <c r="H28" s="207">
        <v>0.49034257143896309</v>
      </c>
      <c r="I28" s="3"/>
      <c r="J28" s="3"/>
      <c r="K28" s="3"/>
      <c r="L28" s="3"/>
      <c r="M28" s="3"/>
    </row>
    <row r="29" spans="2:13">
      <c r="B29" s="3">
        <v>20</v>
      </c>
      <c r="C29" s="58" t="s">
        <v>105</v>
      </c>
      <c r="D29" s="126">
        <v>0</v>
      </c>
      <c r="E29" s="126">
        <v>0</v>
      </c>
      <c r="F29" s="126">
        <v>0</v>
      </c>
      <c r="G29" s="126">
        <v>0</v>
      </c>
      <c r="H29" s="207">
        <v>0</v>
      </c>
      <c r="I29" s="3"/>
      <c r="J29" s="3"/>
      <c r="K29" s="3"/>
      <c r="L29" s="3"/>
      <c r="M29" s="3"/>
    </row>
    <row r="30" spans="2:13">
      <c r="B30" s="3">
        <v>21</v>
      </c>
      <c r="C30" s="58" t="s">
        <v>106</v>
      </c>
      <c r="D30" s="126">
        <v>0</v>
      </c>
      <c r="E30" s="126">
        <v>0</v>
      </c>
      <c r="F30" s="126">
        <v>0</v>
      </c>
      <c r="G30" s="126">
        <v>0</v>
      </c>
      <c r="H30" s="207">
        <v>0</v>
      </c>
      <c r="I30" s="3"/>
      <c r="J30" s="3"/>
      <c r="K30" s="3"/>
      <c r="L30" s="3"/>
      <c r="M30" s="3"/>
    </row>
    <row r="31" spans="2:13">
      <c r="B31" s="3">
        <v>22</v>
      </c>
      <c r="C31" s="58" t="s">
        <v>107</v>
      </c>
      <c r="D31" s="126">
        <v>3.9825E-4</v>
      </c>
      <c r="E31" s="126">
        <v>0</v>
      </c>
      <c r="F31" s="126">
        <v>0</v>
      </c>
      <c r="G31" s="126">
        <v>0</v>
      </c>
      <c r="H31" s="207">
        <v>0</v>
      </c>
      <c r="I31" s="3"/>
      <c r="J31" s="3"/>
      <c r="K31" s="3"/>
      <c r="L31" s="3"/>
      <c r="M31" s="3"/>
    </row>
    <row r="32" spans="2:13">
      <c r="B32" s="3">
        <v>23</v>
      </c>
      <c r="C32" s="58" t="s">
        <v>108</v>
      </c>
      <c r="D32" s="126">
        <v>0</v>
      </c>
      <c r="E32" s="126">
        <v>0</v>
      </c>
      <c r="F32" s="126">
        <v>0</v>
      </c>
      <c r="G32" s="126">
        <v>0</v>
      </c>
      <c r="H32" s="207">
        <v>0</v>
      </c>
      <c r="I32" s="3"/>
      <c r="J32" s="3"/>
      <c r="K32" s="3"/>
      <c r="L32" s="3"/>
      <c r="M32" s="3"/>
    </row>
    <row r="33" spans="2:13">
      <c r="B33" s="3">
        <v>24</v>
      </c>
      <c r="C33" s="58" t="s">
        <v>109</v>
      </c>
      <c r="D33" s="126">
        <v>1.9055875617449543E-2</v>
      </c>
      <c r="E33" s="126">
        <v>3.8615322685563594E-3</v>
      </c>
      <c r="F33" s="126">
        <v>2.3481750312138554E-2</v>
      </c>
      <c r="G33" s="126">
        <v>1.3538851149391606E-2</v>
      </c>
      <c r="H33" s="207">
        <v>2.0948898773526424E-2</v>
      </c>
      <c r="I33" s="3"/>
      <c r="J33" s="3"/>
      <c r="K33" s="3"/>
      <c r="L33" s="3"/>
      <c r="M33" s="3"/>
    </row>
    <row r="34" spans="2:13">
      <c r="B34" s="3">
        <v>25</v>
      </c>
      <c r="C34" s="58" t="s">
        <v>110</v>
      </c>
      <c r="D34" s="126">
        <v>0</v>
      </c>
      <c r="E34" s="126">
        <v>0</v>
      </c>
      <c r="F34" s="126">
        <v>0</v>
      </c>
      <c r="G34" s="126">
        <v>0</v>
      </c>
      <c r="H34" s="207">
        <v>0</v>
      </c>
      <c r="I34" s="3"/>
      <c r="J34" s="3"/>
      <c r="K34" s="3"/>
      <c r="L34" s="3"/>
      <c r="M34" s="3"/>
    </row>
    <row r="35" spans="2:13">
      <c r="B35" s="3">
        <v>26</v>
      </c>
      <c r="C35" s="58" t="s">
        <v>111</v>
      </c>
      <c r="D35" s="126">
        <v>0</v>
      </c>
      <c r="E35" s="126">
        <v>0</v>
      </c>
      <c r="F35" s="126">
        <v>0</v>
      </c>
      <c r="G35" s="126">
        <v>0</v>
      </c>
      <c r="H35" s="207">
        <v>0</v>
      </c>
      <c r="I35" s="3"/>
      <c r="J35" s="3"/>
      <c r="K35" s="3"/>
      <c r="L35" s="3"/>
      <c r="M35" s="3"/>
    </row>
    <row r="36" spans="2:13">
      <c r="B36" s="3">
        <v>27</v>
      </c>
      <c r="C36" s="58" t="s">
        <v>112</v>
      </c>
      <c r="D36" s="126">
        <v>2.8384058054132058E-3</v>
      </c>
      <c r="E36" s="126">
        <v>5.2090874783708345E-3</v>
      </c>
      <c r="F36" s="126">
        <v>7.9730782366639417E-3</v>
      </c>
      <c r="G36" s="126">
        <v>4.8948999656092413E-3</v>
      </c>
      <c r="H36" s="207">
        <v>0</v>
      </c>
      <c r="I36" s="3"/>
      <c r="J36" s="3"/>
      <c r="K36" s="3"/>
      <c r="L36" s="3"/>
      <c r="M36" s="3"/>
    </row>
    <row r="37" spans="2:13">
      <c r="B37" s="3">
        <v>28</v>
      </c>
      <c r="C37" s="58" t="s">
        <v>83</v>
      </c>
      <c r="D37" s="126">
        <v>3.3335308832099966E-2</v>
      </c>
      <c r="E37" s="126">
        <v>0.13125461359177554</v>
      </c>
      <c r="F37" s="126">
        <v>8.8783716955184055E-2</v>
      </c>
      <c r="G37" s="126">
        <v>4.9305124581797567E-2</v>
      </c>
      <c r="H37" s="207">
        <v>0.53042358040710769</v>
      </c>
      <c r="I37" s="126">
        <v>2.1277343690694384</v>
      </c>
      <c r="J37" s="126">
        <v>2.2319933531538405</v>
      </c>
      <c r="K37" s="126">
        <v>2.3413610274583787</v>
      </c>
      <c r="L37" s="126">
        <v>2.4560877178038392</v>
      </c>
      <c r="M37" s="126">
        <v>2.5764360159762272</v>
      </c>
    </row>
    <row r="38" spans="2:13" ht="15">
      <c r="B38" s="3">
        <v>29</v>
      </c>
      <c r="C38" s="59" t="s">
        <v>113</v>
      </c>
      <c r="D38" s="116">
        <f>SUM(D10:D37)</f>
        <v>1.645613594893077</v>
      </c>
      <c r="E38" s="116">
        <f t="shared" ref="E38:M38" si="0">SUM(E10:E37)</f>
        <v>1.4836847229590782</v>
      </c>
      <c r="F38" s="116">
        <f t="shared" si="0"/>
        <v>2.1371202389027344</v>
      </c>
      <c r="G38" s="116">
        <f t="shared" si="0"/>
        <v>1.7221415884862978</v>
      </c>
      <c r="H38" s="116">
        <f t="shared" si="0"/>
        <v>2.22783207174253</v>
      </c>
      <c r="I38" s="116">
        <f t="shared" si="0"/>
        <v>2.1277343690694384</v>
      </c>
      <c r="J38" s="116">
        <f t="shared" si="0"/>
        <v>2.2319933531538405</v>
      </c>
      <c r="K38" s="116">
        <f t="shared" si="0"/>
        <v>2.3413610274583787</v>
      </c>
      <c r="L38" s="116">
        <f t="shared" si="0"/>
        <v>2.4560877178038392</v>
      </c>
      <c r="M38" s="116">
        <f t="shared" si="0"/>
        <v>2.5764360159762272</v>
      </c>
    </row>
    <row r="39" spans="2:13">
      <c r="B39" s="3">
        <v>30</v>
      </c>
      <c r="C39" s="47" t="s">
        <v>17</v>
      </c>
      <c r="D39" s="126"/>
      <c r="E39" s="126"/>
      <c r="F39" s="126"/>
      <c r="G39" s="126"/>
      <c r="H39" s="126"/>
      <c r="I39" s="126"/>
      <c r="J39" s="126"/>
      <c r="K39" s="126"/>
      <c r="L39" s="126"/>
      <c r="M39" s="126"/>
    </row>
    <row r="40" spans="2:13" ht="15">
      <c r="B40" s="3">
        <v>31</v>
      </c>
      <c r="C40" s="25" t="s">
        <v>114</v>
      </c>
      <c r="D40" s="116">
        <f>D38-D39</f>
        <v>1.645613594893077</v>
      </c>
      <c r="E40" s="116">
        <f t="shared" ref="E40:M40" si="1">E38-E39</f>
        <v>1.4836847229590782</v>
      </c>
      <c r="F40" s="116">
        <f t="shared" si="1"/>
        <v>2.1371202389027344</v>
      </c>
      <c r="G40" s="116">
        <f t="shared" si="1"/>
        <v>1.7221415884862978</v>
      </c>
      <c r="H40" s="116">
        <f t="shared" si="1"/>
        <v>2.22783207174253</v>
      </c>
      <c r="I40" s="116">
        <f t="shared" si="1"/>
        <v>2.1277343690694384</v>
      </c>
      <c r="J40" s="116">
        <f t="shared" si="1"/>
        <v>2.2319933531538405</v>
      </c>
      <c r="K40" s="116">
        <f t="shared" si="1"/>
        <v>2.3413610274583787</v>
      </c>
      <c r="L40" s="116">
        <f t="shared" si="1"/>
        <v>2.4560877178038392</v>
      </c>
      <c r="M40" s="116">
        <f t="shared" si="1"/>
        <v>2.5764360159762272</v>
      </c>
    </row>
  </sheetData>
  <mergeCells count="6">
    <mergeCell ref="B7:B9"/>
    <mergeCell ref="C7:C9"/>
    <mergeCell ref="I7:M7"/>
    <mergeCell ref="B2:M2"/>
    <mergeCell ref="B3:M3"/>
    <mergeCell ref="B4:M4"/>
  </mergeCells>
  <pageMargins left="0.75" right="0.75" top="1" bottom="1" header="0.5" footer="0.5"/>
  <pageSetup paperSize="9" scale="65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B2:M22"/>
  <sheetViews>
    <sheetView showGridLines="0" zoomScale="80" zoomScaleNormal="80" zoomScaleSheetLayoutView="90" workbookViewId="0">
      <selection activeCell="H31" sqref="H31"/>
    </sheetView>
  </sheetViews>
  <sheetFormatPr defaultColWidth="9.28515625" defaultRowHeight="14.25"/>
  <cols>
    <col min="1" max="1" width="4.5703125" style="19" customWidth="1"/>
    <col min="2" max="2" width="8.7109375" style="60" customWidth="1"/>
    <col min="3" max="3" width="45.7109375" style="19" customWidth="1"/>
    <col min="4" max="8" width="15.7109375" style="19" customWidth="1"/>
    <col min="9" max="9" width="12.28515625" style="19" customWidth="1"/>
    <col min="10" max="10" width="12.28515625" style="19" bestFit="1" customWidth="1"/>
    <col min="11" max="11" width="13" style="19" customWidth="1"/>
    <col min="12" max="12" width="13.42578125" style="19" customWidth="1"/>
    <col min="13" max="13" width="12.7109375" style="19" customWidth="1"/>
    <col min="14" max="16384" width="9.28515625" style="19"/>
  </cols>
  <sheetData>
    <row r="2" spans="2:13" ht="15">
      <c r="B2" s="240" t="s">
        <v>415</v>
      </c>
      <c r="C2" s="240"/>
      <c r="D2" s="240"/>
      <c r="E2" s="240"/>
      <c r="F2" s="240"/>
      <c r="G2" s="240"/>
      <c r="H2" s="240"/>
      <c r="I2" s="240"/>
      <c r="J2" s="240"/>
      <c r="K2" s="240"/>
      <c r="L2" s="240"/>
      <c r="M2" s="240"/>
    </row>
    <row r="3" spans="2:13" ht="15">
      <c r="B3" s="240" t="s">
        <v>414</v>
      </c>
      <c r="C3" s="240"/>
      <c r="D3" s="240"/>
      <c r="E3" s="240"/>
      <c r="F3" s="240"/>
      <c r="G3" s="240"/>
      <c r="H3" s="240"/>
      <c r="I3" s="240"/>
      <c r="J3" s="240"/>
      <c r="K3" s="240"/>
      <c r="L3" s="240"/>
      <c r="M3" s="240"/>
    </row>
    <row r="4" spans="2:13" s="4" customFormat="1" ht="15">
      <c r="B4" s="241" t="s">
        <v>416</v>
      </c>
      <c r="C4" s="241"/>
      <c r="D4" s="241"/>
      <c r="E4" s="241"/>
      <c r="F4" s="241"/>
      <c r="G4" s="241"/>
      <c r="H4" s="241"/>
      <c r="I4" s="241"/>
      <c r="J4" s="241"/>
      <c r="K4" s="241"/>
      <c r="L4" s="241"/>
      <c r="M4" s="241"/>
    </row>
    <row r="6" spans="2:13" ht="15">
      <c r="M6" s="32" t="s">
        <v>4</v>
      </c>
    </row>
    <row r="7" spans="2:13" ht="12.75" customHeight="1">
      <c r="B7" s="235" t="s">
        <v>182</v>
      </c>
      <c r="C7" s="233" t="s">
        <v>18</v>
      </c>
      <c r="D7" s="21" t="s">
        <v>350</v>
      </c>
      <c r="E7" s="21" t="s">
        <v>351</v>
      </c>
      <c r="F7" s="21" t="s">
        <v>352</v>
      </c>
      <c r="G7" s="21" t="s">
        <v>353</v>
      </c>
      <c r="H7" s="21" t="s">
        <v>354</v>
      </c>
      <c r="I7" s="244" t="s">
        <v>220</v>
      </c>
      <c r="J7" s="244"/>
      <c r="K7" s="244"/>
      <c r="L7" s="244"/>
      <c r="M7" s="244"/>
    </row>
    <row r="8" spans="2:13" ht="15">
      <c r="B8" s="235"/>
      <c r="C8" s="233"/>
      <c r="D8" s="21" t="s">
        <v>240</v>
      </c>
      <c r="E8" s="21" t="s">
        <v>240</v>
      </c>
      <c r="F8" s="21" t="s">
        <v>240</v>
      </c>
      <c r="G8" s="21" t="s">
        <v>240</v>
      </c>
      <c r="H8" s="21" t="s">
        <v>239</v>
      </c>
      <c r="I8" s="21" t="s">
        <v>345</v>
      </c>
      <c r="J8" s="21" t="s">
        <v>346</v>
      </c>
      <c r="K8" s="21" t="s">
        <v>347</v>
      </c>
      <c r="L8" s="21" t="s">
        <v>348</v>
      </c>
      <c r="M8" s="21" t="s">
        <v>349</v>
      </c>
    </row>
    <row r="9" spans="2:13" ht="15">
      <c r="B9" s="235"/>
      <c r="C9" s="233"/>
      <c r="D9" s="21" t="s">
        <v>12</v>
      </c>
      <c r="E9" s="21" t="s">
        <v>12</v>
      </c>
      <c r="F9" s="21" t="s">
        <v>12</v>
      </c>
      <c r="G9" s="21" t="s">
        <v>12</v>
      </c>
      <c r="H9" s="21" t="s">
        <v>5</v>
      </c>
      <c r="I9" s="21" t="s">
        <v>8</v>
      </c>
      <c r="J9" s="21" t="s">
        <v>8</v>
      </c>
      <c r="K9" s="21" t="s">
        <v>8</v>
      </c>
      <c r="L9" s="21" t="s">
        <v>8</v>
      </c>
      <c r="M9" s="21" t="s">
        <v>8</v>
      </c>
    </row>
    <row r="10" spans="2:13">
      <c r="B10" s="2">
        <v>1</v>
      </c>
      <c r="C10" s="58" t="s">
        <v>115</v>
      </c>
      <c r="D10" s="126">
        <v>1.9778570565632831</v>
      </c>
      <c r="E10" s="126">
        <v>1.0469885234076617</v>
      </c>
      <c r="F10" s="126">
        <v>5.9052319555623205</v>
      </c>
      <c r="G10" s="126">
        <v>2.0468688328560445</v>
      </c>
      <c r="H10" s="207">
        <v>1.3850337903023489</v>
      </c>
      <c r="I10" s="3"/>
      <c r="J10" s="3"/>
      <c r="K10" s="3"/>
      <c r="L10" s="3"/>
      <c r="M10" s="3"/>
    </row>
    <row r="11" spans="2:13">
      <c r="B11" s="2">
        <v>2</v>
      </c>
      <c r="C11" s="58" t="s">
        <v>116</v>
      </c>
      <c r="D11" s="126">
        <v>4.2414563500000002E-2</v>
      </c>
      <c r="E11" s="126">
        <v>3.4324480185401664E-2</v>
      </c>
      <c r="F11" s="126">
        <v>4.9985000000000003E-4</v>
      </c>
      <c r="G11" s="126">
        <v>2.5230452970158693E-2</v>
      </c>
      <c r="H11" s="207">
        <v>1.4724585E-2</v>
      </c>
      <c r="I11" s="3"/>
      <c r="J11" s="3"/>
      <c r="K11" s="3"/>
      <c r="L11" s="3"/>
      <c r="M11" s="3"/>
    </row>
    <row r="12" spans="2:13">
      <c r="B12" s="2">
        <v>3</v>
      </c>
      <c r="C12" s="58" t="s">
        <v>117</v>
      </c>
      <c r="D12" s="126">
        <v>0.45657412269309627</v>
      </c>
      <c r="E12" s="126">
        <v>0.46488820618364357</v>
      </c>
      <c r="F12" s="126">
        <v>0.42293418649523462</v>
      </c>
      <c r="G12" s="126">
        <v>0.8983773104686319</v>
      </c>
      <c r="H12" s="207">
        <v>0.83888397038232698</v>
      </c>
      <c r="I12" s="3"/>
      <c r="J12" s="3"/>
      <c r="K12" s="3"/>
      <c r="L12" s="3"/>
      <c r="M12" s="3"/>
    </row>
    <row r="13" spans="2:13">
      <c r="B13" s="2">
        <v>4</v>
      </c>
      <c r="C13" s="58" t="s">
        <v>118</v>
      </c>
      <c r="D13" s="126">
        <v>6.0462050000000003E-2</v>
      </c>
      <c r="E13" s="126">
        <v>3.827315E-3</v>
      </c>
      <c r="F13" s="126">
        <v>1.762E-4</v>
      </c>
      <c r="G13" s="126">
        <v>0</v>
      </c>
      <c r="H13" s="207">
        <v>2.4011235500000002E-2</v>
      </c>
      <c r="I13" s="3"/>
      <c r="J13" s="3"/>
      <c r="K13" s="3"/>
      <c r="L13" s="3"/>
      <c r="M13" s="3"/>
    </row>
    <row r="14" spans="2:13">
      <c r="B14" s="2">
        <v>5</v>
      </c>
      <c r="C14" s="58" t="s">
        <v>119</v>
      </c>
      <c r="D14" s="126">
        <v>0.12664577727464241</v>
      </c>
      <c r="E14" s="126">
        <v>4.6270800561062871E-2</v>
      </c>
      <c r="F14" s="126">
        <v>0.31726503082440666</v>
      </c>
      <c r="G14" s="126">
        <v>7.8515780094350979E-2</v>
      </c>
      <c r="H14" s="207">
        <v>0.13504931442238091</v>
      </c>
      <c r="I14" s="3"/>
      <c r="J14" s="3"/>
      <c r="K14" s="3"/>
      <c r="L14" s="3"/>
      <c r="M14" s="3"/>
    </row>
    <row r="15" spans="2:13">
      <c r="B15" s="2">
        <v>6</v>
      </c>
      <c r="C15" s="58" t="s">
        <v>120</v>
      </c>
      <c r="D15" s="126">
        <v>1.0205549999999999E-4</v>
      </c>
      <c r="E15" s="126">
        <v>8.0000000000000004E-4</v>
      </c>
      <c r="F15" s="126">
        <v>1.5355500000000001E-3</v>
      </c>
      <c r="G15" s="126">
        <v>2.7600000000000004E-4</v>
      </c>
      <c r="H15" s="207">
        <v>5.9091194762353385E-3</v>
      </c>
      <c r="I15" s="3"/>
      <c r="J15" s="3"/>
      <c r="K15" s="3"/>
      <c r="L15" s="3"/>
      <c r="M15" s="3"/>
    </row>
    <row r="16" spans="2:13">
      <c r="B16" s="2">
        <v>7</v>
      </c>
      <c r="C16" s="58" t="s">
        <v>121</v>
      </c>
      <c r="D16" s="126">
        <v>5.0817978276557552E-5</v>
      </c>
      <c r="E16" s="126">
        <v>2.3768348164026959E-4</v>
      </c>
      <c r="F16" s="126">
        <v>0</v>
      </c>
      <c r="G16" s="126">
        <v>0</v>
      </c>
      <c r="H16" s="207">
        <v>0</v>
      </c>
      <c r="I16" s="3"/>
      <c r="J16" s="3"/>
      <c r="K16" s="3"/>
      <c r="L16" s="3"/>
      <c r="M16" s="3"/>
    </row>
    <row r="17" spans="2:13">
      <c r="B17" s="2">
        <v>8</v>
      </c>
      <c r="C17" s="58" t="s">
        <v>122</v>
      </c>
      <c r="D17" s="126">
        <v>5.3829343889994996E-2</v>
      </c>
      <c r="E17" s="126">
        <v>0.14765616813136345</v>
      </c>
      <c r="F17" s="126">
        <v>0.17176388449599803</v>
      </c>
      <c r="G17" s="126">
        <v>0.10601745376866431</v>
      </c>
      <c r="H17" s="207">
        <v>9.8139781536906778E-2</v>
      </c>
      <c r="I17" s="126">
        <v>3.9371257077479851</v>
      </c>
      <c r="J17" s="126">
        <v>4.0014362516851563</v>
      </c>
      <c r="K17" s="126">
        <v>4.0255045690269124</v>
      </c>
      <c r="L17" s="126">
        <v>4.0255045690269124</v>
      </c>
      <c r="M17" s="126">
        <v>4.0255045690269124</v>
      </c>
    </row>
    <row r="18" spans="2:13" ht="15">
      <c r="B18" s="2">
        <v>9</v>
      </c>
      <c r="C18" s="59" t="s">
        <v>123</v>
      </c>
      <c r="D18" s="116">
        <f>SUM(D10:D17)</f>
        <v>2.7179357873992935</v>
      </c>
      <c r="E18" s="116">
        <f t="shared" ref="E18:M18" si="0">SUM(E10:E17)</f>
        <v>1.7449931769507736</v>
      </c>
      <c r="F18" s="116">
        <f t="shared" si="0"/>
        <v>6.8194066573779599</v>
      </c>
      <c r="G18" s="116">
        <f t="shared" si="0"/>
        <v>3.1552858301578506</v>
      </c>
      <c r="H18" s="116">
        <f t="shared" si="0"/>
        <v>2.5017517966201996</v>
      </c>
      <c r="I18" s="116">
        <f t="shared" si="0"/>
        <v>3.9371257077479851</v>
      </c>
      <c r="J18" s="116">
        <f t="shared" si="0"/>
        <v>4.0014362516851563</v>
      </c>
      <c r="K18" s="116">
        <f t="shared" si="0"/>
        <v>4.0255045690269124</v>
      </c>
      <c r="L18" s="116">
        <f t="shared" si="0"/>
        <v>4.0255045690269124</v>
      </c>
      <c r="M18" s="116">
        <f t="shared" si="0"/>
        <v>4.0255045690269124</v>
      </c>
    </row>
    <row r="19" spans="2:13">
      <c r="B19" s="2"/>
      <c r="C19" s="57"/>
      <c r="D19" s="3"/>
      <c r="E19" s="3"/>
      <c r="F19" s="3"/>
      <c r="G19" s="3"/>
      <c r="H19" s="3"/>
      <c r="I19" s="3"/>
      <c r="J19" s="3"/>
      <c r="K19" s="3"/>
      <c r="L19" s="3"/>
      <c r="M19" s="3"/>
    </row>
    <row r="20" spans="2:13" ht="15">
      <c r="B20" s="2">
        <v>10</v>
      </c>
      <c r="C20" s="61" t="s">
        <v>124</v>
      </c>
      <c r="D20" s="126">
        <v>1617.59</v>
      </c>
      <c r="E20" s="3">
        <v>1622.02</v>
      </c>
      <c r="F20" s="3">
        <v>1625.49</v>
      </c>
      <c r="G20" s="116">
        <f>'F4'!F21</f>
        <v>1627.47</v>
      </c>
      <c r="H20" s="116">
        <f>'F4'!F38</f>
        <v>1631.5826128400001</v>
      </c>
      <c r="I20" s="116">
        <f>'F4'!F47</f>
        <v>1635.8126128400002</v>
      </c>
      <c r="J20" s="116">
        <f>'F4'!F56</f>
        <v>1662.5326128400002</v>
      </c>
      <c r="K20" s="116">
        <f>'F4'!F65</f>
        <v>1672.5326128400002</v>
      </c>
      <c r="L20" s="116">
        <f>'F4'!F74</f>
        <v>1672.5326128400002</v>
      </c>
      <c r="M20" s="116">
        <f>'F4'!F83</f>
        <v>1672.5326128400002</v>
      </c>
    </row>
    <row r="21" spans="2:13" ht="28.5">
      <c r="B21" s="2">
        <v>11</v>
      </c>
      <c r="C21" s="61" t="s">
        <v>125</v>
      </c>
      <c r="D21" s="127">
        <f>IFERROR(D18/D20,0)</f>
        <v>1.6802377533239534E-3</v>
      </c>
      <c r="E21" s="127">
        <f t="shared" ref="E21:M21" si="1">IFERROR(E18/E20,0)</f>
        <v>1.0758148339421053E-3</v>
      </c>
      <c r="F21" s="127">
        <f t="shared" si="1"/>
        <v>4.1952929008348006E-3</v>
      </c>
      <c r="G21" s="127">
        <f t="shared" si="1"/>
        <v>1.9387674305258165E-3</v>
      </c>
      <c r="H21" s="127">
        <f t="shared" si="1"/>
        <v>1.5333283015718996E-3</v>
      </c>
      <c r="I21" s="127">
        <f t="shared" si="1"/>
        <v>2.4068317341755805E-3</v>
      </c>
      <c r="J21" s="127">
        <f t="shared" si="1"/>
        <v>2.4068317341755805E-3</v>
      </c>
      <c r="K21" s="127">
        <f t="shared" si="1"/>
        <v>2.4068317341755805E-3</v>
      </c>
      <c r="L21" s="127">
        <f t="shared" si="1"/>
        <v>2.4068317341755805E-3</v>
      </c>
      <c r="M21" s="127">
        <f t="shared" si="1"/>
        <v>2.4068317341755805E-3</v>
      </c>
    </row>
    <row r="22" spans="2:13">
      <c r="B22" s="2"/>
      <c r="C22" s="57"/>
      <c r="D22" s="3"/>
      <c r="E22" s="3"/>
      <c r="F22" s="3"/>
      <c r="G22" s="3"/>
      <c r="H22" s="3"/>
      <c r="I22" s="3"/>
      <c r="J22" s="3"/>
      <c r="K22" s="3"/>
      <c r="L22" s="3"/>
      <c r="M22" s="3"/>
    </row>
  </sheetData>
  <mergeCells count="6">
    <mergeCell ref="B7:B9"/>
    <mergeCell ref="C7:C9"/>
    <mergeCell ref="I7:M7"/>
    <mergeCell ref="B2:M2"/>
    <mergeCell ref="B3:M3"/>
    <mergeCell ref="B4:M4"/>
  </mergeCells>
  <pageMargins left="0.75" right="0.75" top="1" bottom="1" header="0.5" footer="0.5"/>
  <pageSetup paperSize="9" scale="65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B1:M16"/>
  <sheetViews>
    <sheetView showGridLines="0" topLeftCell="A2" zoomScale="90" zoomScaleNormal="90" zoomScaleSheetLayoutView="90" workbookViewId="0">
      <selection activeCell="H31" sqref="H31"/>
    </sheetView>
  </sheetViews>
  <sheetFormatPr defaultColWidth="9.28515625" defaultRowHeight="14.25"/>
  <cols>
    <col min="1" max="1" width="4.28515625" style="4" customWidth="1"/>
    <col min="2" max="2" width="6.28515625" style="4" customWidth="1"/>
    <col min="3" max="3" width="34.5703125" style="4" customWidth="1"/>
    <col min="4" max="4" width="13.7109375" style="4" bestFit="1" customWidth="1"/>
    <col min="5" max="5" width="12.5703125" style="4" bestFit="1" customWidth="1"/>
    <col min="6" max="6" width="13.42578125" style="4" bestFit="1" customWidth="1"/>
    <col min="7" max="7" width="13.7109375" style="4" bestFit="1" customWidth="1"/>
    <col min="8" max="8" width="12.5703125" style="4" customWidth="1"/>
    <col min="9" max="9" width="11.7109375" style="4" bestFit="1" customWidth="1"/>
    <col min="10" max="10" width="13.7109375" style="4" bestFit="1" customWidth="1"/>
    <col min="11" max="16" width="11.7109375" style="4" bestFit="1" customWidth="1"/>
    <col min="17" max="16384" width="9.28515625" style="4"/>
  </cols>
  <sheetData>
    <row r="1" spans="2:13" ht="15">
      <c r="B1" s="62"/>
    </row>
    <row r="2" spans="2:13">
      <c r="C2" s="5"/>
      <c r="D2" s="5"/>
      <c r="E2" s="5"/>
      <c r="F2" s="5"/>
      <c r="G2" s="5"/>
      <c r="H2" s="5"/>
      <c r="I2" s="5"/>
      <c r="J2" s="5"/>
      <c r="K2" s="5"/>
    </row>
    <row r="3" spans="2:13" ht="15">
      <c r="B3" s="240" t="s">
        <v>415</v>
      </c>
      <c r="C3" s="240"/>
      <c r="D3" s="240"/>
      <c r="E3" s="240"/>
      <c r="F3" s="240"/>
      <c r="G3" s="240"/>
      <c r="H3" s="240"/>
      <c r="I3" s="240"/>
      <c r="J3" s="240"/>
      <c r="K3" s="240"/>
      <c r="L3" s="240"/>
      <c r="M3" s="240"/>
    </row>
    <row r="4" spans="2:13" ht="15">
      <c r="B4" s="240" t="s">
        <v>414</v>
      </c>
      <c r="C4" s="240"/>
      <c r="D4" s="240"/>
      <c r="E4" s="240"/>
      <c r="F4" s="240"/>
      <c r="G4" s="240"/>
      <c r="H4" s="240"/>
      <c r="I4" s="240"/>
      <c r="J4" s="240"/>
      <c r="K4" s="240"/>
      <c r="L4" s="240"/>
      <c r="M4" s="240"/>
    </row>
    <row r="5" spans="2:13" ht="15">
      <c r="B5" s="241" t="s">
        <v>417</v>
      </c>
      <c r="C5" s="241"/>
      <c r="D5" s="241"/>
      <c r="E5" s="241"/>
      <c r="F5" s="241"/>
      <c r="G5" s="241"/>
      <c r="H5" s="241"/>
      <c r="I5" s="241"/>
      <c r="J5" s="241"/>
      <c r="K5" s="241"/>
      <c r="L5" s="241"/>
      <c r="M5" s="241"/>
    </row>
    <row r="6" spans="2:13" ht="15">
      <c r="M6" s="32" t="s">
        <v>4</v>
      </c>
    </row>
    <row r="7" spans="2:13" s="19" customFormat="1" ht="15" customHeight="1">
      <c r="B7" s="230" t="s">
        <v>182</v>
      </c>
      <c r="C7" s="233" t="s">
        <v>18</v>
      </c>
      <c r="D7" s="237" t="s">
        <v>227</v>
      </c>
      <c r="E7" s="238"/>
      <c r="F7" s="239"/>
      <c r="G7" s="237" t="s">
        <v>392</v>
      </c>
      <c r="H7" s="238"/>
      <c r="I7" s="244" t="s">
        <v>220</v>
      </c>
      <c r="J7" s="244"/>
      <c r="K7" s="244"/>
      <c r="L7" s="244"/>
      <c r="M7" s="244"/>
    </row>
    <row r="8" spans="2:13" s="19" customFormat="1" ht="45">
      <c r="B8" s="231"/>
      <c r="C8" s="233"/>
      <c r="D8" s="21" t="s">
        <v>302</v>
      </c>
      <c r="E8" s="21" t="s">
        <v>240</v>
      </c>
      <c r="F8" s="21" t="s">
        <v>197</v>
      </c>
      <c r="G8" s="21" t="s">
        <v>302</v>
      </c>
      <c r="H8" s="21" t="s">
        <v>239</v>
      </c>
      <c r="I8" s="21" t="s">
        <v>345</v>
      </c>
      <c r="J8" s="21" t="s">
        <v>346</v>
      </c>
      <c r="K8" s="21" t="s">
        <v>347</v>
      </c>
      <c r="L8" s="21" t="s">
        <v>348</v>
      </c>
      <c r="M8" s="21" t="s">
        <v>349</v>
      </c>
    </row>
    <row r="9" spans="2:13" s="19" customFormat="1" ht="15">
      <c r="B9" s="232"/>
      <c r="C9" s="234"/>
      <c r="D9" s="21" t="s">
        <v>10</v>
      </c>
      <c r="E9" s="21" t="s">
        <v>12</v>
      </c>
      <c r="F9" s="21" t="s">
        <v>229</v>
      </c>
      <c r="G9" s="21" t="s">
        <v>10</v>
      </c>
      <c r="H9" s="21" t="s">
        <v>5</v>
      </c>
      <c r="I9" s="21" t="s">
        <v>8</v>
      </c>
      <c r="J9" s="21" t="s">
        <v>8</v>
      </c>
      <c r="K9" s="21" t="s">
        <v>8</v>
      </c>
      <c r="L9" s="21" t="s">
        <v>8</v>
      </c>
      <c r="M9" s="21" t="s">
        <v>8</v>
      </c>
    </row>
    <row r="10" spans="2:13" s="5" customFormat="1">
      <c r="B10" s="65">
        <v>1</v>
      </c>
      <c r="C10" s="33" t="s">
        <v>244</v>
      </c>
      <c r="D10" s="2"/>
      <c r="E10" s="33">
        <v>1.06</v>
      </c>
      <c r="F10" s="33">
        <v>1.06</v>
      </c>
      <c r="G10" s="113"/>
      <c r="H10" s="113">
        <f>E13</f>
        <v>-4.7378000000017906E-3</v>
      </c>
      <c r="I10" s="113">
        <f>H13</f>
        <v>0</v>
      </c>
      <c r="J10" s="113">
        <f>I13</f>
        <v>0</v>
      </c>
      <c r="K10" s="113">
        <f>J13</f>
        <v>0</v>
      </c>
      <c r="L10" s="113">
        <f>K13</f>
        <v>0</v>
      </c>
      <c r="M10" s="113">
        <f>L13</f>
        <v>0</v>
      </c>
    </row>
    <row r="11" spans="2:13" s="5" customFormat="1">
      <c r="B11" s="26">
        <v>2</v>
      </c>
      <c r="C11" s="33" t="s">
        <v>260</v>
      </c>
      <c r="D11" s="2"/>
      <c r="E11" s="111">
        <f>F3.1!G20</f>
        <v>3.0501751759999989</v>
      </c>
      <c r="F11" s="111">
        <f>E11</f>
        <v>3.0501751759999989</v>
      </c>
      <c r="G11" s="27"/>
      <c r="H11" s="113">
        <f>F3.1!G31</f>
        <v>8.5500000000000007</v>
      </c>
      <c r="I11" s="113">
        <f>F3.1!G40</f>
        <v>26.72</v>
      </c>
      <c r="J11" s="113">
        <f>F3.1!G46</f>
        <v>10</v>
      </c>
      <c r="K11" s="113">
        <f>F3.1!G52</f>
        <v>0</v>
      </c>
      <c r="L11" s="113">
        <f>F3.1!G55</f>
        <v>0</v>
      </c>
      <c r="M11" s="113">
        <f>F3.1!G61</f>
        <v>0</v>
      </c>
    </row>
    <row r="12" spans="2:13" s="5" customFormat="1" ht="15">
      <c r="B12" s="26">
        <v>3</v>
      </c>
      <c r="C12" s="35" t="s">
        <v>211</v>
      </c>
      <c r="D12" s="123"/>
      <c r="E12" s="133">
        <f>F3.1!H20</f>
        <v>4.1149129760000003</v>
      </c>
      <c r="F12" s="133">
        <f>E12</f>
        <v>4.1149129760000003</v>
      </c>
      <c r="G12" s="123"/>
      <c r="H12" s="134">
        <f>F3.1!H31</f>
        <v>4.2300000000000004</v>
      </c>
      <c r="I12" s="134">
        <f>F3.1!H40</f>
        <v>26.72</v>
      </c>
      <c r="J12" s="134">
        <f>F3.1!H46</f>
        <v>10</v>
      </c>
      <c r="K12" s="134">
        <f>F3.1!H52</f>
        <v>0</v>
      </c>
      <c r="L12" s="134">
        <f>F3.1!H55</f>
        <v>0</v>
      </c>
      <c r="M12" s="134">
        <f>F3.1!H61</f>
        <v>0</v>
      </c>
    </row>
    <row r="13" spans="2:13" s="5" customFormat="1" ht="15">
      <c r="B13" s="26">
        <v>4</v>
      </c>
      <c r="C13" s="33" t="s">
        <v>245</v>
      </c>
      <c r="D13" s="125">
        <f>D10+D11-D12</f>
        <v>0</v>
      </c>
      <c r="E13" s="125">
        <f>E10+E11-E12</f>
        <v>-4.7378000000017906E-3</v>
      </c>
      <c r="F13" s="125">
        <f t="shared" ref="F13:M13" si="0">F10+F11-F12</f>
        <v>-4.7378000000017906E-3</v>
      </c>
      <c r="G13" s="125">
        <f t="shared" si="0"/>
        <v>0</v>
      </c>
      <c r="H13" s="124">
        <v>0</v>
      </c>
      <c r="I13" s="125">
        <f t="shared" si="0"/>
        <v>0</v>
      </c>
      <c r="J13" s="125">
        <f t="shared" si="0"/>
        <v>0</v>
      </c>
      <c r="K13" s="125">
        <f t="shared" si="0"/>
        <v>0</v>
      </c>
      <c r="L13" s="125">
        <f t="shared" si="0"/>
        <v>0</v>
      </c>
      <c r="M13" s="125">
        <f t="shared" si="0"/>
        <v>0</v>
      </c>
    </row>
    <row r="14" spans="2:13" s="39" customFormat="1" ht="15">
      <c r="B14" s="66"/>
      <c r="C14" s="54"/>
      <c r="D14" s="63"/>
      <c r="E14" s="63"/>
      <c r="F14" s="63"/>
      <c r="G14" s="64"/>
      <c r="H14" s="30"/>
      <c r="I14" s="30"/>
      <c r="J14" s="30"/>
      <c r="K14" s="30"/>
    </row>
    <row r="16" spans="2:13">
      <c r="B16" s="67"/>
    </row>
  </sheetData>
  <mergeCells count="8">
    <mergeCell ref="B3:M3"/>
    <mergeCell ref="B4:M4"/>
    <mergeCell ref="B5:M5"/>
    <mergeCell ref="B7:B9"/>
    <mergeCell ref="C7:C9"/>
    <mergeCell ref="D7:F7"/>
    <mergeCell ref="G7:H7"/>
    <mergeCell ref="I7:M7"/>
  </mergeCells>
  <pageMargins left="1.02" right="0.25" top="1" bottom="1" header="0.25" footer="0.25"/>
  <pageSetup paperSize="9" scale="79" orientation="landscape" r:id="rId1"/>
  <headerFooter alignWithMargins="0">
    <oddHeader>&amp;F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65"/>
  <sheetViews>
    <sheetView showGridLines="0" topLeftCell="B1" zoomScale="80" zoomScaleNormal="80" zoomScaleSheetLayoutView="90" workbookViewId="0">
      <selection activeCell="H31" sqref="H31"/>
    </sheetView>
  </sheetViews>
  <sheetFormatPr defaultColWidth="9.28515625" defaultRowHeight="14.25"/>
  <cols>
    <col min="1" max="1" width="4.28515625" style="5" customWidth="1"/>
    <col min="2" max="2" width="6.28515625" style="5" customWidth="1"/>
    <col min="3" max="3" width="18.28515625" style="5" customWidth="1"/>
    <col min="4" max="4" width="21.28515625" style="5" customWidth="1"/>
    <col min="5" max="5" width="32.28515625" style="5" customWidth="1"/>
    <col min="6" max="7" width="22" style="5" customWidth="1"/>
    <col min="8" max="8" width="17.7109375" style="5" customWidth="1"/>
    <col min="9" max="9" width="35" style="5" customWidth="1"/>
    <col min="10" max="10" width="31.42578125" style="5" customWidth="1"/>
    <col min="11" max="11" width="37" style="5" customWidth="1"/>
    <col min="12" max="12" width="32.28515625" style="5" customWidth="1"/>
    <col min="13" max="13" width="13.28515625" style="5" bestFit="1" customWidth="1"/>
    <col min="14" max="14" width="12.5703125" style="5" customWidth="1"/>
    <col min="15" max="15" width="11.7109375" style="5" bestFit="1" customWidth="1"/>
    <col min="16" max="16" width="13.7109375" style="5" bestFit="1" customWidth="1"/>
    <col min="17" max="22" width="11.7109375" style="5" bestFit="1" customWidth="1"/>
    <col min="23" max="16384" width="9.28515625" style="5"/>
  </cols>
  <sheetData>
    <row r="1" spans="1:22" ht="15">
      <c r="B1" s="30"/>
    </row>
    <row r="2" spans="1:22" ht="15">
      <c r="B2" s="240" t="s">
        <v>409</v>
      </c>
      <c r="C2" s="240"/>
      <c r="D2" s="240"/>
      <c r="E2" s="240"/>
      <c r="F2" s="240"/>
      <c r="G2" s="240"/>
      <c r="H2" s="240"/>
      <c r="I2" s="240"/>
      <c r="J2" s="240"/>
      <c r="K2" s="240"/>
      <c r="L2" s="240"/>
    </row>
    <row r="3" spans="1:22" ht="15">
      <c r="B3" s="240" t="s">
        <v>414</v>
      </c>
      <c r="C3" s="240"/>
      <c r="D3" s="240"/>
      <c r="E3" s="240"/>
      <c r="F3" s="240"/>
      <c r="G3" s="240"/>
      <c r="H3" s="240"/>
      <c r="I3" s="240"/>
      <c r="J3" s="240"/>
      <c r="K3" s="240"/>
      <c r="L3" s="240"/>
    </row>
    <row r="4" spans="1:22" ht="15">
      <c r="B4" s="241" t="s">
        <v>259</v>
      </c>
      <c r="C4" s="241"/>
      <c r="D4" s="241"/>
      <c r="E4" s="241"/>
      <c r="F4" s="241"/>
      <c r="G4" s="241"/>
      <c r="H4" s="241"/>
      <c r="I4" s="241"/>
      <c r="J4" s="241"/>
      <c r="K4" s="241"/>
      <c r="L4" s="241"/>
    </row>
    <row r="5" spans="1:22" ht="15">
      <c r="K5" s="41"/>
    </row>
    <row r="6" spans="1:22" ht="60">
      <c r="B6" s="21" t="s">
        <v>182</v>
      </c>
      <c r="C6" s="29" t="s">
        <v>246</v>
      </c>
      <c r="D6" s="37" t="s">
        <v>248</v>
      </c>
      <c r="E6" s="29" t="s">
        <v>247</v>
      </c>
      <c r="F6" s="37" t="s">
        <v>250</v>
      </c>
      <c r="G6" s="37" t="s">
        <v>253</v>
      </c>
      <c r="H6" s="37" t="s">
        <v>254</v>
      </c>
      <c r="I6" s="37" t="s">
        <v>256</v>
      </c>
      <c r="J6" s="29" t="s">
        <v>249</v>
      </c>
      <c r="K6" s="37" t="s">
        <v>255</v>
      </c>
      <c r="L6" s="37" t="s">
        <v>171</v>
      </c>
      <c r="M6" s="31"/>
      <c r="N6" s="31"/>
      <c r="O6" s="31"/>
      <c r="P6" s="31"/>
    </row>
    <row r="7" spans="1:22" s="39" customFormat="1" ht="30">
      <c r="B7" s="26"/>
      <c r="C7" s="37" t="s">
        <v>418</v>
      </c>
      <c r="D7" s="36"/>
      <c r="E7" s="36"/>
      <c r="F7" s="36"/>
      <c r="G7" s="36"/>
      <c r="H7" s="36"/>
      <c r="I7" s="36"/>
      <c r="J7" s="36"/>
      <c r="K7" s="37"/>
      <c r="L7" s="38"/>
      <c r="M7" s="30"/>
      <c r="N7" s="30"/>
      <c r="O7" s="30"/>
      <c r="P7" s="30"/>
      <c r="Q7" s="30"/>
    </row>
    <row r="8" spans="1:22" s="39" customFormat="1" ht="15">
      <c r="B8" s="26">
        <v>1</v>
      </c>
      <c r="C8" s="154" t="s">
        <v>356</v>
      </c>
      <c r="D8" s="36"/>
      <c r="E8" s="36"/>
      <c r="F8" s="36"/>
      <c r="G8" s="137">
        <v>0.02</v>
      </c>
      <c r="H8" s="137">
        <v>0.02</v>
      </c>
      <c r="I8" s="154" t="s">
        <v>356</v>
      </c>
      <c r="J8" s="36"/>
      <c r="K8" s="37"/>
      <c r="L8" s="38"/>
      <c r="M8" s="30"/>
      <c r="N8" s="30"/>
      <c r="O8" s="30"/>
      <c r="P8" s="30"/>
      <c r="Q8" s="30"/>
    </row>
    <row r="9" spans="1:22" s="39" customFormat="1" ht="15">
      <c r="B9" s="26">
        <v>2</v>
      </c>
      <c r="C9" s="154" t="s">
        <v>357</v>
      </c>
      <c r="D9" s="36"/>
      <c r="E9" s="36"/>
      <c r="F9" s="36"/>
      <c r="G9" s="155">
        <v>3.2</v>
      </c>
      <c r="H9" s="137">
        <v>3.2</v>
      </c>
      <c r="I9" s="154"/>
      <c r="J9" s="36"/>
      <c r="K9" s="37"/>
      <c r="L9" s="38"/>
      <c r="M9" s="30"/>
      <c r="N9" s="30"/>
      <c r="O9" s="30"/>
      <c r="P9" s="30"/>
      <c r="Q9" s="30"/>
    </row>
    <row r="10" spans="1:22">
      <c r="A10" s="156"/>
      <c r="B10" s="26">
        <v>3</v>
      </c>
      <c r="C10" s="154" t="s">
        <v>358</v>
      </c>
      <c r="D10" s="33"/>
      <c r="E10" s="33" t="s">
        <v>359</v>
      </c>
      <c r="F10" s="33"/>
      <c r="G10" s="249">
        <v>1.191417876</v>
      </c>
      <c r="H10" s="157">
        <v>0.02</v>
      </c>
      <c r="I10" s="154" t="s">
        <v>360</v>
      </c>
      <c r="J10" s="33"/>
      <c r="K10" s="33"/>
      <c r="L10" s="33"/>
      <c r="R10" s="156"/>
      <c r="S10" s="156"/>
      <c r="T10" s="156"/>
      <c r="U10" s="156"/>
      <c r="V10" s="156"/>
    </row>
    <row r="11" spans="1:22">
      <c r="A11" s="156"/>
      <c r="B11" s="26">
        <v>4</v>
      </c>
      <c r="C11" s="154" t="s">
        <v>358</v>
      </c>
      <c r="D11" s="33"/>
      <c r="E11" s="154" t="s">
        <v>355</v>
      </c>
      <c r="F11" s="33"/>
      <c r="G11" s="250"/>
      <c r="H11" s="157">
        <v>0.39720526299999998</v>
      </c>
      <c r="I11" s="154" t="s">
        <v>355</v>
      </c>
      <c r="J11" s="33"/>
      <c r="K11" s="33"/>
      <c r="L11" s="33"/>
      <c r="R11" s="156"/>
      <c r="S11" s="156"/>
      <c r="T11" s="156"/>
      <c r="U11" s="156"/>
      <c r="V11" s="156"/>
    </row>
    <row r="12" spans="1:22">
      <c r="A12" s="156"/>
      <c r="B12" s="26">
        <v>5</v>
      </c>
      <c r="C12" s="154" t="s">
        <v>361</v>
      </c>
      <c r="D12" s="33"/>
      <c r="E12" s="154" t="s">
        <v>362</v>
      </c>
      <c r="F12" s="33"/>
      <c r="G12" s="157">
        <v>0.47</v>
      </c>
      <c r="H12" s="157">
        <v>0.437707713</v>
      </c>
      <c r="I12" s="154" t="s">
        <v>356</v>
      </c>
      <c r="J12" s="33"/>
      <c r="K12" s="33"/>
      <c r="L12" s="33"/>
      <c r="R12" s="156"/>
      <c r="S12" s="156"/>
      <c r="T12" s="156"/>
      <c r="U12" s="156"/>
      <c r="V12" s="156"/>
    </row>
    <row r="13" spans="1:22">
      <c r="A13" s="156"/>
      <c r="B13" s="26">
        <v>6</v>
      </c>
      <c r="C13" s="154" t="s">
        <v>363</v>
      </c>
      <c r="D13" s="33"/>
      <c r="E13" s="33"/>
      <c r="F13" s="33"/>
      <c r="G13" s="157">
        <v>4.9663859159999992</v>
      </c>
      <c r="H13" s="33"/>
      <c r="I13" s="33"/>
      <c r="J13" s="33"/>
      <c r="K13" s="33"/>
      <c r="L13" s="33"/>
      <c r="R13" s="156"/>
      <c r="S13" s="156"/>
      <c r="T13" s="156"/>
      <c r="U13" s="156"/>
      <c r="V13" s="156"/>
    </row>
    <row r="14" spans="1:22">
      <c r="A14" s="156"/>
      <c r="B14" s="26">
        <v>7</v>
      </c>
      <c r="C14" s="154" t="s">
        <v>364</v>
      </c>
      <c r="D14" s="33"/>
      <c r="E14" s="154" t="s">
        <v>355</v>
      </c>
      <c r="F14" s="33"/>
      <c r="G14" s="157">
        <f>0.082371384-0.07</f>
        <v>1.2371383999999999E-2</v>
      </c>
      <c r="H14" s="33">
        <v>0.04</v>
      </c>
      <c r="I14" s="154" t="s">
        <v>355</v>
      </c>
      <c r="J14" s="33"/>
      <c r="K14" s="33"/>
      <c r="L14" s="33"/>
      <c r="R14" s="156"/>
      <c r="S14" s="156"/>
      <c r="T14" s="156"/>
      <c r="U14" s="156"/>
      <c r="V14" s="156"/>
    </row>
    <row r="15" spans="1:22">
      <c r="A15" s="156"/>
      <c r="B15" s="26">
        <v>8</v>
      </c>
      <c r="C15" s="154" t="s">
        <v>365</v>
      </c>
      <c r="D15" s="33"/>
      <c r="E15" s="33"/>
      <c r="F15" s="33"/>
      <c r="G15" s="5">
        <v>-6.81</v>
      </c>
      <c r="H15" s="157"/>
      <c r="I15" s="158"/>
      <c r="J15" s="33"/>
      <c r="K15" s="33"/>
      <c r="L15" s="33"/>
      <c r="R15" s="156"/>
      <c r="S15" s="156"/>
      <c r="T15" s="156"/>
      <c r="U15" s="156"/>
      <c r="V15" s="156"/>
    </row>
    <row r="16" spans="1:22">
      <c r="B16" s="26">
        <v>1</v>
      </c>
      <c r="C16" s="26"/>
      <c r="D16" s="33"/>
      <c r="E16" s="33"/>
      <c r="F16" s="33"/>
      <c r="G16" s="33"/>
      <c r="H16" s="33"/>
      <c r="I16" s="33"/>
      <c r="J16" s="33"/>
      <c r="K16" s="33"/>
      <c r="L16" s="33"/>
    </row>
    <row r="17" spans="1:22">
      <c r="B17" s="26">
        <v>2</v>
      </c>
      <c r="C17" s="26"/>
      <c r="D17" s="33"/>
      <c r="E17" s="33"/>
      <c r="F17" s="33"/>
      <c r="G17" s="33"/>
      <c r="H17" s="33"/>
      <c r="I17" s="33"/>
      <c r="J17" s="33"/>
      <c r="K17" s="33"/>
      <c r="L17" s="33"/>
    </row>
    <row r="18" spans="1:22">
      <c r="B18" s="26">
        <v>3</v>
      </c>
      <c r="C18" s="26"/>
      <c r="D18" s="33"/>
      <c r="E18" s="33"/>
      <c r="F18" s="33"/>
      <c r="G18" s="33"/>
      <c r="H18" s="33"/>
      <c r="I18" s="33"/>
      <c r="J18" s="33"/>
      <c r="K18" s="33"/>
      <c r="L18" s="33"/>
    </row>
    <row r="19" spans="1:22">
      <c r="B19" s="33"/>
      <c r="C19" s="33" t="s">
        <v>9</v>
      </c>
      <c r="D19" s="33"/>
      <c r="E19" s="33"/>
      <c r="F19" s="33">
        <v>0</v>
      </c>
      <c r="G19" s="33">
        <v>3.0501751759999989</v>
      </c>
      <c r="H19" s="33">
        <v>4.1149129760000003</v>
      </c>
      <c r="I19" s="33"/>
      <c r="J19" s="33"/>
      <c r="K19" s="33"/>
      <c r="L19" s="33"/>
    </row>
    <row r="20" spans="1:22" ht="15">
      <c r="B20" s="33"/>
      <c r="C20" s="29" t="s">
        <v>126</v>
      </c>
      <c r="D20" s="135"/>
      <c r="E20" s="122"/>
      <c r="F20" s="117">
        <f>F19</f>
        <v>0</v>
      </c>
      <c r="G20" s="117">
        <f t="shared" ref="G20:H20" si="0">G19</f>
        <v>3.0501751759999989</v>
      </c>
      <c r="H20" s="117">
        <f t="shared" si="0"/>
        <v>4.1149129760000003</v>
      </c>
      <c r="I20" s="33"/>
      <c r="J20" s="33"/>
      <c r="K20" s="33"/>
      <c r="L20" s="33"/>
    </row>
    <row r="21" spans="1:22" ht="30">
      <c r="B21" s="26"/>
      <c r="C21" s="37" t="s">
        <v>419</v>
      </c>
      <c r="D21" s="122"/>
      <c r="E21" s="122"/>
      <c r="F21" s="122"/>
      <c r="G21" s="122"/>
      <c r="H21" s="122"/>
      <c r="I21" s="33"/>
      <c r="J21" s="33"/>
      <c r="K21" s="33"/>
      <c r="L21" s="33"/>
    </row>
    <row r="22" spans="1:22" ht="28.5">
      <c r="A22" s="156"/>
      <c r="B22" s="26">
        <v>1</v>
      </c>
      <c r="C22" s="43" t="s">
        <v>361</v>
      </c>
      <c r="D22" s="33"/>
      <c r="E22" s="27"/>
      <c r="F22" s="33"/>
      <c r="G22" s="251">
        <v>0.55000000000000004</v>
      </c>
      <c r="H22" s="33">
        <v>0.56000000000000005</v>
      </c>
      <c r="I22" s="154" t="s">
        <v>356</v>
      </c>
      <c r="J22" s="33"/>
      <c r="K22" s="33"/>
      <c r="L22" s="33"/>
      <c r="R22" s="156"/>
      <c r="S22" s="156"/>
      <c r="T22" s="156"/>
      <c r="U22" s="156"/>
      <c r="V22" s="156"/>
    </row>
    <row r="23" spans="1:22" ht="28.5">
      <c r="A23" s="156"/>
      <c r="B23" s="26">
        <v>2</v>
      </c>
      <c r="C23" s="43" t="s">
        <v>361</v>
      </c>
      <c r="D23" s="33"/>
      <c r="E23" s="27"/>
      <c r="F23" s="33"/>
      <c r="G23" s="252"/>
      <c r="H23" s="33">
        <v>0.01</v>
      </c>
      <c r="I23" s="154" t="s">
        <v>355</v>
      </c>
      <c r="J23" s="33"/>
      <c r="K23" s="33"/>
      <c r="L23" s="33"/>
      <c r="R23" s="156"/>
      <c r="S23" s="156"/>
      <c r="T23" s="156"/>
      <c r="U23" s="156"/>
      <c r="V23" s="156"/>
    </row>
    <row r="24" spans="1:22" ht="42.75">
      <c r="A24" s="156"/>
      <c r="B24" s="26">
        <v>3</v>
      </c>
      <c r="C24" s="43" t="s">
        <v>363</v>
      </c>
      <c r="D24" s="33"/>
      <c r="E24" s="27"/>
      <c r="F24" s="33"/>
      <c r="G24" s="33">
        <v>0.1</v>
      </c>
      <c r="H24" s="159">
        <v>0.1</v>
      </c>
      <c r="I24" s="154" t="s">
        <v>355</v>
      </c>
      <c r="J24" s="33"/>
      <c r="K24" s="33"/>
      <c r="L24" s="33"/>
      <c r="R24" s="156"/>
      <c r="S24" s="156"/>
      <c r="T24" s="156"/>
      <c r="U24" s="156"/>
      <c r="V24" s="156"/>
    </row>
    <row r="25" spans="1:22" ht="15">
      <c r="A25" s="156"/>
      <c r="B25" s="26"/>
      <c r="C25" s="88" t="s">
        <v>3</v>
      </c>
      <c r="D25" s="33"/>
      <c r="E25" s="27"/>
      <c r="F25" s="33"/>
      <c r="G25" s="44">
        <f>+G22+G24</f>
        <v>0.65</v>
      </c>
      <c r="H25" s="160">
        <f>+H24+H23+H22</f>
        <v>0.67</v>
      </c>
      <c r="I25" s="154"/>
      <c r="J25" s="33"/>
      <c r="K25" s="33"/>
      <c r="L25" s="33"/>
      <c r="R25" s="156"/>
      <c r="S25" s="156"/>
      <c r="T25" s="156"/>
      <c r="U25" s="156"/>
      <c r="V25" s="156"/>
    </row>
    <row r="26" spans="1:22">
      <c r="A26" s="156"/>
      <c r="B26" s="26"/>
      <c r="C26" s="88" t="s">
        <v>5</v>
      </c>
      <c r="D26" s="33"/>
      <c r="E26" s="33"/>
      <c r="F26" s="33"/>
      <c r="G26" s="158">
        <v>7.9</v>
      </c>
      <c r="H26" s="159"/>
      <c r="I26" s="154"/>
      <c r="J26" s="33"/>
      <c r="K26" s="33"/>
      <c r="L26" s="33"/>
      <c r="R26" s="156"/>
      <c r="S26" s="156"/>
      <c r="T26" s="156"/>
      <c r="U26" s="156"/>
      <c r="V26" s="156"/>
    </row>
    <row r="27" spans="1:22">
      <c r="B27" s="26">
        <v>1</v>
      </c>
      <c r="C27" s="26"/>
      <c r="D27" s="122"/>
      <c r="E27" s="122"/>
      <c r="F27" s="122"/>
      <c r="G27" s="122"/>
      <c r="H27" s="122"/>
      <c r="I27" s="33"/>
      <c r="J27" s="33"/>
      <c r="K27" s="33"/>
      <c r="L27" s="33"/>
    </row>
    <row r="28" spans="1:22">
      <c r="B28" s="26">
        <v>2</v>
      </c>
      <c r="C28" s="26"/>
      <c r="D28" s="122"/>
      <c r="E28" s="122"/>
      <c r="F28" s="122"/>
      <c r="G28" s="122"/>
      <c r="H28" s="122"/>
      <c r="I28" s="33"/>
      <c r="J28" s="33"/>
      <c r="K28" s="33"/>
      <c r="L28" s="33"/>
    </row>
    <row r="29" spans="1:22">
      <c r="B29" s="26">
        <v>3</v>
      </c>
      <c r="C29" s="26"/>
      <c r="D29" s="122"/>
      <c r="E29" s="122"/>
      <c r="F29" s="122"/>
      <c r="G29" s="122"/>
      <c r="H29" s="122"/>
      <c r="I29" s="33"/>
      <c r="J29" s="33"/>
      <c r="K29" s="33"/>
      <c r="L29" s="33"/>
    </row>
    <row r="30" spans="1:22">
      <c r="B30" s="33"/>
      <c r="C30" s="33" t="s">
        <v>9</v>
      </c>
      <c r="D30" s="122"/>
      <c r="E30" s="122"/>
      <c r="F30" s="122"/>
      <c r="G30" s="122"/>
      <c r="H30" s="122">
        <v>3.56</v>
      </c>
      <c r="I30" s="33"/>
      <c r="J30" s="33"/>
      <c r="K30" s="33"/>
      <c r="L30" s="33"/>
    </row>
    <row r="31" spans="1:22">
      <c r="B31" s="33"/>
      <c r="C31" s="33"/>
      <c r="D31" s="122"/>
      <c r="E31" s="122"/>
      <c r="F31" s="122">
        <v>0</v>
      </c>
      <c r="G31" s="122">
        <v>8.5500000000000007</v>
      </c>
      <c r="H31" s="122">
        <v>4.2300000000000004</v>
      </c>
      <c r="I31" s="33"/>
      <c r="J31" s="33"/>
      <c r="K31" s="33"/>
      <c r="L31" s="33"/>
    </row>
    <row r="32" spans="1:22" ht="15">
      <c r="B32" s="33"/>
      <c r="C32" s="29" t="s">
        <v>126</v>
      </c>
      <c r="D32" s="135"/>
      <c r="E32" s="122"/>
      <c r="F32" s="117">
        <f>F31</f>
        <v>0</v>
      </c>
      <c r="G32" s="117">
        <f t="shared" ref="G32:H32" si="1">G31</f>
        <v>8.5500000000000007</v>
      </c>
      <c r="H32" s="117">
        <f t="shared" si="1"/>
        <v>4.2300000000000004</v>
      </c>
      <c r="I32" s="33">
        <f>4.23-0.67</f>
        <v>3.5600000000000005</v>
      </c>
      <c r="J32" s="33"/>
      <c r="K32" s="33"/>
      <c r="L32" s="33"/>
    </row>
    <row r="33" spans="2:12" ht="30">
      <c r="B33" s="26"/>
      <c r="C33" s="37" t="s">
        <v>420</v>
      </c>
      <c r="D33" s="122"/>
      <c r="E33" s="122"/>
      <c r="F33" s="122"/>
      <c r="G33" s="122"/>
      <c r="H33" s="122"/>
      <c r="I33" s="33"/>
      <c r="J33" s="33"/>
      <c r="K33" s="33"/>
      <c r="L33" s="33"/>
    </row>
    <row r="34" spans="2:12">
      <c r="B34" s="26">
        <v>1</v>
      </c>
      <c r="C34" s="26"/>
      <c r="D34" s="122"/>
      <c r="E34" s="122"/>
      <c r="F34" s="122"/>
      <c r="G34" s="122"/>
      <c r="H34" s="122"/>
      <c r="I34" s="33"/>
      <c r="J34" s="33"/>
      <c r="K34" s="33"/>
      <c r="L34" s="33"/>
    </row>
    <row r="35" spans="2:12" ht="45">
      <c r="B35" s="26">
        <v>2</v>
      </c>
      <c r="C35" s="26"/>
      <c r="D35" s="122"/>
      <c r="E35" s="218" t="s">
        <v>411</v>
      </c>
      <c r="F35" s="122"/>
      <c r="G35" s="122">
        <v>10</v>
      </c>
      <c r="H35" s="122">
        <v>10</v>
      </c>
      <c r="I35" s="33"/>
      <c r="J35" s="33"/>
      <c r="K35" s="33"/>
      <c r="L35" s="33"/>
    </row>
    <row r="36" spans="2:12" ht="15">
      <c r="B36" s="26">
        <v>3</v>
      </c>
      <c r="C36" s="26"/>
      <c r="D36" s="122"/>
      <c r="E36" s="135" t="s">
        <v>366</v>
      </c>
      <c r="F36" s="122"/>
      <c r="G36" s="122">
        <v>1.1200000000000001</v>
      </c>
      <c r="H36" s="122">
        <v>1.1200000000000001</v>
      </c>
      <c r="I36" s="33"/>
      <c r="J36" s="33"/>
      <c r="K36" s="33"/>
      <c r="L36" s="33"/>
    </row>
    <row r="37" spans="2:12" ht="75">
      <c r="B37" s="33"/>
      <c r="C37" s="33" t="s">
        <v>9</v>
      </c>
      <c r="D37" s="122"/>
      <c r="E37" s="218" t="s">
        <v>412</v>
      </c>
      <c r="F37" s="122"/>
      <c r="G37" s="122">
        <v>15.6</v>
      </c>
      <c r="H37" s="122">
        <v>15.6</v>
      </c>
      <c r="I37" s="33"/>
      <c r="J37" s="33"/>
      <c r="K37" s="33"/>
      <c r="L37" s="33"/>
    </row>
    <row r="38" spans="2:12">
      <c r="B38" s="33"/>
      <c r="C38" s="33"/>
      <c r="D38" s="122"/>
      <c r="E38" s="122"/>
      <c r="F38" s="122"/>
      <c r="G38" s="122"/>
      <c r="H38" s="122"/>
      <c r="I38" s="33"/>
      <c r="J38" s="33"/>
      <c r="K38" s="33"/>
      <c r="L38" s="33"/>
    </row>
    <row r="39" spans="2:12">
      <c r="B39" s="33"/>
      <c r="C39" s="33"/>
      <c r="D39" s="122"/>
      <c r="E39" s="122"/>
      <c r="F39" s="122">
        <v>0</v>
      </c>
      <c r="G39" s="122">
        <v>26.72</v>
      </c>
      <c r="H39" s="122">
        <v>26.72</v>
      </c>
      <c r="I39" s="33"/>
      <c r="J39" s="33"/>
      <c r="K39" s="33"/>
      <c r="L39" s="33"/>
    </row>
    <row r="40" spans="2:12" ht="15">
      <c r="B40" s="33"/>
      <c r="C40" s="29" t="s">
        <v>126</v>
      </c>
      <c r="D40" s="135"/>
      <c r="E40" s="122"/>
      <c r="F40" s="117">
        <f>F39</f>
        <v>0</v>
      </c>
      <c r="G40" s="117">
        <f t="shared" ref="G40:H40" si="2">G39</f>
        <v>26.72</v>
      </c>
      <c r="H40" s="117">
        <f t="shared" si="2"/>
        <v>26.72</v>
      </c>
      <c r="I40" s="33"/>
      <c r="J40" s="33"/>
      <c r="K40" s="33"/>
      <c r="L40" s="33"/>
    </row>
    <row r="41" spans="2:12" ht="30">
      <c r="B41" s="26"/>
      <c r="C41" s="37" t="s">
        <v>421</v>
      </c>
      <c r="D41" s="122"/>
      <c r="E41" s="122"/>
      <c r="F41" s="122"/>
      <c r="G41" s="122"/>
      <c r="H41" s="122"/>
      <c r="I41" s="33"/>
      <c r="J41" s="33"/>
      <c r="K41" s="33"/>
      <c r="L41" s="33"/>
    </row>
    <row r="42" spans="2:12">
      <c r="B42" s="26">
        <v>1</v>
      </c>
      <c r="C42" s="26"/>
      <c r="D42" s="122"/>
      <c r="E42" s="122"/>
      <c r="F42" s="122"/>
      <c r="G42" s="122"/>
      <c r="H42" s="122"/>
      <c r="I42" s="33"/>
      <c r="J42" s="33"/>
      <c r="K42" s="33"/>
      <c r="L42" s="33"/>
    </row>
    <row r="43" spans="2:12">
      <c r="B43" s="26">
        <v>2</v>
      </c>
      <c r="C43" s="26"/>
      <c r="D43" s="122"/>
      <c r="E43" s="122"/>
      <c r="F43" s="122"/>
      <c r="G43" s="122"/>
      <c r="H43" s="122"/>
      <c r="I43" s="33"/>
      <c r="J43" s="33"/>
      <c r="K43" s="33"/>
      <c r="L43" s="33"/>
    </row>
    <row r="44" spans="2:12">
      <c r="B44" s="26">
        <v>3</v>
      </c>
      <c r="C44" s="26"/>
      <c r="D44" s="122"/>
      <c r="E44" s="122"/>
      <c r="F44" s="122"/>
      <c r="G44" s="122"/>
      <c r="H44" s="122"/>
      <c r="I44" s="33"/>
      <c r="J44" s="33"/>
      <c r="K44" s="33"/>
      <c r="L44" s="33"/>
    </row>
    <row r="45" spans="2:12" ht="15">
      <c r="B45" s="33"/>
      <c r="C45" s="33" t="s">
        <v>9</v>
      </c>
      <c r="D45" s="122"/>
      <c r="E45" s="135" t="s">
        <v>413</v>
      </c>
      <c r="F45" s="122"/>
      <c r="G45" s="122">
        <v>10</v>
      </c>
      <c r="H45" s="122">
        <v>10</v>
      </c>
      <c r="I45" s="33"/>
      <c r="J45" s="33"/>
      <c r="K45" s="33"/>
      <c r="L45" s="33"/>
    </row>
    <row r="46" spans="2:12" ht="15">
      <c r="B46" s="33"/>
      <c r="C46" s="29" t="s">
        <v>126</v>
      </c>
      <c r="D46" s="135"/>
      <c r="E46" s="122"/>
      <c r="F46" s="117">
        <f>F45</f>
        <v>0</v>
      </c>
      <c r="G46" s="117">
        <f t="shared" ref="G46:H46" si="3">G45</f>
        <v>10</v>
      </c>
      <c r="H46" s="117">
        <f t="shared" si="3"/>
        <v>10</v>
      </c>
      <c r="I46" s="33"/>
      <c r="J46" s="33"/>
      <c r="K46" s="33"/>
      <c r="L46" s="33"/>
    </row>
    <row r="47" spans="2:12" ht="30">
      <c r="B47" s="26"/>
      <c r="C47" s="37" t="s">
        <v>422</v>
      </c>
      <c r="D47" s="122"/>
      <c r="E47" s="122"/>
      <c r="F47" s="122"/>
      <c r="G47" s="122"/>
      <c r="H47" s="122"/>
      <c r="I47" s="33"/>
      <c r="J47" s="33"/>
      <c r="K47" s="33"/>
      <c r="L47" s="33"/>
    </row>
    <row r="48" spans="2:12">
      <c r="B48" s="26">
        <v>1</v>
      </c>
      <c r="C48" s="26"/>
      <c r="D48" s="122"/>
      <c r="E48" s="122"/>
      <c r="F48" s="122"/>
      <c r="G48" s="122"/>
      <c r="H48" s="122"/>
      <c r="I48" s="33"/>
      <c r="J48" s="33"/>
      <c r="K48" s="33"/>
      <c r="L48" s="33"/>
    </row>
    <row r="49" spans="2:12">
      <c r="B49" s="26">
        <v>2</v>
      </c>
      <c r="C49" s="26"/>
      <c r="D49" s="122"/>
      <c r="E49" s="122"/>
      <c r="F49" s="122"/>
      <c r="G49" s="122"/>
      <c r="H49" s="122"/>
      <c r="I49" s="33"/>
      <c r="J49" s="33"/>
      <c r="K49" s="33"/>
      <c r="L49" s="33"/>
    </row>
    <row r="50" spans="2:12">
      <c r="B50" s="26">
        <v>3</v>
      </c>
      <c r="C50" s="26"/>
      <c r="D50" s="122"/>
      <c r="E50" s="122"/>
      <c r="F50" s="122"/>
      <c r="G50" s="122"/>
      <c r="H50" s="122"/>
      <c r="I50" s="33"/>
      <c r="J50" s="33"/>
      <c r="K50" s="33"/>
      <c r="L50" s="33"/>
    </row>
    <row r="51" spans="2:12">
      <c r="B51" s="33"/>
      <c r="C51" s="33" t="s">
        <v>9</v>
      </c>
      <c r="D51" s="122"/>
      <c r="E51" s="122"/>
      <c r="F51" s="122"/>
      <c r="G51" s="122"/>
      <c r="H51" s="122"/>
      <c r="I51" s="33"/>
      <c r="J51" s="33"/>
      <c r="K51" s="33"/>
      <c r="L51" s="33"/>
    </row>
    <row r="52" spans="2:12" ht="15">
      <c r="B52" s="33"/>
      <c r="C52" s="29" t="s">
        <v>126</v>
      </c>
      <c r="D52" s="135"/>
      <c r="E52" s="122"/>
      <c r="F52" s="117">
        <f>F51</f>
        <v>0</v>
      </c>
      <c r="G52" s="117">
        <f t="shared" ref="G52:H52" si="4">G51</f>
        <v>0</v>
      </c>
      <c r="H52" s="117">
        <f t="shared" si="4"/>
        <v>0</v>
      </c>
      <c r="I52" s="33"/>
      <c r="J52" s="33"/>
      <c r="K52" s="33"/>
      <c r="L52" s="33"/>
    </row>
    <row r="53" spans="2:12" ht="30">
      <c r="B53" s="26"/>
      <c r="C53" s="37" t="s">
        <v>423</v>
      </c>
      <c r="D53" s="122"/>
      <c r="E53" s="122"/>
      <c r="F53" s="122"/>
      <c r="G53" s="122"/>
      <c r="H53" s="122"/>
      <c r="I53" s="33"/>
      <c r="J53" s="33"/>
      <c r="K53" s="33"/>
      <c r="L53" s="33"/>
    </row>
    <row r="54" spans="2:12">
      <c r="B54" s="26">
        <v>1</v>
      </c>
      <c r="C54" s="26"/>
      <c r="D54" s="122"/>
      <c r="E54" s="122"/>
      <c r="F54" s="122"/>
      <c r="G54" s="122"/>
      <c r="H54" s="122"/>
      <c r="I54" s="33"/>
      <c r="J54" s="33"/>
      <c r="K54" s="33"/>
      <c r="L54" s="33"/>
    </row>
    <row r="55" spans="2:12">
      <c r="B55" s="26">
        <v>2</v>
      </c>
      <c r="C55" s="26"/>
      <c r="D55" s="122"/>
      <c r="E55" s="122"/>
      <c r="F55" s="122"/>
      <c r="G55" s="122"/>
      <c r="H55" s="122"/>
      <c r="I55" s="33"/>
      <c r="J55" s="33"/>
      <c r="K55" s="33"/>
      <c r="L55" s="33"/>
    </row>
    <row r="56" spans="2:12">
      <c r="B56" s="26">
        <v>3</v>
      </c>
      <c r="C56" s="26"/>
      <c r="D56" s="122"/>
      <c r="E56" s="122"/>
      <c r="F56" s="122"/>
      <c r="G56" s="122"/>
      <c r="H56" s="122"/>
      <c r="I56" s="33"/>
      <c r="J56" s="33"/>
      <c r="K56" s="33"/>
      <c r="L56" s="33"/>
    </row>
    <row r="57" spans="2:12">
      <c r="B57" s="33"/>
      <c r="C57" s="33" t="s">
        <v>9</v>
      </c>
      <c r="D57" s="122"/>
      <c r="E57" s="122"/>
      <c r="F57" s="122"/>
      <c r="G57" s="122"/>
      <c r="H57" s="122"/>
      <c r="I57" s="33"/>
      <c r="J57" s="33"/>
      <c r="K57" s="33"/>
      <c r="L57" s="33"/>
    </row>
    <row r="58" spans="2:12" ht="15">
      <c r="B58" s="33"/>
      <c r="C58" s="29" t="s">
        <v>126</v>
      </c>
      <c r="D58" s="135"/>
      <c r="E58" s="122"/>
      <c r="F58" s="117">
        <f>F57</f>
        <v>0</v>
      </c>
      <c r="G58" s="117">
        <f t="shared" ref="G58:H58" si="5">G57</f>
        <v>0</v>
      </c>
      <c r="H58" s="117">
        <f t="shared" si="5"/>
        <v>0</v>
      </c>
      <c r="I58" s="33"/>
      <c r="J58" s="33"/>
      <c r="K58" s="33"/>
      <c r="L58" s="33"/>
    </row>
    <row r="59" spans="2:12" ht="30">
      <c r="B59" s="26"/>
      <c r="C59" s="37" t="s">
        <v>424</v>
      </c>
      <c r="D59" s="122"/>
      <c r="E59" s="122"/>
      <c r="F59" s="122"/>
      <c r="G59" s="122"/>
      <c r="H59" s="122"/>
      <c r="I59" s="33"/>
      <c r="J59" s="33"/>
      <c r="K59" s="33"/>
      <c r="L59" s="33"/>
    </row>
    <row r="60" spans="2:12">
      <c r="B60" s="26">
        <v>1</v>
      </c>
      <c r="C60" s="26"/>
      <c r="D60" s="122"/>
      <c r="E60" s="122"/>
      <c r="F60" s="122"/>
      <c r="G60" s="122"/>
      <c r="H60" s="122"/>
      <c r="I60" s="33"/>
      <c r="J60" s="33"/>
      <c r="K60" s="33"/>
      <c r="L60" s="33"/>
    </row>
    <row r="61" spans="2:12">
      <c r="B61" s="26">
        <v>2</v>
      </c>
      <c r="C61" s="26"/>
      <c r="D61" s="122"/>
      <c r="E61" s="122"/>
      <c r="F61" s="122"/>
      <c r="G61" s="122"/>
      <c r="H61" s="122"/>
      <c r="I61" s="33"/>
      <c r="J61" s="33"/>
      <c r="K61" s="33"/>
      <c r="L61" s="33"/>
    </row>
    <row r="62" spans="2:12">
      <c r="B62" s="26">
        <v>3</v>
      </c>
      <c r="C62" s="26"/>
      <c r="D62" s="122"/>
      <c r="E62" s="122"/>
      <c r="F62" s="122"/>
      <c r="G62" s="122"/>
      <c r="H62" s="122"/>
      <c r="I62" s="33"/>
      <c r="J62" s="33"/>
      <c r="K62" s="33"/>
      <c r="L62" s="33"/>
    </row>
    <row r="63" spans="2:12">
      <c r="B63" s="33"/>
      <c r="C63" s="33" t="s">
        <v>9</v>
      </c>
      <c r="D63" s="122"/>
      <c r="E63" s="122"/>
      <c r="F63" s="122"/>
      <c r="G63" s="122"/>
      <c r="H63" s="122"/>
      <c r="I63" s="33"/>
      <c r="J63" s="33"/>
      <c r="K63" s="33"/>
      <c r="L63" s="33"/>
    </row>
    <row r="64" spans="2:12" ht="15">
      <c r="B64" s="33"/>
      <c r="C64" s="29" t="s">
        <v>126</v>
      </c>
      <c r="D64" s="117">
        <f>SUM(D60:D63)</f>
        <v>0</v>
      </c>
      <c r="E64" s="122"/>
      <c r="F64" s="117">
        <f>F63</f>
        <v>0</v>
      </c>
      <c r="G64" s="117">
        <f t="shared" ref="G64:H64" si="6">G63</f>
        <v>0</v>
      </c>
      <c r="H64" s="117">
        <f t="shared" si="6"/>
        <v>0</v>
      </c>
      <c r="I64" s="33"/>
      <c r="J64" s="33"/>
      <c r="K64" s="33"/>
      <c r="L64" s="33"/>
    </row>
    <row r="65" spans="2:3">
      <c r="B65" s="66" t="s">
        <v>251</v>
      </c>
      <c r="C65" s="55" t="s">
        <v>252</v>
      </c>
    </row>
  </sheetData>
  <mergeCells count="5">
    <mergeCell ref="G10:G11"/>
    <mergeCell ref="G22:G23"/>
    <mergeCell ref="B2:L2"/>
    <mergeCell ref="B3:L3"/>
    <mergeCell ref="B4:L4"/>
  </mergeCells>
  <pageMargins left="1.02" right="0.25" top="1" bottom="1" header="0.25" footer="0.25"/>
  <pageSetup paperSize="9" scale="37" orientation="landscape" r:id="rId1"/>
  <headerFooter alignWithMargins="0">
    <oddHeader>&amp;F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>
  <dimension ref="B2:J21"/>
  <sheetViews>
    <sheetView showGridLines="0" tabSelected="1" zoomScale="80" zoomScaleNormal="80" workbookViewId="0">
      <selection activeCell="D15" sqref="D15:E15"/>
    </sheetView>
  </sheetViews>
  <sheetFormatPr defaultColWidth="9.28515625" defaultRowHeight="14.25"/>
  <cols>
    <col min="1" max="2" width="9.28515625" style="89"/>
    <col min="3" max="3" width="22.5703125" style="89" customWidth="1"/>
    <col min="4" max="4" width="11.85546875" style="89" customWidth="1"/>
    <col min="5" max="5" width="12.5703125" style="89" customWidth="1"/>
    <col min="6" max="6" width="12" style="89" customWidth="1"/>
    <col min="7" max="7" width="11.85546875" style="89" customWidth="1"/>
    <col min="8" max="8" width="13" style="89" customWidth="1"/>
    <col min="9" max="10" width="15.7109375" style="89" customWidth="1"/>
    <col min="11" max="16384" width="9.28515625" style="89"/>
  </cols>
  <sheetData>
    <row r="2" spans="2:10" ht="15">
      <c r="B2" s="240" t="s">
        <v>409</v>
      </c>
      <c r="C2" s="240"/>
      <c r="D2" s="240"/>
      <c r="E2" s="240"/>
      <c r="F2" s="240"/>
      <c r="G2" s="240"/>
      <c r="H2" s="240"/>
      <c r="I2" s="240"/>
      <c r="J2" s="240"/>
    </row>
    <row r="3" spans="2:10" ht="15">
      <c r="B3" s="240" t="s">
        <v>414</v>
      </c>
      <c r="C3" s="240"/>
      <c r="D3" s="240"/>
      <c r="E3" s="240"/>
      <c r="F3" s="240"/>
      <c r="G3" s="240"/>
      <c r="H3" s="240"/>
      <c r="I3" s="240"/>
      <c r="J3" s="240"/>
    </row>
    <row r="4" spans="2:10" ht="15">
      <c r="B4" s="241" t="s">
        <v>289</v>
      </c>
      <c r="C4" s="241"/>
      <c r="D4" s="241"/>
      <c r="E4" s="241"/>
      <c r="F4" s="241"/>
      <c r="G4" s="241"/>
      <c r="H4" s="241"/>
      <c r="I4" s="241"/>
      <c r="J4" s="241"/>
    </row>
    <row r="6" spans="2:10" ht="15" customHeight="1">
      <c r="B6" s="235" t="s">
        <v>182</v>
      </c>
      <c r="C6" s="244" t="s">
        <v>18</v>
      </c>
      <c r="D6" s="235" t="s">
        <v>227</v>
      </c>
      <c r="E6" s="210" t="s">
        <v>392</v>
      </c>
      <c r="F6" s="235" t="s">
        <v>220</v>
      </c>
      <c r="G6" s="235"/>
      <c r="H6" s="235"/>
      <c r="I6" s="235"/>
      <c r="J6" s="235"/>
    </row>
    <row r="7" spans="2:10" ht="15">
      <c r="B7" s="235"/>
      <c r="C7" s="244"/>
      <c r="D7" s="235"/>
      <c r="E7" s="21" t="s">
        <v>239</v>
      </c>
      <c r="F7" s="21" t="s">
        <v>221</v>
      </c>
      <c r="G7" s="21" t="s">
        <v>222</v>
      </c>
      <c r="H7" s="21" t="s">
        <v>223</v>
      </c>
      <c r="I7" s="21" t="s">
        <v>224</v>
      </c>
      <c r="J7" s="21" t="s">
        <v>225</v>
      </c>
    </row>
    <row r="8" spans="2:10" ht="15">
      <c r="B8" s="235"/>
      <c r="C8" s="244"/>
      <c r="D8" s="90" t="s">
        <v>3</v>
      </c>
      <c r="E8" s="21" t="s">
        <v>5</v>
      </c>
      <c r="F8" s="21" t="s">
        <v>8</v>
      </c>
      <c r="G8" s="21" t="s">
        <v>8</v>
      </c>
      <c r="H8" s="21" t="s">
        <v>8</v>
      </c>
      <c r="I8" s="21" t="s">
        <v>8</v>
      </c>
      <c r="J8" s="21" t="s">
        <v>8</v>
      </c>
    </row>
    <row r="9" spans="2:10" ht="15">
      <c r="B9" s="91">
        <v>1</v>
      </c>
      <c r="C9" s="34" t="s">
        <v>290</v>
      </c>
      <c r="D9" s="112">
        <f>F3.1!H20</f>
        <v>4.1149129760000003</v>
      </c>
      <c r="E9" s="112">
        <f>F3.1!H31</f>
        <v>4.2300000000000004</v>
      </c>
      <c r="F9" s="112">
        <f>F3.1!H37</f>
        <v>15.6</v>
      </c>
      <c r="G9" s="112">
        <f>F3.1!H43</f>
        <v>0</v>
      </c>
      <c r="H9" s="112">
        <f>F3.1!H49</f>
        <v>0</v>
      </c>
      <c r="I9" s="112">
        <f>F3.1!H55</f>
        <v>0</v>
      </c>
      <c r="J9" s="112">
        <f>F3.1!H61</f>
        <v>0</v>
      </c>
    </row>
    <row r="10" spans="2:10">
      <c r="B10" s="34"/>
      <c r="C10" s="34"/>
      <c r="D10" s="101"/>
      <c r="E10" s="101"/>
      <c r="F10" s="101"/>
      <c r="G10" s="101"/>
      <c r="H10" s="101"/>
      <c r="I10" s="101"/>
      <c r="J10" s="101"/>
    </row>
    <row r="11" spans="2:10" ht="15">
      <c r="B11" s="91">
        <v>2</v>
      </c>
      <c r="C11" s="92" t="s">
        <v>172</v>
      </c>
      <c r="D11" s="101"/>
      <c r="E11" s="101"/>
      <c r="F11" s="101"/>
      <c r="G11" s="101"/>
      <c r="H11" s="101"/>
      <c r="I11" s="101"/>
      <c r="J11" s="101"/>
    </row>
    <row r="12" spans="2:10">
      <c r="B12" s="34"/>
      <c r="C12" s="34" t="s">
        <v>181</v>
      </c>
      <c r="D12" s="101"/>
      <c r="E12" s="101"/>
      <c r="F12" s="101"/>
      <c r="G12" s="101"/>
      <c r="H12" s="101"/>
      <c r="I12" s="101"/>
      <c r="J12" s="101"/>
    </row>
    <row r="13" spans="2:10">
      <c r="B13" s="34"/>
      <c r="C13" s="34" t="s">
        <v>180</v>
      </c>
      <c r="D13" s="101"/>
      <c r="E13" s="101"/>
      <c r="F13" s="101"/>
      <c r="G13" s="101"/>
      <c r="H13" s="101"/>
      <c r="I13" s="101"/>
      <c r="J13" s="101"/>
    </row>
    <row r="14" spans="2:10">
      <c r="B14" s="34"/>
      <c r="C14" s="34" t="s">
        <v>9</v>
      </c>
      <c r="D14" s="101"/>
      <c r="E14" s="101"/>
      <c r="F14" s="101"/>
      <c r="G14" s="101"/>
      <c r="H14" s="101"/>
      <c r="I14" s="101"/>
      <c r="J14" s="101"/>
    </row>
    <row r="15" spans="2:10" ht="15">
      <c r="B15" s="34"/>
      <c r="C15" s="92" t="s">
        <v>170</v>
      </c>
      <c r="D15" s="112">
        <f>SUM(D12:D14)</f>
        <v>0</v>
      </c>
      <c r="E15" s="112">
        <f>SUM(E12:E14)</f>
        <v>0</v>
      </c>
      <c r="F15" s="112">
        <f t="shared" ref="F15:J15" si="0">SUM(F12:F14)</f>
        <v>0</v>
      </c>
      <c r="G15" s="112">
        <f t="shared" si="0"/>
        <v>0</v>
      </c>
      <c r="H15" s="112">
        <f t="shared" si="0"/>
        <v>0</v>
      </c>
      <c r="I15" s="112">
        <f t="shared" si="0"/>
        <v>0</v>
      </c>
      <c r="J15" s="112">
        <f t="shared" si="0"/>
        <v>0</v>
      </c>
    </row>
    <row r="16" spans="2:10">
      <c r="B16" s="34"/>
      <c r="C16" s="34"/>
      <c r="D16" s="101"/>
      <c r="E16" s="101"/>
      <c r="F16" s="101"/>
      <c r="G16" s="101"/>
      <c r="H16" s="101"/>
      <c r="I16" s="101"/>
      <c r="J16" s="101"/>
    </row>
    <row r="17" spans="2:10">
      <c r="B17" s="91">
        <v>3</v>
      </c>
      <c r="C17" s="34" t="s">
        <v>0</v>
      </c>
      <c r="D17" s="101">
        <f>D9*30%</f>
        <v>1.2344738928000001</v>
      </c>
      <c r="E17" s="101">
        <f>E9*30%</f>
        <v>1.2690000000000001</v>
      </c>
      <c r="F17" s="101">
        <f>F9*25%</f>
        <v>3.9</v>
      </c>
      <c r="G17" s="101"/>
      <c r="H17" s="101"/>
      <c r="I17" s="101"/>
      <c r="J17" s="101"/>
    </row>
    <row r="18" spans="2:10">
      <c r="B18" s="91">
        <v>4</v>
      </c>
      <c r="C18" s="34" t="s">
        <v>173</v>
      </c>
      <c r="D18" s="101">
        <f>D9*70%</f>
        <v>2.8804390832000002</v>
      </c>
      <c r="E18" s="101">
        <f>E9*70%</f>
        <v>2.9610000000000003</v>
      </c>
      <c r="F18" s="101">
        <f>F9*75%</f>
        <v>11.7</v>
      </c>
      <c r="G18" s="101"/>
      <c r="H18" s="101"/>
      <c r="I18" s="101"/>
      <c r="J18" s="101"/>
    </row>
    <row r="19" spans="2:10">
      <c r="B19" s="91">
        <v>5</v>
      </c>
      <c r="C19" s="34" t="s">
        <v>291</v>
      </c>
      <c r="D19" s="101"/>
      <c r="E19" s="101"/>
      <c r="F19" s="101"/>
      <c r="G19" s="101"/>
      <c r="H19" s="101"/>
      <c r="I19" s="101"/>
      <c r="J19" s="101"/>
    </row>
    <row r="20" spans="2:10" ht="15">
      <c r="B20" s="34"/>
      <c r="C20" s="34"/>
      <c r="D20" s="108"/>
      <c r="E20" s="108"/>
      <c r="F20" s="108"/>
      <c r="G20" s="108"/>
      <c r="H20" s="108"/>
      <c r="I20" s="108"/>
      <c r="J20" s="108"/>
    </row>
    <row r="21" spans="2:10" ht="15">
      <c r="B21" s="91">
        <v>6</v>
      </c>
      <c r="C21" s="92" t="s">
        <v>292</v>
      </c>
      <c r="D21" s="112">
        <f>D15+D17+D18+D19</f>
        <v>4.1149129760000003</v>
      </c>
      <c r="E21" s="112">
        <f t="shared" ref="E21:J21" si="1">E15+E17+E18+E19</f>
        <v>4.2300000000000004</v>
      </c>
      <c r="F21" s="112">
        <f t="shared" si="1"/>
        <v>15.6</v>
      </c>
      <c r="G21" s="112">
        <f t="shared" si="1"/>
        <v>0</v>
      </c>
      <c r="H21" s="112">
        <f t="shared" si="1"/>
        <v>0</v>
      </c>
      <c r="I21" s="112">
        <f t="shared" si="1"/>
        <v>0</v>
      </c>
      <c r="J21" s="112">
        <f t="shared" si="1"/>
        <v>0</v>
      </c>
    </row>
  </sheetData>
  <mergeCells count="7">
    <mergeCell ref="F6:J6"/>
    <mergeCell ref="D6:D7"/>
    <mergeCell ref="B6:B8"/>
    <mergeCell ref="C6:C8"/>
    <mergeCell ref="B2:J2"/>
    <mergeCell ref="B3:J3"/>
    <mergeCell ref="B4:J4"/>
  </mergeCells>
  <pageMargins left="0.7" right="0.7" top="0.75" bottom="0.75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18</vt:i4>
      </vt:variant>
      <vt:variant>
        <vt:lpstr>Named Ranges</vt:lpstr>
      </vt:variant>
      <vt:variant>
        <vt:i4>1</vt:i4>
      </vt:variant>
    </vt:vector>
  </HeadingPairs>
  <TitlesOfParts>
    <vt:vector size="19" baseType="lpstr">
      <vt:lpstr>Checklist</vt:lpstr>
      <vt:lpstr>F1</vt:lpstr>
      <vt:lpstr>F2</vt:lpstr>
      <vt:lpstr>F2.1</vt:lpstr>
      <vt:lpstr>F2.2</vt:lpstr>
      <vt:lpstr>F2.3</vt:lpstr>
      <vt:lpstr>F3</vt:lpstr>
      <vt:lpstr>F3.1</vt:lpstr>
      <vt:lpstr>F3.2</vt:lpstr>
      <vt:lpstr>F4</vt:lpstr>
      <vt:lpstr>F5</vt:lpstr>
      <vt:lpstr>F6</vt:lpstr>
      <vt:lpstr>F7</vt:lpstr>
      <vt:lpstr>F8</vt:lpstr>
      <vt:lpstr>F9</vt:lpstr>
      <vt:lpstr>F13</vt:lpstr>
      <vt:lpstr>F14</vt:lpstr>
      <vt:lpstr>F15</vt:lpstr>
      <vt:lpstr>Checklist!Print_Area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Palaniappan M</dc:creator>
  <cp:lastModifiedBy>TSGENCO</cp:lastModifiedBy>
  <cp:lastPrinted>2024-09-21T06:22:44Z</cp:lastPrinted>
  <dcterms:created xsi:type="dcterms:W3CDTF">2004-07-28T05:30:50Z</dcterms:created>
  <dcterms:modified xsi:type="dcterms:W3CDTF">2024-09-21T06:27:38Z</dcterms:modified>
</cp:coreProperties>
</file>